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lid-Cleo\"/>
    </mc:Choice>
  </mc:AlternateContent>
  <bookViews>
    <workbookView xWindow="-2040" yWindow="60" windowWidth="21000" windowHeight="2130" firstSheet="7" activeTab="10"/>
  </bookViews>
  <sheets>
    <sheet name="other sensors" sheetId="17" r:id="rId1"/>
    <sheet name="Strain Gauges" sheetId="19" r:id="rId2"/>
    <sheet name="Temp Sensors" sheetId="14" r:id="rId3"/>
    <sheet name="Temp resolution" sheetId="21" r:id="rId4"/>
    <sheet name="Voltage taps" sheetId="16" r:id="rId5"/>
    <sheet name="Coil RT Measurement" sheetId="20" r:id="rId6"/>
    <sheet name="PLC Modules Software" sheetId="1" r:id="rId7"/>
    <sheet name="Signal Conditioners" sheetId="2" r:id="rId8"/>
    <sheet name="Rack Termination cabling" sheetId="3" r:id="rId9"/>
    <sheet name="PRs" sheetId="8" r:id="rId10"/>
    <sheet name="CLEOII-Chassis Layout" sheetId="11" r:id="rId11"/>
    <sheet name="PLC IO" sheetId="15" r:id="rId12"/>
    <sheet name="Instrumentation" sheetId="18" r:id="rId13"/>
  </sheets>
  <definedNames>
    <definedName name="_xlnm.Print_Titles" localSheetId="2">'Temp Sensors'!$1:$3</definedName>
  </definedNames>
  <calcPr calcId="162913"/>
</workbook>
</file>

<file path=xl/calcChain.xml><?xml version="1.0" encoding="utf-8"?>
<calcChain xmlns="http://schemas.openxmlformats.org/spreadsheetml/2006/main">
  <c r="E9" i="2" l="1"/>
  <c r="E41" i="18" l="1"/>
  <c r="E14" i="18"/>
  <c r="F73" i="3"/>
  <c r="F66" i="3"/>
  <c r="H27" i="21" l="1"/>
  <c r="H22" i="21"/>
  <c r="H21" i="21"/>
  <c r="D21" i="21"/>
  <c r="H12" i="21"/>
  <c r="H25" i="21" s="1"/>
  <c r="H17" i="21"/>
  <c r="H16" i="21"/>
  <c r="H15" i="21"/>
  <c r="J14" i="15" l="1"/>
  <c r="J13" i="15"/>
  <c r="J12" i="15"/>
  <c r="J11" i="15"/>
  <c r="J10" i="15"/>
  <c r="J9" i="15"/>
  <c r="J8" i="15"/>
  <c r="J7" i="15"/>
  <c r="J6" i="15"/>
  <c r="J5" i="15"/>
  <c r="I7" i="20" l="1"/>
  <c r="J7" i="20"/>
  <c r="J6" i="20"/>
  <c r="I6" i="20"/>
  <c r="G6" i="20" s="1"/>
  <c r="S11" i="20"/>
  <c r="R12" i="20"/>
  <c r="Q11" i="20"/>
  <c r="S12" i="20"/>
  <c r="P12" i="20"/>
  <c r="P11" i="20"/>
  <c r="W6" i="20"/>
  <c r="V6" i="20"/>
  <c r="U6" i="20"/>
  <c r="R6" i="20"/>
  <c r="Q6" i="20"/>
  <c r="P6" i="20"/>
  <c r="O6" i="20"/>
  <c r="J7" i="16"/>
  <c r="J6" i="16"/>
  <c r="J5" i="16"/>
  <c r="G7" i="20" l="1"/>
  <c r="G8" i="20" s="1"/>
  <c r="H25" i="16"/>
  <c r="H22" i="16"/>
  <c r="H18" i="16"/>
  <c r="H15" i="16"/>
  <c r="H13" i="16"/>
  <c r="H12" i="16"/>
  <c r="H11" i="16"/>
  <c r="H10" i="16"/>
  <c r="H9" i="16"/>
  <c r="M142" i="14" l="1"/>
  <c r="M141" i="14"/>
  <c r="M140" i="14"/>
  <c r="M139" i="14"/>
  <c r="M127" i="14"/>
  <c r="M126" i="14"/>
  <c r="M125" i="14"/>
  <c r="M124" i="14"/>
  <c r="M122" i="14"/>
  <c r="M121" i="14"/>
  <c r="M120" i="14"/>
  <c r="M119" i="14"/>
  <c r="M117" i="14"/>
  <c r="M116" i="14"/>
  <c r="M115" i="14"/>
  <c r="M114" i="14"/>
  <c r="M112" i="14"/>
  <c r="M111" i="14"/>
  <c r="M110" i="14"/>
  <c r="M109" i="14"/>
  <c r="M107" i="14"/>
  <c r="M106" i="14"/>
  <c r="M105" i="14"/>
  <c r="M104" i="14"/>
  <c r="M102" i="14"/>
  <c r="M101" i="14"/>
  <c r="M100" i="14"/>
  <c r="M99" i="14"/>
  <c r="M79" i="14"/>
  <c r="M78" i="14"/>
  <c r="M77" i="14"/>
  <c r="M76" i="14"/>
  <c r="M74" i="14"/>
  <c r="M73" i="14"/>
  <c r="M72" i="14"/>
  <c r="M71" i="14"/>
  <c r="M69" i="14"/>
  <c r="M68" i="14"/>
  <c r="M67" i="14"/>
  <c r="M66" i="14"/>
  <c r="M64" i="14"/>
  <c r="M63" i="14"/>
  <c r="M62" i="14"/>
  <c r="M61" i="14"/>
  <c r="M59" i="14"/>
  <c r="M58" i="14"/>
  <c r="M57" i="14"/>
  <c r="M56" i="14"/>
  <c r="M54" i="14"/>
  <c r="M53" i="14"/>
  <c r="M52" i="14"/>
  <c r="M51" i="14"/>
  <c r="M49" i="14"/>
  <c r="M48" i="14"/>
  <c r="M47" i="14"/>
  <c r="M46" i="14"/>
  <c r="M44" i="14"/>
  <c r="M43" i="14"/>
  <c r="M42" i="14"/>
  <c r="M41" i="14"/>
  <c r="M39" i="14"/>
  <c r="M38" i="14"/>
  <c r="M37" i="14"/>
  <c r="M36" i="14"/>
  <c r="M34" i="14"/>
  <c r="M33" i="14"/>
  <c r="M32" i="14"/>
  <c r="M31" i="14"/>
  <c r="M29" i="14"/>
  <c r="M28" i="14"/>
  <c r="M27" i="14"/>
  <c r="M26" i="14"/>
  <c r="M24" i="14"/>
  <c r="M23" i="14"/>
  <c r="M22" i="14"/>
  <c r="M21" i="14"/>
  <c r="M19" i="14"/>
  <c r="M18" i="14"/>
  <c r="M17" i="14"/>
  <c r="M16" i="14"/>
  <c r="M14" i="14"/>
  <c r="M13" i="14"/>
  <c r="M12" i="14"/>
  <c r="M11" i="14"/>
  <c r="M9" i="14"/>
  <c r="M8" i="14"/>
  <c r="M7" i="14"/>
  <c r="M6" i="14"/>
  <c r="AC90" i="14" l="1"/>
  <c r="AD90" i="14"/>
  <c r="AC95" i="14"/>
  <c r="AD95" i="14"/>
  <c r="C8" i="18" l="1"/>
  <c r="C7" i="18"/>
  <c r="E19" i="2"/>
  <c r="AD142" i="14"/>
  <c r="AD141" i="14"/>
  <c r="AD140" i="14"/>
  <c r="AD137" i="14"/>
  <c r="AD136" i="14"/>
  <c r="AD135" i="14"/>
  <c r="AD132" i="14"/>
  <c r="AD131" i="14"/>
  <c r="AD130" i="14"/>
  <c r="AD127" i="14"/>
  <c r="AD126" i="14"/>
  <c r="AD125" i="14"/>
  <c r="AD122" i="14"/>
  <c r="AD121" i="14"/>
  <c r="AD120" i="14"/>
  <c r="AD117" i="14"/>
  <c r="AD116" i="14"/>
  <c r="AD115" i="14"/>
  <c r="AD112" i="14"/>
  <c r="AD111" i="14"/>
  <c r="AD110" i="14"/>
  <c r="AD107" i="14"/>
  <c r="AD106" i="14"/>
  <c r="AD105" i="14"/>
  <c r="AD102" i="14"/>
  <c r="AD101" i="14"/>
  <c r="AD100" i="14"/>
  <c r="AD96" i="14"/>
  <c r="AD92" i="14"/>
  <c r="AD91" i="14"/>
  <c r="AD84" i="14"/>
  <c r="AD83" i="14"/>
  <c r="AD82" i="14"/>
  <c r="AD79" i="14"/>
  <c r="AD78" i="14"/>
  <c r="AD77" i="14"/>
  <c r="AD74" i="14"/>
  <c r="AD73" i="14"/>
  <c r="AD72" i="14"/>
  <c r="AD69" i="14"/>
  <c r="AD68" i="14"/>
  <c r="AD67" i="14"/>
  <c r="AD64" i="14"/>
  <c r="AD63" i="14"/>
  <c r="AD62" i="14"/>
  <c r="AD59" i="14"/>
  <c r="AD58" i="14"/>
  <c r="AD57" i="14"/>
  <c r="AD54" i="14"/>
  <c r="AD53" i="14"/>
  <c r="AD52" i="14"/>
  <c r="AD49" i="14"/>
  <c r="AD48" i="14"/>
  <c r="AD47" i="14"/>
  <c r="AD44" i="14"/>
  <c r="AD43" i="14"/>
  <c r="AD42" i="14"/>
  <c r="AD39" i="14"/>
  <c r="AD38" i="14"/>
  <c r="AD37" i="14"/>
  <c r="AD34" i="14"/>
  <c r="AD33" i="14"/>
  <c r="AD32" i="14"/>
  <c r="AD29" i="14"/>
  <c r="AD28" i="14"/>
  <c r="AD27" i="14"/>
  <c r="AD24" i="14"/>
  <c r="AD23" i="14"/>
  <c r="AD22" i="14"/>
  <c r="AD19" i="14"/>
  <c r="AD18" i="14"/>
  <c r="AD17" i="14"/>
  <c r="AD14" i="14"/>
  <c r="AD13" i="14"/>
  <c r="AD12" i="14"/>
  <c r="AD9" i="14"/>
  <c r="AD8" i="14"/>
  <c r="AD7" i="14"/>
  <c r="AC142" i="14" l="1"/>
  <c r="AC141" i="14"/>
  <c r="AC140" i="14"/>
  <c r="AC137" i="14"/>
  <c r="AC136" i="14"/>
  <c r="AC135" i="14"/>
  <c r="AC132" i="14"/>
  <c r="AC131" i="14"/>
  <c r="AC130" i="14"/>
  <c r="AC127" i="14"/>
  <c r="AC126" i="14"/>
  <c r="AC125" i="14"/>
  <c r="AC122" i="14"/>
  <c r="AC121" i="14"/>
  <c r="AC120" i="14"/>
  <c r="AC117" i="14"/>
  <c r="AC116" i="14"/>
  <c r="AC115" i="14"/>
  <c r="AC112" i="14"/>
  <c r="AC111" i="14"/>
  <c r="AC110" i="14"/>
  <c r="AC107" i="14"/>
  <c r="AC106" i="14"/>
  <c r="AC105" i="14"/>
  <c r="AC102" i="14"/>
  <c r="AC101" i="14"/>
  <c r="AC100" i="14"/>
  <c r="AC96" i="14"/>
  <c r="AC92" i="14"/>
  <c r="AC91" i="14"/>
  <c r="AC84" i="14"/>
  <c r="AC83" i="14"/>
  <c r="AC82" i="14"/>
  <c r="AC79" i="14"/>
  <c r="AC78" i="14"/>
  <c r="AC77" i="14"/>
  <c r="AC74" i="14"/>
  <c r="AC73" i="14"/>
  <c r="AC72" i="14"/>
  <c r="AC69" i="14"/>
  <c r="AC68" i="14"/>
  <c r="AC67" i="14"/>
  <c r="AC64" i="14"/>
  <c r="AC63" i="14"/>
  <c r="AC62" i="14"/>
  <c r="AC58" i="14"/>
  <c r="AC57" i="14"/>
  <c r="AC59" i="14"/>
  <c r="AC54" i="14"/>
  <c r="AC53" i="14"/>
  <c r="AC52" i="14"/>
  <c r="AC49" i="14"/>
  <c r="AC48" i="14"/>
  <c r="AC47" i="14"/>
  <c r="AC44" i="14"/>
  <c r="AC43" i="14"/>
  <c r="AC42" i="14"/>
  <c r="AC39" i="14"/>
  <c r="AC38" i="14"/>
  <c r="AC37" i="14"/>
  <c r="AC34" i="14"/>
  <c r="AC33" i="14"/>
  <c r="AC32" i="14"/>
  <c r="AC29" i="14"/>
  <c r="AC28" i="14"/>
  <c r="AC27" i="14"/>
  <c r="AC24" i="14"/>
  <c r="AC23" i="14"/>
  <c r="AC22" i="14"/>
  <c r="AC19" i="14"/>
  <c r="AC18" i="14"/>
  <c r="AC17" i="14"/>
  <c r="AC14" i="14"/>
  <c r="AC13" i="14"/>
  <c r="AC12" i="14"/>
  <c r="AC9" i="14"/>
  <c r="AC8" i="14"/>
  <c r="AC7" i="14"/>
  <c r="I26" i="15" l="1"/>
  <c r="J26" i="15" s="1"/>
  <c r="J25" i="15"/>
  <c r="I24" i="15"/>
  <c r="J24" i="15" s="1"/>
  <c r="J23" i="15"/>
  <c r="J22" i="15"/>
  <c r="J21" i="15"/>
  <c r="J20" i="15"/>
  <c r="J19" i="15"/>
  <c r="I18" i="15"/>
  <c r="J18" i="15" s="1"/>
  <c r="I35" i="15"/>
  <c r="J35" i="15" s="1"/>
  <c r="D19" i="15"/>
  <c r="I34" i="15"/>
  <c r="J34" i="15" s="1"/>
  <c r="D26" i="15"/>
  <c r="I33" i="15"/>
  <c r="J33" i="15" s="1"/>
  <c r="J32" i="15"/>
  <c r="D18" i="15"/>
  <c r="D17" i="15"/>
  <c r="D16" i="15"/>
  <c r="I13" i="15"/>
  <c r="D15" i="15"/>
  <c r="D14" i="15"/>
  <c r="D10" i="15"/>
  <c r="D25" i="15"/>
  <c r="D9" i="15"/>
  <c r="D24" i="15"/>
  <c r="D23" i="15"/>
  <c r="D8" i="15"/>
  <c r="D22" i="15"/>
  <c r="D7" i="15"/>
  <c r="D6" i="15"/>
  <c r="I6" i="15"/>
  <c r="I5" i="15"/>
  <c r="D21" i="15"/>
  <c r="D20" i="15"/>
  <c r="D5" i="15"/>
  <c r="D68" i="1"/>
  <c r="E68" i="1" s="1"/>
  <c r="E67" i="1"/>
  <c r="D66" i="1"/>
  <c r="E66" i="1" s="1"/>
  <c r="E65" i="1"/>
  <c r="D64" i="1"/>
  <c r="E64" i="1" s="1"/>
  <c r="E63" i="1"/>
  <c r="D62" i="1"/>
  <c r="E62" i="1" s="1"/>
  <c r="D61" i="1"/>
  <c r="E61" i="1" s="1"/>
  <c r="D60" i="1"/>
  <c r="E60" i="1" s="1"/>
  <c r="E59" i="1"/>
  <c r="E58" i="1"/>
  <c r="E57" i="1"/>
  <c r="E53" i="1"/>
  <c r="E52" i="1"/>
  <c r="E51" i="1"/>
  <c r="E50" i="1"/>
  <c r="E49" i="1"/>
  <c r="E48" i="1"/>
  <c r="E47" i="1"/>
  <c r="R46" i="1"/>
  <c r="E46" i="1"/>
  <c r="E45" i="1"/>
  <c r="E44" i="1"/>
  <c r="E40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8" i="1"/>
  <c r="E17" i="1"/>
  <c r="E16" i="1"/>
  <c r="E12" i="1"/>
  <c r="R11" i="1"/>
  <c r="E11" i="1"/>
  <c r="E10" i="1"/>
  <c r="E9" i="1"/>
  <c r="E8" i="1"/>
  <c r="E7" i="1"/>
  <c r="E6" i="1"/>
  <c r="E41" i="1" l="1"/>
  <c r="E27" i="1"/>
  <c r="E54" i="1"/>
  <c r="E13" i="1"/>
  <c r="J37" i="15"/>
  <c r="D11" i="15"/>
  <c r="D27" i="15"/>
  <c r="J15" i="15"/>
  <c r="J28" i="15"/>
  <c r="E69" i="1"/>
  <c r="D29" i="15" l="1"/>
  <c r="E6" i="2"/>
  <c r="M66" i="3"/>
  <c r="E5" i="2"/>
  <c r="F36" i="8"/>
  <c r="E6" i="3"/>
  <c r="F6" i="3" s="1"/>
  <c r="E7" i="3"/>
  <c r="F7" i="3"/>
  <c r="E8" i="3"/>
  <c r="F8" i="3"/>
  <c r="E9" i="3"/>
  <c r="F9" i="3" s="1"/>
  <c r="E10" i="3"/>
  <c r="F10" i="3" s="1"/>
  <c r="E11" i="3"/>
  <c r="F11" i="3"/>
  <c r="E12" i="3"/>
  <c r="F12" i="3"/>
  <c r="E13" i="3"/>
  <c r="F13" i="3" s="1"/>
  <c r="E14" i="3"/>
  <c r="F14" i="3" s="1"/>
  <c r="E15" i="3"/>
  <c r="F15" i="3"/>
  <c r="E16" i="3"/>
  <c r="F16" i="3"/>
  <c r="E17" i="3"/>
  <c r="F17" i="3" s="1"/>
  <c r="E18" i="3"/>
  <c r="F18" i="3" s="1"/>
  <c r="E19" i="3"/>
  <c r="F19" i="3"/>
  <c r="E20" i="3"/>
  <c r="F20" i="3"/>
  <c r="E24" i="3"/>
  <c r="F24" i="3" s="1"/>
  <c r="M24" i="3"/>
  <c r="M45" i="3" s="1"/>
  <c r="M71" i="3" s="1"/>
  <c r="E25" i="3"/>
  <c r="F25" i="3" s="1"/>
  <c r="M25" i="3"/>
  <c r="E26" i="3"/>
  <c r="F26" i="3" s="1"/>
  <c r="M26" i="3"/>
  <c r="E27" i="3"/>
  <c r="F27" i="3" s="1"/>
  <c r="M27" i="3"/>
  <c r="E28" i="3"/>
  <c r="F28" i="3"/>
  <c r="M28" i="3"/>
  <c r="E29" i="3"/>
  <c r="F29" i="3"/>
  <c r="M29" i="3"/>
  <c r="E30" i="3"/>
  <c r="F30" i="3"/>
  <c r="M30" i="3"/>
  <c r="E31" i="3"/>
  <c r="F31" i="3"/>
  <c r="M31" i="3"/>
  <c r="E32" i="3"/>
  <c r="F32" i="3" s="1"/>
  <c r="M32" i="3"/>
  <c r="E33" i="3"/>
  <c r="F33" i="3" s="1"/>
  <c r="M33" i="3"/>
  <c r="E34" i="3"/>
  <c r="F34" i="3" s="1"/>
  <c r="M34" i="3"/>
  <c r="E35" i="3"/>
  <c r="F35" i="3" s="1"/>
  <c r="M35" i="3"/>
  <c r="E36" i="3"/>
  <c r="F36" i="3"/>
  <c r="M36" i="3"/>
  <c r="E37" i="3"/>
  <c r="F37" i="3"/>
  <c r="M37" i="3"/>
  <c r="E38" i="3"/>
  <c r="F38" i="3"/>
  <c r="M38" i="3"/>
  <c r="E39" i="3"/>
  <c r="F39" i="3"/>
  <c r="M39" i="3"/>
  <c r="E40" i="3"/>
  <c r="F40" i="3" s="1"/>
  <c r="M40" i="3"/>
  <c r="E41" i="3"/>
  <c r="F41" i="3" s="1"/>
  <c r="E42" i="3"/>
  <c r="F42" i="3"/>
  <c r="E43" i="3"/>
  <c r="F43" i="3"/>
  <c r="M43" i="3"/>
  <c r="E48" i="3"/>
  <c r="F48" i="3"/>
  <c r="F54" i="3" s="1"/>
  <c r="G54" i="3" s="1"/>
  <c r="E49" i="3"/>
  <c r="F49" i="3"/>
  <c r="E50" i="3"/>
  <c r="F50" i="3" s="1"/>
  <c r="E51" i="3"/>
  <c r="F51" i="3" s="1"/>
  <c r="E52" i="3"/>
  <c r="F52" i="3"/>
  <c r="D57" i="3"/>
  <c r="E57" i="3"/>
  <c r="F57" i="3"/>
  <c r="D58" i="3"/>
  <c r="E58" i="3" s="1"/>
  <c r="F58" i="3" s="1"/>
  <c r="D59" i="3"/>
  <c r="E59" i="3"/>
  <c r="F59" i="3"/>
  <c r="E60" i="3"/>
  <c r="F60" i="3"/>
  <c r="E61" i="3"/>
  <c r="F61" i="3" s="1"/>
  <c r="E62" i="3"/>
  <c r="F62" i="3" s="1"/>
  <c r="E63" i="3"/>
  <c r="F63" i="3"/>
  <c r="E64" i="3"/>
  <c r="F64" i="3"/>
  <c r="E4" i="2"/>
  <c r="E7" i="2"/>
  <c r="E8" i="2"/>
  <c r="E10" i="2"/>
  <c r="E11" i="2"/>
  <c r="E12" i="2"/>
  <c r="E13" i="2"/>
  <c r="E16" i="2"/>
  <c r="E21" i="2"/>
  <c r="E22" i="2"/>
  <c r="C36" i="8"/>
  <c r="E28" i="2" l="1"/>
  <c r="F45" i="3"/>
  <c r="G45" i="3" s="1"/>
  <c r="G66" i="3"/>
  <c r="F22" i="3"/>
  <c r="F71" i="3" s="1"/>
  <c r="G71" i="3" s="1"/>
  <c r="E26" i="2"/>
  <c r="E29" i="2" s="1"/>
  <c r="G22" i="3" l="1"/>
  <c r="N71" i="3"/>
</calcChain>
</file>

<file path=xl/comments1.xml><?xml version="1.0" encoding="utf-8"?>
<comments xmlns="http://schemas.openxmlformats.org/spreadsheetml/2006/main">
  <authors>
    <author>Steven Lassiter</author>
  </authors>
  <commentList>
    <comment ref="D1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Steven Lassiter: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Steven Lassiter: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Steven Lassiter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Steven Lassiter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</rPr>
          <t xml:space="preserve">
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</rPr>
          <t>POMONA 2269-0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8"/>
            <color indexed="81"/>
            <rFont val="Tahoma"/>
            <family val="2"/>
          </rPr>
          <t xml:space="preserve">CNT-35-96 TYCO ELECTRONICS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</rPr>
          <t>22AWG</t>
        </r>
        <r>
          <rPr>
            <sz val="8"/>
            <color indexed="81"/>
            <rFont val="Tahoma"/>
            <family val="2"/>
          </rPr>
          <t xml:space="preserve">
FERRULES
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FEET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Steven Lassiter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Honeywell Web page
http://www.sensotec.com/pressure_transducer_instock.shtml
3/7/07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From PR 191738
8/23/2000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 xml:space="preserve">American Magnetics
Model 135 Monitor and sensor probe
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>American Magnetics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Flow Controllers
PR# 255827
Model #1559A
Calibrated to He gas
4-20mA output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<sst xmlns="http://schemas.openxmlformats.org/spreadsheetml/2006/main" count="3534" uniqueCount="1489">
  <si>
    <t>Qty</t>
  </si>
  <si>
    <t>Catalog #</t>
  </si>
  <si>
    <t>Description</t>
  </si>
  <si>
    <t>1756-A10</t>
  </si>
  <si>
    <t>10 SLOT CONTROLLOGIX CHASSIS</t>
  </si>
  <si>
    <t>1756-CNB</t>
  </si>
  <si>
    <t>CONTROLNET BRIDGE MODULE</t>
  </si>
  <si>
    <t>1756-IB16D</t>
  </si>
  <si>
    <t>1756-IF16</t>
  </si>
  <si>
    <t>ANALOG INPUT - CURRENT/VOLTAGE  16 PTS (36 PIN)</t>
  </si>
  <si>
    <t>1756-OW16I</t>
  </si>
  <si>
    <t>N.O. ISOLATED RELAY OUTPUT 16 PTS (36 PIN)</t>
  </si>
  <si>
    <t>1756-PA72</t>
  </si>
  <si>
    <t>85-265 VAC POWER SUPPLY (5V @ 10 AMP)</t>
  </si>
  <si>
    <t>1756-TBCH</t>
  </si>
  <si>
    <t>36 PIN SCREW CLAMP BLOCK WITH STANDARD HOUSING</t>
  </si>
  <si>
    <t>Subtotal:</t>
  </si>
  <si>
    <t>Subsystem of New System : Redundant CLX</t>
  </si>
  <si>
    <t>1756-ENBT</t>
  </si>
  <si>
    <t>CLX ETHERNET/IP 10/100 BRIDGE MODULE - TWISTED PR</t>
  </si>
  <si>
    <t>1756-N2</t>
  </si>
  <si>
    <t>EMPTY SLOT FILLER CARD (ONE FILLER PER PACKAGE)</t>
  </si>
  <si>
    <t>1757-SRC1</t>
  </si>
  <si>
    <t>1757 REDUNDANCY MODULE CABLE - 1 METER,  3.28FT</t>
  </si>
  <si>
    <t>1757-SRM</t>
  </si>
  <si>
    <t>SYSTEM REDUNDANCY MODULE</t>
  </si>
  <si>
    <t>1786-XT</t>
  </si>
  <si>
    <t>CONTROLNET 75 OHM TERMINATOR PLUG</t>
  </si>
  <si>
    <t>1786-TPS</t>
  </si>
  <si>
    <t>CONTROLNET T-TAP/STRAIGHT</t>
  </si>
  <si>
    <t>1786-RG6</t>
  </si>
  <si>
    <t>CONTROLNET RG6 SHIELD HIGH FLEX CABLE-1000FT ROLL</t>
  </si>
  <si>
    <t>79-132 VAC INPUT  16 PTS (20 PIN)</t>
  </si>
  <si>
    <t>1756-TBNH</t>
  </si>
  <si>
    <t>1794-ACN15</t>
  </si>
  <si>
    <t>SINGLE MEDIA ADAPTER FOR CONTROLNET</t>
  </si>
  <si>
    <t>1794-PS13</t>
  </si>
  <si>
    <t>85-264 VAC TO 24 VDC 1.3A POWER SUPPLY</t>
  </si>
  <si>
    <t>MVI94-GSC</t>
  </si>
  <si>
    <t>Prosoft ASCII Generic Serial Communication Module</t>
  </si>
  <si>
    <t>Ext. Price</t>
  </si>
  <si>
    <t>Disc. Price</t>
  </si>
  <si>
    <t>Price</t>
  </si>
  <si>
    <t xml:space="preserve"> </t>
  </si>
  <si>
    <t>Date 2/07/2007</t>
  </si>
  <si>
    <t>Software</t>
  </si>
  <si>
    <t>9324RLD700NXENE</t>
  </si>
  <si>
    <t>9701-VWSTENE</t>
  </si>
  <si>
    <t>RSVIEW Studio</t>
  </si>
  <si>
    <t>9701-VWSCWAENE</t>
  </si>
  <si>
    <t>SE Client</t>
  </si>
  <si>
    <t>9301-OPCSRVENE</t>
  </si>
  <si>
    <t>KPServer</t>
  </si>
  <si>
    <t>RS-Logix 5000 Pro Edition</t>
  </si>
  <si>
    <t>4 SLOT CONTROLLOGIX CHASSIS</t>
  </si>
  <si>
    <t>DataForth Signal Conditioners</t>
  </si>
  <si>
    <t>SCM5B-31-03D</t>
  </si>
  <si>
    <t>SCM5B-43-05D</t>
  </si>
  <si>
    <t>SCMXCA-004 12</t>
  </si>
  <si>
    <t>SCMXIF-DIN</t>
  </si>
  <si>
    <t>Breakout Board Din Mounted</t>
  </si>
  <si>
    <t>SCMXRK-002</t>
  </si>
  <si>
    <t>Rack Mounting Plate 19"</t>
  </si>
  <si>
    <t>XPN-7324</t>
  </si>
  <si>
    <t>ABA-05</t>
  </si>
  <si>
    <t>Data Cable Access Panel</t>
  </si>
  <si>
    <t>XPN-0324-CAP</t>
  </si>
  <si>
    <t>HW-092</t>
  </si>
  <si>
    <t>HW-103</t>
  </si>
  <si>
    <t>Threaded captive clip nut</t>
  </si>
  <si>
    <t>SCMPB-05-02</t>
  </si>
  <si>
    <t>Backplane-8 channels with DIN mounts</t>
  </si>
  <si>
    <t>Strain Gage Input Module</t>
  </si>
  <si>
    <t>General Purpose with excitation 5V in / 10V out</t>
  </si>
  <si>
    <t>XFR-317824</t>
  </si>
  <si>
    <t>Vertical Frame 31.562 deep 82.375 Tall 27.562 wide</t>
  </si>
  <si>
    <t>XMA-78</t>
  </si>
  <si>
    <t>Mounting Angle Pair</t>
  </si>
  <si>
    <t>Panel 73.5" Tall 24" wide</t>
  </si>
  <si>
    <t xml:space="preserve">DS-XSR-7824 </t>
  </si>
  <si>
    <t>Front Door</t>
  </si>
  <si>
    <t>Rear Door</t>
  </si>
  <si>
    <t>DS-XSL-7824</t>
  </si>
  <si>
    <t>Equipment Shelf</t>
  </si>
  <si>
    <t>XES-2024</t>
  </si>
  <si>
    <t>Side Panel</t>
  </si>
  <si>
    <t>XSP-3178-S</t>
  </si>
  <si>
    <t>Top Panel</t>
  </si>
  <si>
    <t>XPN-2819</t>
  </si>
  <si>
    <t>Latch/Slotted</t>
  </si>
  <si>
    <t>Terminal Blocks Single Level</t>
  </si>
  <si>
    <t>Terminal Blocks Triple Level</t>
  </si>
  <si>
    <t>Terminal Blocks Double Level</t>
  </si>
  <si>
    <t>1492-W4</t>
  </si>
  <si>
    <t>Wire Duct 2" x4" x 6ft length</t>
  </si>
  <si>
    <t>2"x 4" Wire Duct cover 6ft length</t>
  </si>
  <si>
    <t>C2LG6</t>
  </si>
  <si>
    <t>D2x4LKG6</t>
  </si>
  <si>
    <t>D1.5x4LG6</t>
  </si>
  <si>
    <t>Wirer Duct 1.5'x4'x6ft length</t>
  </si>
  <si>
    <t>C1.5LG6</t>
  </si>
  <si>
    <t>1.5"x4" wire Duct cover 6ft length</t>
  </si>
  <si>
    <t>1492-EB3</t>
  </si>
  <si>
    <t>End barrier for W4</t>
  </si>
  <si>
    <t>End Anchor for W4</t>
  </si>
  <si>
    <t>1492-EA35</t>
  </si>
  <si>
    <t>Terminal Group marker</t>
  </si>
  <si>
    <t>1492-GM35</t>
  </si>
  <si>
    <t>1492-WD3</t>
  </si>
  <si>
    <t>1492-EBD3</t>
  </si>
  <si>
    <t>End Barrier for WD3</t>
  </si>
  <si>
    <t xml:space="preserve">1492-EAH35 </t>
  </si>
  <si>
    <t>End Anchor for WD3</t>
  </si>
  <si>
    <t>1492-WTF3</t>
  </si>
  <si>
    <t>1492-EBFT3</t>
  </si>
  <si>
    <t>End Barrier for WTF3</t>
  </si>
  <si>
    <t>1492-SJT5-20-B</t>
  </si>
  <si>
    <t>JUMPERS 20-POLE PACAKGE OF 10</t>
  </si>
  <si>
    <t>800T-H33B</t>
  </si>
  <si>
    <t>800T-J91A</t>
  </si>
  <si>
    <t>SWITCH 3-POSITION STC, 2NO, 2NC</t>
  </si>
  <si>
    <t>KEYED SELECTOR SWITCH 2-POLE 2NO / 2NC</t>
  </si>
  <si>
    <t>700-ha33z24</t>
  </si>
  <si>
    <t>CONTROL RELAY 2PDT 24VDC 8-PIN</t>
  </si>
  <si>
    <t>700-HN126</t>
  </si>
  <si>
    <t>SOCKET FOR CONTROL RELAY</t>
  </si>
  <si>
    <t>1492-CB1G100</t>
  </si>
  <si>
    <t>CIRCUIT BREAKER 10 AMPS</t>
  </si>
  <si>
    <t>1492-CB1G020</t>
  </si>
  <si>
    <t>CIRCUIT BREAKER 2 AMPS</t>
  </si>
  <si>
    <t xml:space="preserve">1492-CB1G050 </t>
  </si>
  <si>
    <t>CIRCUIT BREAKER 5 AMPS</t>
  </si>
  <si>
    <t>199-DR1</t>
  </si>
  <si>
    <t>DIN MOUNTING RAIL</t>
  </si>
  <si>
    <t>LVDT signal conditioner 24Vdc</t>
  </si>
  <si>
    <t>SDP5-5-100T</t>
  </si>
  <si>
    <t>PSU 5 volts</t>
  </si>
  <si>
    <t>PSU 24V Psu</t>
  </si>
  <si>
    <t>885-2269</t>
  </si>
  <si>
    <t>BANANA JACK DOUBLE, BLACK</t>
  </si>
  <si>
    <t>A423008LP</t>
  </si>
  <si>
    <t>SINGLE DOOR ENCLOSURE HOFFMAN</t>
  </si>
  <si>
    <t>a42p30</t>
  </si>
  <si>
    <t>PANEL FOR ENCLOSURE</t>
  </si>
  <si>
    <t>90F7644</t>
  </si>
  <si>
    <t>RELAY TIMER</t>
  </si>
  <si>
    <t>TERMINATION SUPPLIES, FERRULES, ETC</t>
  </si>
  <si>
    <t>534-1301</t>
  </si>
  <si>
    <t>ALPHA 5470/25C</t>
  </si>
  <si>
    <t>Rack hardware</t>
  </si>
  <si>
    <t>Rack Chassis</t>
  </si>
  <si>
    <t>Cables</t>
  </si>
  <si>
    <t xml:space="preserve">Total </t>
  </si>
  <si>
    <t>Magnets</t>
  </si>
  <si>
    <t>Panel reducers</t>
  </si>
  <si>
    <t>qty</t>
  </si>
  <si>
    <t>ALPHA 1736C/R1000</t>
  </si>
  <si>
    <t>ALPHA 45470/20C</t>
  </si>
  <si>
    <t xml:space="preserve">CABLE 2 COND 22AWG  500 ft </t>
  </si>
  <si>
    <t>CABLE 25 COND 20AWG 500 ft</t>
  </si>
  <si>
    <t>CABLE 20COND 20 AWG 500 ft</t>
  </si>
  <si>
    <t>1756-IV16</t>
  </si>
  <si>
    <t>16 channel Digital Input Module</t>
  </si>
  <si>
    <t>Subsystem of New System : Cryogenics/Other</t>
  </si>
  <si>
    <t>Module</t>
  </si>
  <si>
    <t>OW16I</t>
  </si>
  <si>
    <t>IF16</t>
  </si>
  <si>
    <t>Configuration</t>
  </si>
  <si>
    <t>Single_Ended voltage</t>
  </si>
  <si>
    <t>Differential_Mode Voltage</t>
  </si>
  <si>
    <t>Chasis Slot #</t>
  </si>
  <si>
    <t>Channel</t>
  </si>
  <si>
    <t>MOT_JTV1_Open</t>
  </si>
  <si>
    <t>MOT_JTV1_Close</t>
  </si>
  <si>
    <t>LVDT_JTV1</t>
  </si>
  <si>
    <t>MOT_JTV2_Open</t>
  </si>
  <si>
    <t>Warm_Return_Position</t>
  </si>
  <si>
    <t>LVDT_JTV2</t>
  </si>
  <si>
    <t>MOT_JTV2_Close</t>
  </si>
  <si>
    <t>LVDT_JTV3</t>
  </si>
  <si>
    <t>MOT_JTV3_Open</t>
  </si>
  <si>
    <t>Warm_return_Open</t>
  </si>
  <si>
    <t>LVDT_JTV4</t>
  </si>
  <si>
    <t>MOT_JTV3_Close</t>
  </si>
  <si>
    <t>Warm_return_Close</t>
  </si>
  <si>
    <t>LVDT_JTV5</t>
  </si>
  <si>
    <t>MOT_JTV4_Open</t>
  </si>
  <si>
    <t>LVDT_JTV6</t>
  </si>
  <si>
    <t>MOT_JTV4_Close</t>
  </si>
  <si>
    <t>MOT_JTV5_Open</t>
  </si>
  <si>
    <t>Keep_Alive_Reset</t>
  </si>
  <si>
    <t>N/A</t>
  </si>
  <si>
    <t>MOT_JTV5_Close</t>
  </si>
  <si>
    <t>Keep_Alive_Control</t>
  </si>
  <si>
    <t>MOT_JTV6_Open</t>
  </si>
  <si>
    <t>JVT Mtrs KS remote</t>
  </si>
  <si>
    <t>MOT_JTV6-Close</t>
  </si>
  <si>
    <t>PLC_Fast_Relay</t>
  </si>
  <si>
    <t>PSU_Control_pwr_on</t>
  </si>
  <si>
    <t>PLC_Slow_Relay</t>
  </si>
  <si>
    <t>PSU_Main_pwr_on</t>
  </si>
  <si>
    <t>PSU_ready</t>
  </si>
  <si>
    <t>PSU_Sum_Interlocks</t>
  </si>
  <si>
    <t>Danf_QD_Reset</t>
  </si>
  <si>
    <t>I/O Rack / Hardware / Cable per Magnet</t>
  </si>
  <si>
    <t>1756-L62M</t>
  </si>
  <si>
    <t>LOGIX5562 PROCESSOR WITH 4 MBYTE NV MEMORY</t>
  </si>
  <si>
    <t>IV16</t>
  </si>
  <si>
    <t>20 NEMA Screw Clamp Block</t>
  </si>
  <si>
    <t>LVC-2500</t>
  </si>
  <si>
    <t>Relay Board</t>
  </si>
  <si>
    <t>PR</t>
  </si>
  <si>
    <t>Ordered</t>
  </si>
  <si>
    <t>unit Cost</t>
  </si>
  <si>
    <t>Total Cost</t>
  </si>
  <si>
    <t>Date</t>
  </si>
  <si>
    <t>SDN10-24-100P</t>
  </si>
  <si>
    <t>Sent Date</t>
  </si>
  <si>
    <t>PR Estimate</t>
  </si>
  <si>
    <t>Vendor</t>
  </si>
  <si>
    <t>Dataforth</t>
  </si>
  <si>
    <t>EECO</t>
  </si>
  <si>
    <t>Total</t>
  </si>
  <si>
    <t>SHMS Electrical Components</t>
  </si>
  <si>
    <t>12CCMC</t>
  </si>
  <si>
    <t>12GEV</t>
  </si>
  <si>
    <t>43-014 &amp; 43-053</t>
  </si>
  <si>
    <t>PO /Buyer</t>
  </si>
  <si>
    <t>Delivery Complete</t>
  </si>
  <si>
    <t>1756-OG16</t>
  </si>
  <si>
    <t>0-5 TTL output</t>
  </si>
  <si>
    <t>DC (10-30V) Sourcing Input Module</t>
  </si>
  <si>
    <t>PO Cost</t>
  </si>
  <si>
    <t>Location</t>
  </si>
  <si>
    <t>PR/PO</t>
  </si>
  <si>
    <t>289237 / 10-P1267</t>
  </si>
  <si>
    <t>Actual part #</t>
  </si>
  <si>
    <t>CMA1D03A</t>
  </si>
  <si>
    <t>ICC-ER-B24</t>
  </si>
  <si>
    <t>Model LM-500 with model 3DA sensor + cables</t>
  </si>
  <si>
    <t>Model LM-500 with model LN2 sensor + cables</t>
  </si>
  <si>
    <t>WRG-S-DN40CF Wide Range Vacuum Gauge</t>
  </si>
  <si>
    <t>1756-DNB</t>
  </si>
  <si>
    <t>10 slot chassis</t>
  </si>
  <si>
    <t>PO</t>
  </si>
  <si>
    <t>Qty per magnet/rack</t>
  </si>
  <si>
    <t>Dataforth Signal Conditioner Table SCM5B modules</t>
  </si>
  <si>
    <t>Connectors &amp; hardware</t>
  </si>
  <si>
    <t>CE5-C-TX-HZ-G</t>
  </si>
  <si>
    <t>1756-OF4</t>
  </si>
  <si>
    <t>OF4</t>
  </si>
  <si>
    <t>0-5 volts output</t>
  </si>
  <si>
    <t>JT1 LN2 Cooldown</t>
  </si>
  <si>
    <t>JT3 He Cooldown</t>
  </si>
  <si>
    <t>JT5 He Top Fill</t>
  </si>
  <si>
    <t>JT6 He Cold Return</t>
  </si>
  <si>
    <t>JT4 He Bottom Fill</t>
  </si>
  <si>
    <t>QD_U1</t>
  </si>
  <si>
    <t>QD_L1</t>
  </si>
  <si>
    <t>QD_U2</t>
  </si>
  <si>
    <t>QD_L2</t>
  </si>
  <si>
    <t>QD_U3</t>
  </si>
  <si>
    <t>QD_L3</t>
  </si>
  <si>
    <t>QD_U4</t>
  </si>
  <si>
    <t>QD_L4</t>
  </si>
  <si>
    <t>QD_Sum</t>
  </si>
  <si>
    <t>Vacuum_power</t>
  </si>
  <si>
    <t>Power_liquid_level_meter</t>
  </si>
  <si>
    <t>Coil 1</t>
  </si>
  <si>
    <t>Coil 2</t>
  </si>
  <si>
    <t>Single_Ended_Mode Voltage</t>
  </si>
  <si>
    <t>JT2 LN2 Top Fill</t>
  </si>
  <si>
    <t>Analog Voltage Input Module 10V in / 10V out</t>
  </si>
  <si>
    <t>TED 1544</t>
  </si>
  <si>
    <t>1756-IF4FXOF2F</t>
  </si>
  <si>
    <t xml:space="preserve">2 position </t>
  </si>
  <si>
    <t>3 position switch</t>
  </si>
  <si>
    <t>Summary of  Hardware:</t>
  </si>
  <si>
    <t>Unit Cost</t>
  </si>
  <si>
    <t>1489-A2C020</t>
  </si>
  <si>
    <t>1489-A2C050</t>
  </si>
  <si>
    <t>1489-A2C100</t>
  </si>
  <si>
    <t>Circuit Breaker 2A</t>
  </si>
  <si>
    <t>Circuit Breaker 5A</t>
  </si>
  <si>
    <t>Circuit Breaker 10A</t>
  </si>
  <si>
    <t>1492-JD3</t>
  </si>
  <si>
    <t>1492-EAJ35</t>
  </si>
  <si>
    <t>AB end anchor</t>
  </si>
  <si>
    <t>AB double terminal block</t>
  </si>
  <si>
    <t>319742/12-P1962-0</t>
  </si>
  <si>
    <t>5 magnets</t>
  </si>
  <si>
    <t>Cables Ordered</t>
  </si>
  <si>
    <t>1783-US08T</t>
  </si>
  <si>
    <t>1756-EN2T</t>
  </si>
  <si>
    <t>9701-VWSS000LENE</t>
  </si>
  <si>
    <t>RSView Enterprise unlimited displays *(Trade in not shown)</t>
  </si>
  <si>
    <t>4 channel Hi speed buffered Input</t>
  </si>
  <si>
    <t>326872 / 13-0532</t>
  </si>
  <si>
    <t>Analog Voltage Input Module 40V in / 10V out</t>
  </si>
  <si>
    <t>SCM5B-31-09D</t>
  </si>
  <si>
    <t xml:space="preserve">4 output voltage or current </t>
  </si>
  <si>
    <t>293267 / 10-M2704-0</t>
  </si>
  <si>
    <t>326569/13-M0462</t>
  </si>
  <si>
    <t>Rotation cable</t>
  </si>
  <si>
    <t>sub-Total</t>
  </si>
  <si>
    <t>total</t>
  </si>
  <si>
    <t>Estimate of Various reqs for hardware</t>
  </si>
  <si>
    <t>8 Channels</t>
  </si>
  <si>
    <t>Device net Bridge</t>
  </si>
  <si>
    <t>Ethernet switch</t>
  </si>
  <si>
    <t>Control Logix Ethernet/IP module</t>
  </si>
  <si>
    <t>#10-32 thread truss head machine screw</t>
  </si>
  <si>
    <t>31-09D [+/-40V - +/-10V]</t>
  </si>
  <si>
    <t>Vacuum</t>
  </si>
  <si>
    <t>Temperature sensors</t>
  </si>
  <si>
    <t>Voltage Taps</t>
  </si>
  <si>
    <t>Signal description</t>
  </si>
  <si>
    <t>Range</t>
  </si>
  <si>
    <t>Temperature</t>
  </si>
  <si>
    <t>&gt; 60 K</t>
  </si>
  <si>
    <t xml:space="preserve"> +/- 10 VDC</t>
  </si>
  <si>
    <t>1756 - IF16</t>
  </si>
  <si>
    <t>Pressure</t>
  </si>
  <si>
    <t>Pressure gauges</t>
  </si>
  <si>
    <t>LN2 Pressure</t>
  </si>
  <si>
    <t>0.4 - 5 Bar</t>
  </si>
  <si>
    <t>P6P/5bar Hottinger Baldwin Gmbh 5V/225Hz strain gauge full bridge</t>
  </si>
  <si>
    <t>Dataforth SCM5B38 - 35D</t>
  </si>
  <si>
    <t>LHe Pressure</t>
  </si>
  <si>
    <t>Vacuum gauges</t>
  </si>
  <si>
    <t>LH Thermovac  TR206</t>
  </si>
  <si>
    <t>Vacuum gauge</t>
  </si>
  <si>
    <t>760 Torr to  1x10-3 Torr</t>
  </si>
  <si>
    <t>0 - 10 VDC</t>
  </si>
  <si>
    <t>Strain Gauges</t>
  </si>
  <si>
    <t>Strain Guages/ Load cells</t>
  </si>
  <si>
    <t>Radial Gauges</t>
  </si>
  <si>
    <t>0 to 5 kgf</t>
  </si>
  <si>
    <t xml:space="preserve"> Full bridged 350Ohms 1mV/V @ 11,000 lbf</t>
  </si>
  <si>
    <t>AWG-24 4-wire shield cable</t>
  </si>
  <si>
    <t>Tuchel 5 pin socket</t>
  </si>
  <si>
    <t>Axial Gauges</t>
  </si>
  <si>
    <t>Strainsert FL10U(C)-2SG(W)B</t>
  </si>
  <si>
    <t>Liquid Level</t>
  </si>
  <si>
    <t>Level Probes</t>
  </si>
  <si>
    <t>LN2 Level</t>
  </si>
  <si>
    <t>0 - 100 %</t>
  </si>
  <si>
    <t>LN2 - Capitance 3 wire</t>
  </si>
  <si>
    <t>None</t>
  </si>
  <si>
    <t xml:space="preserve"> 4-20 mA</t>
  </si>
  <si>
    <t>LHe Level S# 616-412-25-006</t>
  </si>
  <si>
    <t>740mm active length, 1340mm overall length, 0 to 0.5V (100% to 0%)</t>
  </si>
  <si>
    <t>10 pin  4 used</t>
  </si>
  <si>
    <t>Dataforth SCM5B31 - 03D</t>
  </si>
  <si>
    <t>Gas Flow Meters</t>
  </si>
  <si>
    <t>He Mass Flow Meters</t>
  </si>
  <si>
    <t xml:space="preserve">Lead He Gas Flow </t>
  </si>
  <si>
    <t>0-2000 sccm N2</t>
  </si>
  <si>
    <t xml:space="preserve">MKS 1749A-02000SV </t>
  </si>
  <si>
    <t xml:space="preserve"> None</t>
  </si>
  <si>
    <t>JT Valves</t>
  </si>
  <si>
    <t xml:space="preserve">Valves </t>
  </si>
  <si>
    <t>JT Valve Manual/Auto Switch</t>
  </si>
  <si>
    <t>Switch for all 11 JT valves</t>
  </si>
  <si>
    <t>1756 - IB16D</t>
  </si>
  <si>
    <t>Jt Valve Motors</t>
  </si>
  <si>
    <t>Globe Motor (24 VDC @ 0.8A)</t>
  </si>
  <si>
    <t>Dataforth DSCA43-15C</t>
  </si>
  <si>
    <t xml:space="preserve">24V dc out to motor. </t>
  </si>
  <si>
    <t>1756 - OW16</t>
  </si>
  <si>
    <t xml:space="preserve">   LVDT</t>
  </si>
  <si>
    <t>-6-100%</t>
  </si>
  <si>
    <t>LVDT</t>
  </si>
  <si>
    <t>Macro Sensors LVC-2402</t>
  </si>
  <si>
    <t>4-20 mA</t>
  </si>
  <si>
    <t xml:space="preserve">Quench detector </t>
  </si>
  <si>
    <t>4 channel unit</t>
  </si>
  <si>
    <t>Interlock Signals</t>
  </si>
  <si>
    <t>Digital Signal</t>
  </si>
  <si>
    <t>Relay Contact</t>
  </si>
  <si>
    <t>Reset Signal</t>
  </si>
  <si>
    <t>Heaters/Thermostat external</t>
  </si>
  <si>
    <t>NMR Unit</t>
  </si>
  <si>
    <t>NMR</t>
  </si>
  <si>
    <t>PLC commuications</t>
  </si>
  <si>
    <t>Ascii</t>
  </si>
  <si>
    <t>Metrolab Field Regulation RG2040</t>
  </si>
  <si>
    <t>Flex I/O</t>
  </si>
  <si>
    <t>RS232</t>
  </si>
  <si>
    <t>Control Net</t>
  </si>
  <si>
    <t>Power on/off relay</t>
  </si>
  <si>
    <t>Power Supply</t>
  </si>
  <si>
    <t>PSU</t>
  </si>
  <si>
    <t xml:space="preserve">   PSU Interlocks and Status Signals</t>
  </si>
  <si>
    <t>Interlock and Status Signals from PSU</t>
  </si>
  <si>
    <t xml:space="preserve">   PSU Interlocks</t>
  </si>
  <si>
    <t>Interlock Signals to the PSU from PLC</t>
  </si>
  <si>
    <t xml:space="preserve">   PSU Reset Signal</t>
  </si>
  <si>
    <t>Reset Signal to PSU &amp; Diodes</t>
  </si>
  <si>
    <t>PSU Course Current Signal</t>
  </si>
  <si>
    <t xml:space="preserve">3 V dc +/- Dac output from PSU </t>
  </si>
  <si>
    <t>Date 6/14/2018</t>
  </si>
  <si>
    <t>Solid - Cleo II Controls</t>
  </si>
  <si>
    <t>AB9518HSW2K5</t>
  </si>
  <si>
    <t>Historian</t>
  </si>
  <si>
    <t>AB9518HCALENE</t>
  </si>
  <si>
    <t>Historian CLIENT</t>
  </si>
  <si>
    <t>1756-A4</t>
  </si>
  <si>
    <t>1756-L72</t>
  </si>
  <si>
    <t>LOGIX5572 PROCESSOR WITH 4 MBYTE NV MEMORY</t>
  </si>
  <si>
    <t>1756-PA75</t>
  </si>
  <si>
    <t>85-265 VAC POWER SUPPLY (5V @ 13 AMP)</t>
  </si>
  <si>
    <t>1756RMC1</t>
  </si>
  <si>
    <t>175 REDUNDANCY MODULE CABLE - 1 METER,  3.28FT</t>
  </si>
  <si>
    <t>1757-RM2</t>
  </si>
  <si>
    <t>Subsystem of New System : Cleo II magnet I/O</t>
  </si>
  <si>
    <t>4 slot chassis</t>
  </si>
  <si>
    <t>PLC Controller Hardware:</t>
  </si>
  <si>
    <t>Server Windows based</t>
  </si>
  <si>
    <t>Client PC</t>
  </si>
  <si>
    <t>10-slot chasis</t>
  </si>
  <si>
    <t>Redundant PLC L55m23</t>
  </si>
  <si>
    <t>CNB/D</t>
  </si>
  <si>
    <t>Taps</t>
  </si>
  <si>
    <t>Terminators</t>
  </si>
  <si>
    <t>Redundancy cable</t>
  </si>
  <si>
    <t>System Redundancy Module</t>
  </si>
  <si>
    <t>Progamming cable</t>
  </si>
  <si>
    <t>Empty Slot Filler</t>
  </si>
  <si>
    <t>Subtotal</t>
  </si>
  <si>
    <t>Cost</t>
  </si>
  <si>
    <t>PLC</t>
  </si>
  <si>
    <t>Magnet</t>
  </si>
  <si>
    <t>Software:</t>
  </si>
  <si>
    <t>PLC Hardware:</t>
  </si>
  <si>
    <t>RSLogix 5000 Pro edition</t>
  </si>
  <si>
    <t>10-slot Chasis</t>
  </si>
  <si>
    <t>Screw Clamp Blocks</t>
  </si>
  <si>
    <t>RSView Client</t>
  </si>
  <si>
    <t>TechConnect Support 1 yr</t>
  </si>
  <si>
    <t>PSU-PS13</t>
  </si>
  <si>
    <t>MVI-94 gsc</t>
  </si>
  <si>
    <t>FLEX ACN15</t>
  </si>
  <si>
    <t>A/B Breakers</t>
  </si>
  <si>
    <t>PSU  5V</t>
  </si>
  <si>
    <t>PSU 24V</t>
  </si>
  <si>
    <t>Cables:</t>
  </si>
  <si>
    <t>Belden 23524 12twpr 18awg 500ft</t>
  </si>
  <si>
    <t>Belden 1058A 12twpr 22awg 500ft</t>
  </si>
  <si>
    <t>Belden 1060A 24twpr 22awg 500ft</t>
  </si>
  <si>
    <t>Belden 9949 37cond 18awg 500ft</t>
  </si>
  <si>
    <t>Hardware and Testing:</t>
  </si>
  <si>
    <t>Omega Signal Conditioners</t>
  </si>
  <si>
    <t>Dataforth Signal Conditioners</t>
  </si>
  <si>
    <t>Macro_sensors LVDT</t>
  </si>
  <si>
    <t>Relay Board JT</t>
  </si>
  <si>
    <t>Rack Hardware</t>
  </si>
  <si>
    <t>Quench Detector</t>
  </si>
  <si>
    <t>Current Boards</t>
  </si>
  <si>
    <t>Dataforth cable</t>
  </si>
  <si>
    <t>4-slot chasis</t>
  </si>
  <si>
    <t>18-P1254</t>
  </si>
  <si>
    <t>PSU 5V</t>
  </si>
  <si>
    <t>Redundant PLC AB1756182E</t>
  </si>
  <si>
    <t>PO#</t>
  </si>
  <si>
    <t>18-P1188</t>
  </si>
  <si>
    <t>Kepserver Enterprise ESD</t>
  </si>
  <si>
    <t>RSView Server unlimited</t>
  </si>
  <si>
    <t>LL_N2</t>
  </si>
  <si>
    <t>Temperature Sensor N2 Outer Radiation Shield</t>
  </si>
  <si>
    <t>Temperature Sensor N2 Inner Radiation Shield</t>
  </si>
  <si>
    <t>Temperature Sensor He Coil Shell</t>
  </si>
  <si>
    <t>TS1</t>
  </si>
  <si>
    <t>I+</t>
  </si>
  <si>
    <t>I-</t>
  </si>
  <si>
    <t>V+</t>
  </si>
  <si>
    <t>Wire color</t>
  </si>
  <si>
    <t>B</t>
  </si>
  <si>
    <t>Internal connector / pin</t>
  </si>
  <si>
    <t>H1 - 1</t>
  </si>
  <si>
    <t>H1 - 2</t>
  </si>
  <si>
    <t>H1 - 3</t>
  </si>
  <si>
    <t>H1 - 4</t>
  </si>
  <si>
    <t>Internal Cable #</t>
  </si>
  <si>
    <t>Vacuum Feed Thur Connector / Pin</t>
  </si>
  <si>
    <t xml:space="preserve">D1 - A </t>
  </si>
  <si>
    <t>D1 - B</t>
  </si>
  <si>
    <t>D1 - C</t>
  </si>
  <si>
    <t>D1 - D</t>
  </si>
  <si>
    <t>Wire Color</t>
  </si>
  <si>
    <t>TS2</t>
  </si>
  <si>
    <t>TS3</t>
  </si>
  <si>
    <t>TS4</t>
  </si>
  <si>
    <t>300 - 4 K</t>
  </si>
  <si>
    <t>H1 - 6</t>
  </si>
  <si>
    <t>H1 - 7</t>
  </si>
  <si>
    <t>H1 - 8</t>
  </si>
  <si>
    <t>H1 - 9</t>
  </si>
  <si>
    <t>H1 - 14</t>
  </si>
  <si>
    <t>H1 - 15</t>
  </si>
  <si>
    <t>H1 - 16</t>
  </si>
  <si>
    <t>H1 - 17</t>
  </si>
  <si>
    <t>H1 - 20</t>
  </si>
  <si>
    <t>H1 - 19</t>
  </si>
  <si>
    <t>H1 - 21</t>
  </si>
  <si>
    <t>H1 -22</t>
  </si>
  <si>
    <t>R</t>
  </si>
  <si>
    <t>O</t>
  </si>
  <si>
    <t>Y</t>
  </si>
  <si>
    <t>D1 - F</t>
  </si>
  <si>
    <t>D1 - H</t>
  </si>
  <si>
    <t>D1 - J</t>
  </si>
  <si>
    <t>D1 - K</t>
  </si>
  <si>
    <t>D1 - L</t>
  </si>
  <si>
    <t xml:space="preserve">D2 - A </t>
  </si>
  <si>
    <t>D2 - B</t>
  </si>
  <si>
    <t>D2 - C</t>
  </si>
  <si>
    <t>D2 - E</t>
  </si>
  <si>
    <t>D2 - F</t>
  </si>
  <si>
    <t>D2 - H</t>
  </si>
  <si>
    <t>TS5</t>
  </si>
  <si>
    <t>TS6</t>
  </si>
  <si>
    <t>TS21</t>
  </si>
  <si>
    <t>TS22</t>
  </si>
  <si>
    <t>TS23</t>
  </si>
  <si>
    <t>TS24</t>
  </si>
  <si>
    <t>TS25</t>
  </si>
  <si>
    <t>TS26</t>
  </si>
  <si>
    <t>TS33</t>
  </si>
  <si>
    <t>TS34</t>
  </si>
  <si>
    <t>G</t>
  </si>
  <si>
    <t>BC</t>
  </si>
  <si>
    <t>BR</t>
  </si>
  <si>
    <t>W</t>
  </si>
  <si>
    <t>V</t>
  </si>
  <si>
    <t>BL</t>
  </si>
  <si>
    <t>GR</t>
  </si>
  <si>
    <t>H1 - 11</t>
  </si>
  <si>
    <t>H1 - 12</t>
  </si>
  <si>
    <t>H2 - 1</t>
  </si>
  <si>
    <t>H2 - 2</t>
  </si>
  <si>
    <t>H2 - 3</t>
  </si>
  <si>
    <t>H2 - 4</t>
  </si>
  <si>
    <t>H2 - 6</t>
  </si>
  <si>
    <t>H2 - 7</t>
  </si>
  <si>
    <t>H2 - 8</t>
  </si>
  <si>
    <t>H2 - 9</t>
  </si>
  <si>
    <t>H2 - 19</t>
  </si>
  <si>
    <t>H2 - 20</t>
  </si>
  <si>
    <t>H2 - 21</t>
  </si>
  <si>
    <t>H2 - 22</t>
  </si>
  <si>
    <t>H2 - 14</t>
  </si>
  <si>
    <t>H2 - 15</t>
  </si>
  <si>
    <t>H2 - 16</t>
  </si>
  <si>
    <t>H2 - 17</t>
  </si>
  <si>
    <t>H2 - 11</t>
  </si>
  <si>
    <t>H2 - 12</t>
  </si>
  <si>
    <t>H2 - 23</t>
  </si>
  <si>
    <t>H2 - 24</t>
  </si>
  <si>
    <t>H3 - 1</t>
  </si>
  <si>
    <t>H3 - 2</t>
  </si>
  <si>
    <t>H3 - 3</t>
  </si>
  <si>
    <t>H3 - 4</t>
  </si>
  <si>
    <t>H3 - 6</t>
  </si>
  <si>
    <t>H3 - 7</t>
  </si>
  <si>
    <t>H3 - 8</t>
  </si>
  <si>
    <t>H3 - 9</t>
  </si>
  <si>
    <t>H3 - 14</t>
  </si>
  <si>
    <t>H3 - 15</t>
  </si>
  <si>
    <t>H3 - 16</t>
  </si>
  <si>
    <t>H3 - 17</t>
  </si>
  <si>
    <t>H3 - 19</t>
  </si>
  <si>
    <t>H3 - 20</t>
  </si>
  <si>
    <t>H3 - 21</t>
  </si>
  <si>
    <t>H3 - 22</t>
  </si>
  <si>
    <t>D3 - F</t>
  </si>
  <si>
    <t>D3 - B</t>
  </si>
  <si>
    <t>D3 - C</t>
  </si>
  <si>
    <t>C1 - A</t>
  </si>
  <si>
    <t>C2 - A</t>
  </si>
  <si>
    <t>C3 - A</t>
  </si>
  <si>
    <t>E3 - A</t>
  </si>
  <si>
    <t>D2 - D</t>
  </si>
  <si>
    <t>D2 - K</t>
  </si>
  <si>
    <t>D2 - L</t>
  </si>
  <si>
    <t>D3 - A</t>
  </si>
  <si>
    <t>D3 - D</t>
  </si>
  <si>
    <t>D3 - E</t>
  </si>
  <si>
    <t>C1 - B</t>
  </si>
  <si>
    <t>C1 - C</t>
  </si>
  <si>
    <t>C1 - D</t>
  </si>
  <si>
    <t>C1 - F</t>
  </si>
  <si>
    <t>C1 - H</t>
  </si>
  <si>
    <t>C1 - J</t>
  </si>
  <si>
    <t>C1 - K</t>
  </si>
  <si>
    <t>C1 - L</t>
  </si>
  <si>
    <t>C2 - B</t>
  </si>
  <si>
    <t>C2 - C</t>
  </si>
  <si>
    <t>C2 - D</t>
  </si>
  <si>
    <t>C2 - E</t>
  </si>
  <si>
    <t>C2 - F</t>
  </si>
  <si>
    <t>C2 - H</t>
  </si>
  <si>
    <t>C2 - K</t>
  </si>
  <si>
    <t>C2 - L</t>
  </si>
  <si>
    <t>C3 - B</t>
  </si>
  <si>
    <t>C3 - C</t>
  </si>
  <si>
    <t>C3 - D</t>
  </si>
  <si>
    <t>C3 - E</t>
  </si>
  <si>
    <t>C3 - F</t>
  </si>
  <si>
    <t>E3 - C</t>
  </si>
  <si>
    <t>E3 - D</t>
  </si>
  <si>
    <t>E3 - E</t>
  </si>
  <si>
    <t>E3 - F</t>
  </si>
  <si>
    <t>E3 - H</t>
  </si>
  <si>
    <t>E3 - J</t>
  </si>
  <si>
    <t>E3 - K</t>
  </si>
  <si>
    <t>E3 - L</t>
  </si>
  <si>
    <t>Rhodium/Fe 4-wire  PH20002</t>
  </si>
  <si>
    <t>K</t>
  </si>
  <si>
    <t>m = 10  b = 1</t>
  </si>
  <si>
    <t>CCL sensor #</t>
  </si>
  <si>
    <t>Δ T [K]</t>
  </si>
  <si>
    <t>Coil Outer shell</t>
  </si>
  <si>
    <t>m = 10  b = -1</t>
  </si>
  <si>
    <t>m = 10  b = 2</t>
  </si>
  <si>
    <t xml:space="preserve">Power </t>
  </si>
  <si>
    <t>TS7</t>
  </si>
  <si>
    <t>TS27</t>
  </si>
  <si>
    <t>TS28</t>
  </si>
  <si>
    <t>CU1</t>
  </si>
  <si>
    <t>CU2</t>
  </si>
  <si>
    <t>TS8</t>
  </si>
  <si>
    <t>D3 - K</t>
  </si>
  <si>
    <t>D3 - H</t>
  </si>
  <si>
    <t>D3 - J</t>
  </si>
  <si>
    <t>A1 - A</t>
  </si>
  <si>
    <t>A1 - C</t>
  </si>
  <si>
    <t>A1 - B</t>
  </si>
  <si>
    <t>A1 - D</t>
  </si>
  <si>
    <t>C3 - H</t>
  </si>
  <si>
    <t>C3 - J</t>
  </si>
  <si>
    <t>C3 - K</t>
  </si>
  <si>
    <t>C3 - L</t>
  </si>
  <si>
    <t>E1 - A</t>
  </si>
  <si>
    <t>E1 - B</t>
  </si>
  <si>
    <t>E1 - C</t>
  </si>
  <si>
    <t>E1 - D</t>
  </si>
  <si>
    <t>ON Helium Return pipe</t>
  </si>
  <si>
    <t>AST4</t>
  </si>
  <si>
    <t>3 WIRE</t>
  </si>
  <si>
    <t>F1 - H</t>
  </si>
  <si>
    <t>F1 - J</t>
  </si>
  <si>
    <t>F1 - K</t>
  </si>
  <si>
    <t>DIODE 2 WIRE</t>
  </si>
  <si>
    <t>F2 - A</t>
  </si>
  <si>
    <t>F2 - B</t>
  </si>
  <si>
    <t>F2- E</t>
  </si>
  <si>
    <t>F2- F</t>
  </si>
  <si>
    <t>TS29</t>
  </si>
  <si>
    <t>TS30</t>
  </si>
  <si>
    <t>TS31</t>
  </si>
  <si>
    <t>TS32</t>
  </si>
  <si>
    <t>N1 - 1</t>
  </si>
  <si>
    <t>N1 - 2</t>
  </si>
  <si>
    <t>N1 - 3</t>
  </si>
  <si>
    <t>N1 - 4</t>
  </si>
  <si>
    <t>N1 - 6</t>
  </si>
  <si>
    <t>N1 - 7</t>
  </si>
  <si>
    <t>N1 - 8</t>
  </si>
  <si>
    <t>N1 - 9</t>
  </si>
  <si>
    <t>N1 - 14</t>
  </si>
  <si>
    <t>N1 - 16</t>
  </si>
  <si>
    <t>N1 - 15</t>
  </si>
  <si>
    <t>N1 - 17</t>
  </si>
  <si>
    <t>N1 - 19</t>
  </si>
  <si>
    <t>N1 - 20</t>
  </si>
  <si>
    <t>N1 - 21</t>
  </si>
  <si>
    <t>N1 - 22</t>
  </si>
  <si>
    <t>E1- F</t>
  </si>
  <si>
    <t>E1 - H</t>
  </si>
  <si>
    <t>E1 - J</t>
  </si>
  <si>
    <t>E1 - K</t>
  </si>
  <si>
    <t>E1 - L</t>
  </si>
  <si>
    <t>E2 - A</t>
  </si>
  <si>
    <t>E2 - B</t>
  </si>
  <si>
    <t>E2 - C</t>
  </si>
  <si>
    <t>E2 - E</t>
  </si>
  <si>
    <t>E2 - F</t>
  </si>
  <si>
    <t>E2 - H</t>
  </si>
  <si>
    <t>E2 - J</t>
  </si>
  <si>
    <t>E2 - K</t>
  </si>
  <si>
    <t>TS12</t>
  </si>
  <si>
    <t>TS13</t>
  </si>
  <si>
    <t>TS9</t>
  </si>
  <si>
    <t>TS10</t>
  </si>
  <si>
    <t>TS11</t>
  </si>
  <si>
    <t>N2 - 6</t>
  </si>
  <si>
    <t>N2 - 7</t>
  </si>
  <si>
    <t>N2 - 8</t>
  </si>
  <si>
    <t>N2 - 9</t>
  </si>
  <si>
    <t>N2 - 14</t>
  </si>
  <si>
    <t>N2 - 15</t>
  </si>
  <si>
    <t>N2 - 16</t>
  </si>
  <si>
    <t>N2 - 17</t>
  </si>
  <si>
    <t>N2 - 1</t>
  </si>
  <si>
    <t>N2 - 2</t>
  </si>
  <si>
    <t>N2 - 3</t>
  </si>
  <si>
    <t>N2 - 4</t>
  </si>
  <si>
    <t>A3 - A</t>
  </si>
  <si>
    <t>A3 - B</t>
  </si>
  <si>
    <t>A3 - C</t>
  </si>
  <si>
    <t>A3 - D</t>
  </si>
  <si>
    <t>A3 - H</t>
  </si>
  <si>
    <t>A3 - J</t>
  </si>
  <si>
    <t>A3 - K</t>
  </si>
  <si>
    <t>A3 - L</t>
  </si>
  <si>
    <t>A2 - H</t>
  </si>
  <si>
    <t>A2 - K</t>
  </si>
  <si>
    <t>A2 - L</t>
  </si>
  <si>
    <t>A2 - J</t>
  </si>
  <si>
    <t>AST1a</t>
  </si>
  <si>
    <t>AST2</t>
  </si>
  <si>
    <t>Return</t>
  </si>
  <si>
    <t>Supply</t>
  </si>
  <si>
    <t>F2 - J</t>
  </si>
  <si>
    <t>F2 - K</t>
  </si>
  <si>
    <t xml:space="preserve">F2 - L </t>
  </si>
  <si>
    <t>F1 - A</t>
  </si>
  <si>
    <t>F1 - B</t>
  </si>
  <si>
    <t>F1 - C</t>
  </si>
  <si>
    <t>A1 - H</t>
  </si>
  <si>
    <t>A1 - J</t>
  </si>
  <si>
    <t>A1 - K</t>
  </si>
  <si>
    <t>A1 - L</t>
  </si>
  <si>
    <t>A2 - A</t>
  </si>
  <si>
    <t>A2 - B</t>
  </si>
  <si>
    <t>A2 - C</t>
  </si>
  <si>
    <t>A2 - D</t>
  </si>
  <si>
    <t>mV</t>
  </si>
  <si>
    <t>Voltage from a 100uA</t>
  </si>
  <si>
    <t>m = 10  b = 3</t>
  </si>
  <si>
    <t>m = 10  b = -2</t>
  </si>
  <si>
    <t>10 pin vacuum feedthrough</t>
  </si>
  <si>
    <t>25 pin D connectors</t>
  </si>
  <si>
    <t>VT 6</t>
  </si>
  <si>
    <t>VT 7</t>
  </si>
  <si>
    <t>VT 4</t>
  </si>
  <si>
    <t>VT 5</t>
  </si>
  <si>
    <t>B86</t>
  </si>
  <si>
    <t>B2 - L</t>
  </si>
  <si>
    <t>B91</t>
  </si>
  <si>
    <t>B3 - L</t>
  </si>
  <si>
    <t>VT #</t>
  </si>
  <si>
    <t>VT 2</t>
  </si>
  <si>
    <t>VT 3</t>
  </si>
  <si>
    <t>5 G</t>
  </si>
  <si>
    <t>H4 - 25</t>
  </si>
  <si>
    <t xml:space="preserve">83 G </t>
  </si>
  <si>
    <t>1 BR</t>
  </si>
  <si>
    <t>H4 - 1</t>
  </si>
  <si>
    <t>77 B</t>
  </si>
  <si>
    <t>FL 1</t>
  </si>
  <si>
    <t>FL 2</t>
  </si>
  <si>
    <t>10 B</t>
  </si>
  <si>
    <t>10 BR</t>
  </si>
  <si>
    <t>H4 - 5</t>
  </si>
  <si>
    <t>H4 - 9</t>
  </si>
  <si>
    <t>80 B</t>
  </si>
  <si>
    <t>81 BR</t>
  </si>
  <si>
    <t>11 O</t>
  </si>
  <si>
    <t>85 O</t>
  </si>
  <si>
    <t>H4 - 23</t>
  </si>
  <si>
    <t>11 BR</t>
  </si>
  <si>
    <t>90 BR</t>
  </si>
  <si>
    <t>VT 1</t>
  </si>
  <si>
    <t>3 O</t>
  </si>
  <si>
    <t>H4 - 7</t>
  </si>
  <si>
    <t>79 O</t>
  </si>
  <si>
    <t>Internal Wire # color</t>
  </si>
  <si>
    <t>Internal Cable # Color</t>
  </si>
  <si>
    <t>B2 - C</t>
  </si>
  <si>
    <t>B1 - A</t>
  </si>
  <si>
    <t xml:space="preserve"> B </t>
  </si>
  <si>
    <t xml:space="preserve">B1 - J </t>
  </si>
  <si>
    <t>B1 - K</t>
  </si>
  <si>
    <t>B2 - H</t>
  </si>
  <si>
    <t>B3 - H</t>
  </si>
  <si>
    <t>B1 - E</t>
  </si>
  <si>
    <t xml:space="preserve">B </t>
  </si>
  <si>
    <t>H4 - 16</t>
  </si>
  <si>
    <t>at Bottom of current lead A</t>
  </si>
  <si>
    <t>at Bottom of current lead B</t>
  </si>
  <si>
    <t>at Top of current lead A Warm end</t>
  </si>
  <si>
    <t>at Top of current lead B Warm end</t>
  </si>
  <si>
    <t>Section 7.4 Page 85</t>
  </si>
  <si>
    <t>Flux Loop 1 inner coil</t>
  </si>
  <si>
    <t>Flux loop 2 outer coil</t>
  </si>
  <si>
    <t>I -</t>
  </si>
  <si>
    <t>V -</t>
  </si>
  <si>
    <t>I +</t>
  </si>
  <si>
    <t>V +</t>
  </si>
  <si>
    <t>uW</t>
  </si>
  <si>
    <t xml:space="preserve"> +/- 10mV in +/- 10V out</t>
  </si>
  <si>
    <t>Constant Current Source</t>
  </si>
  <si>
    <t>100uA</t>
  </si>
  <si>
    <t>8 Channels per card</t>
  </si>
  <si>
    <t>SCM5B-30-01D</t>
  </si>
  <si>
    <t>Analog Input Narrow bandwidth 10mV in / 10V out</t>
  </si>
  <si>
    <t>Date Oct. 26, 2018</t>
  </si>
  <si>
    <t>Ribbon Cable</t>
  </si>
  <si>
    <t>Constant current Source boards 8channels</t>
  </si>
  <si>
    <t>2007 prices and part number</t>
  </si>
  <si>
    <t>2007 prices</t>
  </si>
  <si>
    <t>part #</t>
  </si>
  <si>
    <t>unit cost</t>
  </si>
  <si>
    <t>OmegaDyne PX35D1-100GV</t>
  </si>
  <si>
    <t>MCR-500SLPM-D_remote/5M,5IN,Gas:He</t>
  </si>
  <si>
    <t xml:space="preserve">Constant Current Source Board </t>
  </si>
  <si>
    <t>Ball Valve Actuator (controller)</t>
  </si>
  <si>
    <t>UPS power protection</t>
  </si>
  <si>
    <t>TS_1</t>
  </si>
  <si>
    <t>TS_2</t>
  </si>
  <si>
    <t>TS_3</t>
  </si>
  <si>
    <t>TS_4</t>
  </si>
  <si>
    <t>TS_5</t>
  </si>
  <si>
    <t>TS_6</t>
  </si>
  <si>
    <t>TS_21</t>
  </si>
  <si>
    <t>TS_22</t>
  </si>
  <si>
    <t>TS_23</t>
  </si>
  <si>
    <t>TS_24</t>
  </si>
  <si>
    <t>TS_25</t>
  </si>
  <si>
    <t>TS_26</t>
  </si>
  <si>
    <t>TS_33</t>
  </si>
  <si>
    <t>TS_34</t>
  </si>
  <si>
    <t>Quench Detector / PSU</t>
  </si>
  <si>
    <t>JT motor relays</t>
  </si>
  <si>
    <t>Warm return Valve</t>
  </si>
  <si>
    <t>Reset and Pwr enabled</t>
  </si>
  <si>
    <t>Train gauge</t>
  </si>
  <si>
    <t>A</t>
  </si>
  <si>
    <t>C</t>
  </si>
  <si>
    <t>D</t>
  </si>
  <si>
    <t>E</t>
  </si>
  <si>
    <t>F</t>
  </si>
  <si>
    <t>H</t>
  </si>
  <si>
    <t>J</t>
  </si>
  <si>
    <t>L</t>
  </si>
  <si>
    <t>M</t>
  </si>
  <si>
    <t>N</t>
  </si>
  <si>
    <t>P</t>
  </si>
  <si>
    <t>S</t>
  </si>
  <si>
    <t>T</t>
  </si>
  <si>
    <t>X</t>
  </si>
  <si>
    <t>Supply -</t>
  </si>
  <si>
    <t>Signal P</t>
  </si>
  <si>
    <t>Screen GND</t>
  </si>
  <si>
    <t>Signal N</t>
  </si>
  <si>
    <t>Supply +</t>
  </si>
  <si>
    <t>connector pin</t>
  </si>
  <si>
    <t>30-01D [+/- 10mV +/- 10V]</t>
  </si>
  <si>
    <t>Dataforth SCM5B38 - 031D</t>
  </si>
  <si>
    <t xml:space="preserve"> +/-3mV/V +3.33V excitation</t>
  </si>
  <si>
    <t>38-31D [+/-10mV - +/-3.33V]</t>
  </si>
  <si>
    <t>Load Sensors</t>
  </si>
  <si>
    <t>Radial - A</t>
  </si>
  <si>
    <t>Radial - C</t>
  </si>
  <si>
    <t>Radial - B</t>
  </si>
  <si>
    <t>Radial - D</t>
  </si>
  <si>
    <t>Radial - E</t>
  </si>
  <si>
    <t>Radial - F</t>
  </si>
  <si>
    <t>Radial - G</t>
  </si>
  <si>
    <t>Radial - H</t>
  </si>
  <si>
    <t>Radial - J</t>
  </si>
  <si>
    <t>Radial - K</t>
  </si>
  <si>
    <t>Radial - L</t>
  </si>
  <si>
    <t>Radial - M</t>
  </si>
  <si>
    <t>Radial - N</t>
  </si>
  <si>
    <t>Radial - P</t>
  </si>
  <si>
    <t>Radial - R</t>
  </si>
  <si>
    <t>Axial - T</t>
  </si>
  <si>
    <t>Axial - V</t>
  </si>
  <si>
    <t>Axial - W</t>
  </si>
  <si>
    <t>Axial - X</t>
  </si>
  <si>
    <t>Current Lead A</t>
  </si>
  <si>
    <t>SCM5B-38-31D</t>
  </si>
  <si>
    <t>1756 IF16</t>
  </si>
  <si>
    <t>Terminal Strip</t>
  </si>
  <si>
    <t>TS-PLC-07</t>
  </si>
  <si>
    <t>0-1</t>
  </si>
  <si>
    <t>0-2</t>
  </si>
  <si>
    <t>7:I.ch0+ / 2</t>
  </si>
  <si>
    <t>7:I.ch1+ / 4</t>
  </si>
  <si>
    <t>1-1</t>
  </si>
  <si>
    <t>1-2</t>
  </si>
  <si>
    <t>2-1</t>
  </si>
  <si>
    <t>2-2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</si>
  <si>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</si>
  <si>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</si>
  <si>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</si>
  <si>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</si>
  <si>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</si>
  <si>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</si>
  <si>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</si>
  <si>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</si>
  <si>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</si>
  <si>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7-2</t>
  </si>
  <si>
    <t>8-1</t>
  </si>
  <si>
    <t>8-2</t>
  </si>
  <si>
    <t>7:I.ch2+ / 6</t>
  </si>
  <si>
    <t>7:I.ch3+ / 8</t>
  </si>
  <si>
    <t>7:I.ch4+ / 12</t>
  </si>
  <si>
    <t>7:I.ch5+ / 14</t>
  </si>
  <si>
    <t>7:I.ch6+ / 16</t>
  </si>
  <si>
    <t>7:I.ch7+ / 18</t>
  </si>
  <si>
    <t>7:I.ch8+ / 20</t>
  </si>
  <si>
    <t>7:I.ch9+ / 22</t>
  </si>
  <si>
    <t>RTN  / 9</t>
  </si>
  <si>
    <t>RTN  / 27</t>
  </si>
  <si>
    <t>7:I.ch10+ / 24</t>
  </si>
  <si>
    <t>7:I.ch11+ / 26</t>
  </si>
  <si>
    <t>7:I.ch12+ / 30</t>
  </si>
  <si>
    <t>7:I.ch13+ / 32</t>
  </si>
  <si>
    <t>7:I.ch14+ / 34</t>
  </si>
  <si>
    <t>7:I.ch15+ / 36</t>
  </si>
  <si>
    <t>9-1</t>
  </si>
  <si>
    <t>9-2</t>
  </si>
  <si>
    <t>10-1</t>
  </si>
  <si>
    <t>10-2</t>
  </si>
  <si>
    <t>11-1</t>
  </si>
  <si>
    <t>11-2</t>
  </si>
  <si>
    <t>12-1</t>
  </si>
  <si>
    <t>12-2</t>
  </si>
  <si>
    <t>13-1</t>
  </si>
  <si>
    <t>13-2</t>
  </si>
  <si>
    <t>14-1</t>
  </si>
  <si>
    <t>14-2</t>
  </si>
  <si>
    <t>15-1</t>
  </si>
  <si>
    <t>15-2</t>
  </si>
  <si>
    <t>Dataforth feed out</t>
  </si>
  <si>
    <t>Board # / Pin #</t>
  </si>
  <si>
    <t>5 / 3</t>
  </si>
  <si>
    <t>5 / 1</t>
  </si>
  <si>
    <t>5 / 5</t>
  </si>
  <si>
    <t>5 / 7</t>
  </si>
  <si>
    <t>5 / 6</t>
  </si>
  <si>
    <t>5 / 9</t>
  </si>
  <si>
    <t>5 / 11</t>
  </si>
  <si>
    <t>5 / 12</t>
  </si>
  <si>
    <t>5 / 13</t>
  </si>
  <si>
    <t>5 / 15</t>
  </si>
  <si>
    <t>5 / 17</t>
  </si>
  <si>
    <t>5 / 18</t>
  </si>
  <si>
    <t>5 / 19</t>
  </si>
  <si>
    <t>5 / 21</t>
  </si>
  <si>
    <t>5 / 23</t>
  </si>
  <si>
    <t>5 / 24</t>
  </si>
  <si>
    <t>6 / 1</t>
  </si>
  <si>
    <t>6 / 3</t>
  </si>
  <si>
    <t>6 / 5</t>
  </si>
  <si>
    <t>6 / 6</t>
  </si>
  <si>
    <t xml:space="preserve"> 6 / 7</t>
  </si>
  <si>
    <t xml:space="preserve"> 6 / 9</t>
  </si>
  <si>
    <t xml:space="preserve"> 6 / 11</t>
  </si>
  <si>
    <t xml:space="preserve"> 6 / 12</t>
  </si>
  <si>
    <t xml:space="preserve"> 6 / 13</t>
  </si>
  <si>
    <t xml:space="preserve"> 6 / 15</t>
  </si>
  <si>
    <t xml:space="preserve"> 6 / 17</t>
  </si>
  <si>
    <t xml:space="preserve"> 6 / 18</t>
  </si>
  <si>
    <t xml:space="preserve"> 6 / 19</t>
  </si>
  <si>
    <t xml:space="preserve"> 6 / 21</t>
  </si>
  <si>
    <t xml:space="preserve"> 6 / 23</t>
  </si>
  <si>
    <t xml:space="preserve"> 6 / 24</t>
  </si>
  <si>
    <t xml:space="preserve"> 7 / 3</t>
  </si>
  <si>
    <t xml:space="preserve"> 7 / 5</t>
  </si>
  <si>
    <t xml:space="preserve"> 7 / 6</t>
  </si>
  <si>
    <t xml:space="preserve"> 7 / 7</t>
  </si>
  <si>
    <t xml:space="preserve"> 7 / 9</t>
  </si>
  <si>
    <t xml:space="preserve"> 7 / 11</t>
  </si>
  <si>
    <t xml:space="preserve"> 7 / 12</t>
  </si>
  <si>
    <t xml:space="preserve"> 7 / 1</t>
  </si>
  <si>
    <t>8:I.ch0+ / 2</t>
  </si>
  <si>
    <t>8:I.ch1+ / 4</t>
  </si>
  <si>
    <t>TS-PLC-08</t>
  </si>
  <si>
    <t>8:I.ch2+ / 6</t>
  </si>
  <si>
    <t>8:I.ch3+ / 8</t>
  </si>
  <si>
    <t>pin #</t>
  </si>
  <si>
    <t>slot 8 / pin #</t>
  </si>
  <si>
    <t>J1</t>
  </si>
  <si>
    <t>CH 1+</t>
  </si>
  <si>
    <t>CH 1 -</t>
  </si>
  <si>
    <t>1 / 1</t>
  </si>
  <si>
    <t>1 / 3</t>
  </si>
  <si>
    <t>TS-PLC-02</t>
  </si>
  <si>
    <t>2:I.ch0+ / 2</t>
  </si>
  <si>
    <t>TS-02</t>
  </si>
  <si>
    <t>16-1</t>
  </si>
  <si>
    <t>17-1</t>
  </si>
  <si>
    <t>16-2</t>
  </si>
  <si>
    <t>17-2</t>
  </si>
  <si>
    <t>18-1</t>
  </si>
  <si>
    <t>19-1</t>
  </si>
  <si>
    <t>18-2</t>
  </si>
  <si>
    <t>19-2</t>
  </si>
  <si>
    <t>20-1</t>
  </si>
  <si>
    <t>21-1</t>
  </si>
  <si>
    <t>20-2</t>
  </si>
  <si>
    <t>21-2</t>
  </si>
  <si>
    <t>1 / 5</t>
  </si>
  <si>
    <t>1 / 6</t>
  </si>
  <si>
    <t>1 / 7</t>
  </si>
  <si>
    <t>1 / 9</t>
  </si>
  <si>
    <t>1 / 11</t>
  </si>
  <si>
    <t>1 / 12</t>
  </si>
  <si>
    <t>1 / 15</t>
  </si>
  <si>
    <t>1 / 13</t>
  </si>
  <si>
    <t>1 / 17</t>
  </si>
  <si>
    <t>1 / 18</t>
  </si>
  <si>
    <t>1 / 19</t>
  </si>
  <si>
    <t>1 / 21</t>
  </si>
  <si>
    <t>1 / 23</t>
  </si>
  <si>
    <t>1 / 24</t>
  </si>
  <si>
    <t>2 / 1</t>
  </si>
  <si>
    <t>2 / 3</t>
  </si>
  <si>
    <t>2 / 5</t>
  </si>
  <si>
    <t>2 / 6</t>
  </si>
  <si>
    <t>2 / 7</t>
  </si>
  <si>
    <t>2 / 9</t>
  </si>
  <si>
    <t>2 / 11</t>
  </si>
  <si>
    <t>2 / 12</t>
  </si>
  <si>
    <t>2 / 13</t>
  </si>
  <si>
    <t>2 / 15</t>
  </si>
  <si>
    <t>2 / 17</t>
  </si>
  <si>
    <t>2 / 18</t>
  </si>
  <si>
    <t>2 / 19</t>
  </si>
  <si>
    <t>2 / 21</t>
  </si>
  <si>
    <t>2 / 23</t>
  </si>
  <si>
    <t>2 / 24</t>
  </si>
  <si>
    <t>3 / 1</t>
  </si>
  <si>
    <t>3 / 3</t>
  </si>
  <si>
    <t>3 / 5</t>
  </si>
  <si>
    <t>3 / 6</t>
  </si>
  <si>
    <t>3 / 7</t>
  </si>
  <si>
    <t>3 / 9</t>
  </si>
  <si>
    <t>3 / 11</t>
  </si>
  <si>
    <t>3 / 12</t>
  </si>
  <si>
    <t>3 / 13</t>
  </si>
  <si>
    <t>3 / 15</t>
  </si>
  <si>
    <t>3 / 17</t>
  </si>
  <si>
    <t>3 / 18</t>
  </si>
  <si>
    <t>3 / 19</t>
  </si>
  <si>
    <t>3 / 21</t>
  </si>
  <si>
    <t>3 / 23</t>
  </si>
  <si>
    <t>3 / 24</t>
  </si>
  <si>
    <t>CH 2+</t>
  </si>
  <si>
    <t>CH 2 -</t>
  </si>
  <si>
    <t>CH 3+</t>
  </si>
  <si>
    <t>CH 3 -</t>
  </si>
  <si>
    <t>CH 4+</t>
  </si>
  <si>
    <t>CH 4 -</t>
  </si>
  <si>
    <t>CH 5+</t>
  </si>
  <si>
    <t>CH 5 -</t>
  </si>
  <si>
    <t>CH 6+</t>
  </si>
  <si>
    <t>CH 6 -</t>
  </si>
  <si>
    <t>CH 7+</t>
  </si>
  <si>
    <t>CH 7 -</t>
  </si>
  <si>
    <t>CH 8+</t>
  </si>
  <si>
    <t>CH 8 -</t>
  </si>
  <si>
    <t>J2</t>
  </si>
  <si>
    <t>J3</t>
  </si>
  <si>
    <t>J4</t>
  </si>
  <si>
    <t>0 - 2</t>
  </si>
  <si>
    <t>0 - 1</t>
  </si>
  <si>
    <t>1 - 1</t>
  </si>
  <si>
    <t>1 - 2</t>
  </si>
  <si>
    <t>2 - 1</t>
  </si>
  <si>
    <t>2 - 2</t>
  </si>
  <si>
    <t>3 - 1</t>
  </si>
  <si>
    <t>3 - 2</t>
  </si>
  <si>
    <t>4 - 1</t>
  </si>
  <si>
    <t>4 - 2</t>
  </si>
  <si>
    <t>5 - 1</t>
  </si>
  <si>
    <t>5 - 2</t>
  </si>
  <si>
    <t>6 - 1</t>
  </si>
  <si>
    <t>6 - 2</t>
  </si>
  <si>
    <t>7 - 1</t>
  </si>
  <si>
    <t>7 - 2</t>
  </si>
  <si>
    <t>8 - 1</t>
  </si>
  <si>
    <t>8 - 2</t>
  </si>
  <si>
    <t>9 -1</t>
  </si>
  <si>
    <t>9 - 2</t>
  </si>
  <si>
    <t>10 -1</t>
  </si>
  <si>
    <t>10 - 2</t>
  </si>
  <si>
    <t>11 - 1</t>
  </si>
  <si>
    <t>11 - 2</t>
  </si>
  <si>
    <t>12 - 1</t>
  </si>
  <si>
    <t>12 - 2</t>
  </si>
  <si>
    <t>13 - 1</t>
  </si>
  <si>
    <t>13 - 2</t>
  </si>
  <si>
    <t>14 - 1</t>
  </si>
  <si>
    <t>14 - 2</t>
  </si>
  <si>
    <t>15 - 1</t>
  </si>
  <si>
    <t>15 - 2</t>
  </si>
  <si>
    <t>2:I.ch1+ / 4</t>
  </si>
  <si>
    <t>2:I.ch2+ / 6</t>
  </si>
  <si>
    <t>2:I.ch3+ / 8</t>
  </si>
  <si>
    <t>2:I.ch4+ / 12</t>
  </si>
  <si>
    <t>2:I.ch5+ / 14</t>
  </si>
  <si>
    <t>2:I.ch6+ / 16</t>
  </si>
  <si>
    <t>2:I.ch7+ / 18</t>
  </si>
  <si>
    <t>2:I.ch8+ / 20</t>
  </si>
  <si>
    <t>2:I.ch9+ / 22</t>
  </si>
  <si>
    <t>2:I.ch10+ / 24</t>
  </si>
  <si>
    <t>2:I.ch11+ / 26</t>
  </si>
  <si>
    <t>2:I.ch12+ / 30</t>
  </si>
  <si>
    <t>2:I.ch13+ / 32</t>
  </si>
  <si>
    <t>2:I.ch14+ / 34</t>
  </si>
  <si>
    <t>2:I.ch15+ / 36</t>
  </si>
  <si>
    <t>TS-PLC-03</t>
  </si>
  <si>
    <t>slot 3 / pin #</t>
  </si>
  <si>
    <t>TS-03</t>
  </si>
  <si>
    <t>22-1</t>
  </si>
  <si>
    <t>23-1</t>
  </si>
  <si>
    <t>23-2</t>
  </si>
  <si>
    <t>24-1</t>
  </si>
  <si>
    <t>25-1</t>
  </si>
  <si>
    <t>24-2</t>
  </si>
  <si>
    <t>25-2</t>
  </si>
  <si>
    <t>26-1</t>
  </si>
  <si>
    <t>27-1</t>
  </si>
  <si>
    <t>27-2</t>
  </si>
  <si>
    <t>26-2</t>
  </si>
  <si>
    <t>28-1</t>
  </si>
  <si>
    <t>29-1</t>
  </si>
  <si>
    <t>28-2</t>
  </si>
  <si>
    <t>29-2</t>
  </si>
  <si>
    <t>30-1</t>
  </si>
  <si>
    <t>31-1</t>
  </si>
  <si>
    <t>30-2</t>
  </si>
  <si>
    <t>31-2</t>
  </si>
  <si>
    <t>3:I.ch0+ / 2</t>
  </si>
  <si>
    <t>3:I.ch1+ / 4</t>
  </si>
  <si>
    <t>3:I.ch2+ / 6</t>
  </si>
  <si>
    <t>3:I.ch3+ / 8</t>
  </si>
  <si>
    <t>3:I.ch4+ / 12</t>
  </si>
  <si>
    <t>3:I.ch5+ / 14</t>
  </si>
  <si>
    <t>3:I.ch6+ / 16</t>
  </si>
  <si>
    <t>3:I.ch7+ / 18</t>
  </si>
  <si>
    <t>3:I.ch8+ / 20</t>
  </si>
  <si>
    <t>3:I.ch9+ / 22</t>
  </si>
  <si>
    <t>3:I.ch10+ / 24</t>
  </si>
  <si>
    <t>3:I.ch11+ / 26</t>
  </si>
  <si>
    <t>3:I.ch12+ / 30</t>
  </si>
  <si>
    <t>3:I.ch13+ / 32</t>
  </si>
  <si>
    <t>3:I.ch14+ / 34</t>
  </si>
  <si>
    <t>3:I.ch15+ / 36</t>
  </si>
  <si>
    <t>Vacuum Feed Thru Connector / Pin</t>
  </si>
  <si>
    <t>4 / 1</t>
  </si>
  <si>
    <t>4 / 3</t>
  </si>
  <si>
    <t>4 / 5</t>
  </si>
  <si>
    <t>4 / 6</t>
  </si>
  <si>
    <t>4 / 7</t>
  </si>
  <si>
    <t>4 / 9</t>
  </si>
  <si>
    <t>4 / 11</t>
  </si>
  <si>
    <t>4 / 12</t>
  </si>
  <si>
    <t>4 / 13</t>
  </si>
  <si>
    <t>4 / 15</t>
  </si>
  <si>
    <t>4 / 17</t>
  </si>
  <si>
    <t>4 / 18</t>
  </si>
  <si>
    <t>4 / 19</t>
  </si>
  <si>
    <t>4 / 21</t>
  </si>
  <si>
    <t>4 / 23</t>
  </si>
  <si>
    <t>4 / 24</t>
  </si>
  <si>
    <t>CH 2-</t>
  </si>
  <si>
    <t>Radial - S</t>
  </si>
  <si>
    <t>Channel -&gt; board #</t>
  </si>
  <si>
    <t>Single_Ended Voltage</t>
  </si>
  <si>
    <t>Single_Ended_Mode Voltage/Current</t>
  </si>
  <si>
    <t>CL mass Flow Controller</t>
  </si>
  <si>
    <t>LVDT Modules</t>
  </si>
  <si>
    <t>Current Lead B</t>
  </si>
  <si>
    <t>Current Loop 1</t>
  </si>
  <si>
    <t>Current Loop 2</t>
  </si>
  <si>
    <t>IV16D</t>
  </si>
  <si>
    <t>TS-09</t>
  </si>
  <si>
    <t xml:space="preserve">Terminal Strip </t>
  </si>
  <si>
    <t xml:space="preserve">31-09D </t>
  </si>
  <si>
    <t>Board # / pin #</t>
  </si>
  <si>
    <t>9 / 1</t>
  </si>
  <si>
    <t>9 / 3</t>
  </si>
  <si>
    <t>9 / 5</t>
  </si>
  <si>
    <t>9 / 6</t>
  </si>
  <si>
    <t>9 / 7</t>
  </si>
  <si>
    <t>9 / 9</t>
  </si>
  <si>
    <t>9 / 11</t>
  </si>
  <si>
    <t>9 / 12</t>
  </si>
  <si>
    <t>TS-PLC-09</t>
  </si>
  <si>
    <t>9 / 13</t>
  </si>
  <si>
    <t>9 / 15</t>
  </si>
  <si>
    <t>9 / 17</t>
  </si>
  <si>
    <t>9 / 18</t>
  </si>
  <si>
    <t>9:I.ch0+ / 2</t>
  </si>
  <si>
    <t>9:I.ch0- / 2</t>
  </si>
  <si>
    <t>9:I.ch1+ / 2</t>
  </si>
  <si>
    <t>9:I.ch1- / 2</t>
  </si>
  <si>
    <t>9:I.ch2+ / 2</t>
  </si>
  <si>
    <t>9:I.ch2- / 2</t>
  </si>
  <si>
    <t>9:I.ch3+ / 2</t>
  </si>
  <si>
    <t>9:I.ch3- / 2</t>
  </si>
  <si>
    <t>9:I.ch4+ / 2</t>
  </si>
  <si>
    <t>9:I.ch4- / 2</t>
  </si>
  <si>
    <t>9:I.ch5+ / 2</t>
  </si>
  <si>
    <t>9:I.ch5- / 2</t>
  </si>
  <si>
    <t>slot #/ Channel # / pin #</t>
  </si>
  <si>
    <t>slot # / Channel # / pin #</t>
  </si>
  <si>
    <t>Coil exit point Inner layer</t>
  </si>
  <si>
    <t>Center tap</t>
  </si>
  <si>
    <t>Coil exit point outer layer</t>
  </si>
  <si>
    <t xml:space="preserve">Quench Detector </t>
  </si>
  <si>
    <t>D1H</t>
  </si>
  <si>
    <t>D1HM</t>
  </si>
  <si>
    <t>D2H</t>
  </si>
  <si>
    <t>D2HM</t>
  </si>
  <si>
    <t>D4H</t>
  </si>
  <si>
    <t>D4HM</t>
  </si>
  <si>
    <t>D3HM</t>
  </si>
  <si>
    <t>D3L</t>
  </si>
  <si>
    <t>D3LM</t>
  </si>
  <si>
    <t>D2LM</t>
  </si>
  <si>
    <t>D2L</t>
  </si>
  <si>
    <t>D3H</t>
  </si>
  <si>
    <t>200k Resistors</t>
  </si>
  <si>
    <t>Protection Resistor</t>
  </si>
  <si>
    <t>Vaccum Gauge</t>
  </si>
  <si>
    <t>L He Meter</t>
  </si>
  <si>
    <t>L N2 Meter</t>
  </si>
  <si>
    <t>Mass Flow controller</t>
  </si>
  <si>
    <t>SUM</t>
  </si>
  <si>
    <t xml:space="preserve">                                                                        </t>
  </si>
  <si>
    <t>Credit Card</t>
  </si>
  <si>
    <t>Ohms</t>
  </si>
  <si>
    <t xml:space="preserve"> 1-3</t>
  </si>
  <si>
    <t xml:space="preserve"> 2-4</t>
  </si>
  <si>
    <t>Pin to Pin</t>
  </si>
  <si>
    <t>Coefficients</t>
  </si>
  <si>
    <t>x^2</t>
  </si>
  <si>
    <t>x</t>
  </si>
  <si>
    <t>b</t>
  </si>
  <si>
    <t>Rodium Fe sensors</t>
  </si>
  <si>
    <t>Table 7.1 Page 75</t>
  </si>
  <si>
    <t>Measured room temperature resistance</t>
  </si>
  <si>
    <t>Resistance</t>
  </si>
  <si>
    <t>Total resistance</t>
  </si>
  <si>
    <t>Probe resistance</t>
  </si>
  <si>
    <t xml:space="preserve"> 6-8</t>
  </si>
  <si>
    <t xml:space="preserve"> 7-9</t>
  </si>
  <si>
    <t xml:space="preserve"> 1-4</t>
  </si>
  <si>
    <t xml:space="preserve"> 2-3</t>
  </si>
  <si>
    <t xml:space="preserve"> 6-9</t>
  </si>
  <si>
    <t xml:space="preserve"> 7-8</t>
  </si>
  <si>
    <t xml:space="preserve"> 14-16</t>
  </si>
  <si>
    <t xml:space="preserve"> 15-17</t>
  </si>
  <si>
    <t xml:space="preserve"> 14-17</t>
  </si>
  <si>
    <t xml:space="preserve"> 15-16</t>
  </si>
  <si>
    <t xml:space="preserve"> 19-21</t>
  </si>
  <si>
    <t xml:space="preserve"> 20-22</t>
  </si>
  <si>
    <t xml:space="preserve"> 19-22</t>
  </si>
  <si>
    <t xml:space="preserve"> 20-21</t>
  </si>
  <si>
    <t>H1 - 23</t>
  </si>
  <si>
    <t>H1 -24</t>
  </si>
  <si>
    <t xml:space="preserve"> 11-23</t>
  </si>
  <si>
    <t xml:space="preserve"> 12-24</t>
  </si>
  <si>
    <t xml:space="preserve"> 11-24</t>
  </si>
  <si>
    <t xml:space="preserve"> 12-23</t>
  </si>
  <si>
    <t>Fluke 87 III S# 82800752 with remote term blk db 25 pin patch panel (102FA)</t>
  </si>
  <si>
    <t>Voltmeter lead resistance null out</t>
  </si>
  <si>
    <t>Residual terminal block resistance</t>
  </si>
  <si>
    <t>Measured romm temperture resistnce</t>
  </si>
  <si>
    <t xml:space="preserve"> 7-25</t>
  </si>
  <si>
    <t xml:space="preserve"> 7-1</t>
  </si>
  <si>
    <t xml:space="preserve"> 5-9</t>
  </si>
  <si>
    <t xml:space="preserve"> 16-23</t>
  </si>
  <si>
    <t>VT7 - 7</t>
  </si>
  <si>
    <t xml:space="preserve"> VT6 - 7</t>
  </si>
  <si>
    <t>VT4 - 7</t>
  </si>
  <si>
    <t>VT5 - 7</t>
  </si>
  <si>
    <t>VT6 - VT7</t>
  </si>
  <si>
    <t>Voltage Tap resistance</t>
  </si>
  <si>
    <t>Heater Mid-plane</t>
  </si>
  <si>
    <t xml:space="preserve">6 turn </t>
  </si>
  <si>
    <t>20 turns</t>
  </si>
  <si>
    <t>200Vdc @ 4A =800 Watts (10 secs)</t>
  </si>
  <si>
    <t>200Vdc @ 2A 400 Watts Continous</t>
  </si>
  <si>
    <t>Multimeter</t>
  </si>
  <si>
    <t>Lead 1 to lead 2</t>
  </si>
  <si>
    <t>&gt;1Tohm</t>
  </si>
  <si>
    <t>280V</t>
  </si>
  <si>
    <t>Lead 1 to Cryostat</t>
  </si>
  <si>
    <t>Meager #1</t>
  </si>
  <si>
    <t>Meager #2</t>
  </si>
  <si>
    <t>room temperature Coil resistance</t>
  </si>
  <si>
    <t>Al</t>
  </si>
  <si>
    <t>Rho</t>
  </si>
  <si>
    <t>Measured</t>
  </si>
  <si>
    <t>Calculated Ohms</t>
  </si>
  <si>
    <t>Resivity</t>
  </si>
  <si>
    <t>Ohms-m</t>
  </si>
  <si>
    <t>Length</t>
  </si>
  <si>
    <t>m</t>
  </si>
  <si>
    <t>Area</t>
  </si>
  <si>
    <t>m^2</t>
  </si>
  <si>
    <t>Ri</t>
  </si>
  <si>
    <t>R2</t>
  </si>
  <si>
    <t>S1/turn</t>
  </si>
  <si>
    <t>S2/turn</t>
  </si>
  <si>
    <t>Turns 1</t>
  </si>
  <si>
    <t>Turns 2</t>
  </si>
  <si>
    <t>L1</t>
  </si>
  <si>
    <t>L2</t>
  </si>
  <si>
    <t>Ltotal</t>
  </si>
  <si>
    <t>16x4.89</t>
  </si>
  <si>
    <t>16x5.1</t>
  </si>
  <si>
    <t>Insulation</t>
  </si>
  <si>
    <t>SSC (11)</t>
  </si>
  <si>
    <t>ssc (9)</t>
  </si>
  <si>
    <t>Al area</t>
  </si>
  <si>
    <t>mm^2</t>
  </si>
  <si>
    <t>0.2mm all round</t>
  </si>
  <si>
    <t>SSC (Cu)</t>
  </si>
  <si>
    <t>Pressure LN2</t>
  </si>
  <si>
    <t>Pressure He</t>
  </si>
  <si>
    <t>Mass_Flow_CL_Neg</t>
  </si>
  <si>
    <t>Mass_Flow_CL_Pos</t>
  </si>
  <si>
    <t>I_coarse</t>
  </si>
  <si>
    <t>TS_29 (LN2)</t>
  </si>
  <si>
    <t>TS_30 (LN2)</t>
  </si>
  <si>
    <t>TS_31 (LN2)</t>
  </si>
  <si>
    <t>TS_32 (LN2)</t>
  </si>
  <si>
    <t>TS_12 (LN2)</t>
  </si>
  <si>
    <t>TS_13 (LN2)</t>
  </si>
  <si>
    <t>MPS_CPU_Reset</t>
  </si>
  <si>
    <t>Setpnt_m_flow_Neg</t>
  </si>
  <si>
    <t>Setpnt_m_flow_Pos</t>
  </si>
  <si>
    <t>TS_9 (LN2_Supply)</t>
  </si>
  <si>
    <t>TS_10 (LN2_Return)</t>
  </si>
  <si>
    <t>TS_27_CL_Neg</t>
  </si>
  <si>
    <t>TS_28_CL_POS</t>
  </si>
  <si>
    <t>TS_7_He_Supply</t>
  </si>
  <si>
    <t>TS_8_He_Return</t>
  </si>
  <si>
    <t>TS_11 (LN2_Center)</t>
  </si>
  <si>
    <t>Dataforth SCM5B30-01D</t>
  </si>
  <si>
    <t>RSview Studio for FT View</t>
  </si>
  <si>
    <t>18-01188</t>
  </si>
  <si>
    <t>19-M0362</t>
  </si>
  <si>
    <t xml:space="preserve"> EECO</t>
  </si>
  <si>
    <t>PLC and I/O modules</t>
  </si>
  <si>
    <t>Cable</t>
  </si>
  <si>
    <t>Sensors in CCR</t>
  </si>
  <si>
    <t>Sensors in HX and transfer lines</t>
  </si>
  <si>
    <t>He 4.5K supply</t>
  </si>
  <si>
    <t>He Cold return</t>
  </si>
  <si>
    <t>He warm return</t>
  </si>
  <si>
    <t>He Mag Supply</t>
  </si>
  <si>
    <t>He CL-Pot Supply</t>
  </si>
  <si>
    <t>He CL_Pot Return</t>
  </si>
  <si>
    <t>LN2 Supply</t>
  </si>
  <si>
    <t>Ln2 Return</t>
  </si>
  <si>
    <t>LN2 Exhaust</t>
  </si>
  <si>
    <t xml:space="preserve">He Cooldown </t>
  </si>
  <si>
    <t>Current lead Cold End Neg Lead</t>
  </si>
  <si>
    <t>Current Lead Cold End Pos Lead</t>
  </si>
  <si>
    <t>Supply Helium pipe</t>
  </si>
  <si>
    <t>Return Helium Pipe</t>
  </si>
  <si>
    <t>Sorbs SOW</t>
  </si>
  <si>
    <t>Current Lead Pot Return</t>
  </si>
  <si>
    <t>Current Lead Pot Supply</t>
  </si>
  <si>
    <t>LN2 Return</t>
  </si>
  <si>
    <t>LN2 midpoint</t>
  </si>
  <si>
    <t>CCL sensor serial #</t>
  </si>
  <si>
    <t>Digi-Trend sensor Number</t>
  </si>
  <si>
    <t xml:space="preserve">Typical RH-Fe </t>
  </si>
  <si>
    <t>ohms</t>
  </si>
  <si>
    <t xml:space="preserve"> +/- 0.1K</t>
  </si>
  <si>
    <t xml:space="preserve">Constant Current Source </t>
  </si>
  <si>
    <t>Tolerance</t>
  </si>
  <si>
    <t>Voltage I/O conversion</t>
  </si>
  <si>
    <t xml:space="preserve"> +/- 10.25V</t>
  </si>
  <si>
    <t>0 -10.25V</t>
  </si>
  <si>
    <t>0 to 5.125V</t>
  </si>
  <si>
    <t xml:space="preserve">Dataforth Signal </t>
  </si>
  <si>
    <t>30-01D</t>
  </si>
  <si>
    <t>T = -0.2178xR^2 + 16.9703xR - 26.234</t>
  </si>
  <si>
    <t>delta T</t>
  </si>
  <si>
    <t>temp drift</t>
  </si>
  <si>
    <t>accuracy</t>
  </si>
  <si>
    <t>1uV/C</t>
  </si>
  <si>
    <t>Typical fit</t>
  </si>
  <si>
    <t>Sum of delta T</t>
  </si>
  <si>
    <t>Much less than sensor Tolerance</t>
  </si>
  <si>
    <t>Sum of Squares</t>
  </si>
  <si>
    <t>22-2</t>
  </si>
  <si>
    <t>D3 - L</t>
  </si>
  <si>
    <t>E3 - B</t>
  </si>
  <si>
    <t>E2 - L</t>
  </si>
  <si>
    <t>ATM1a</t>
  </si>
  <si>
    <t>Cu2</t>
  </si>
  <si>
    <t>Mot_JTV7_Open</t>
  </si>
  <si>
    <t>Mot_JTV7_Close</t>
  </si>
  <si>
    <t>JT7 CCL Pot</t>
  </si>
  <si>
    <t>PT_LN2_ Supply</t>
  </si>
  <si>
    <t>PT_LN2_Return</t>
  </si>
  <si>
    <t>TD_He_Magnet_supply</t>
  </si>
  <si>
    <t>TD_He_4.5K_supply</t>
  </si>
  <si>
    <t>TD_He_Cold _Return</t>
  </si>
  <si>
    <t>TD_He_Warm_Return</t>
  </si>
  <si>
    <t>TD_He_CL_Pot_Supply</t>
  </si>
  <si>
    <t>TD_He_Reseviour</t>
  </si>
  <si>
    <t>TD_GN2_HX_exhaust</t>
  </si>
  <si>
    <t>TD_Ghe_Mix</t>
  </si>
  <si>
    <t>CCS_Control_1</t>
  </si>
  <si>
    <t>Relays</t>
  </si>
  <si>
    <t>CCS_Control_2</t>
  </si>
  <si>
    <t>CCS_Control_3</t>
  </si>
  <si>
    <t>CCS_Control_4</t>
  </si>
  <si>
    <t>CCS_Control_5</t>
  </si>
  <si>
    <t>JTV_HX_LN2_Close</t>
  </si>
  <si>
    <t>JTV_HX_LN2_Open</t>
  </si>
  <si>
    <t>JTV_HX_GHe_Close</t>
  </si>
  <si>
    <t>JTV_HX_GHe_Open</t>
  </si>
  <si>
    <t>LVDT_HX_LN2</t>
  </si>
  <si>
    <t>LVDT_HX_GHE</t>
  </si>
  <si>
    <t>Pressure Gauge (Helium and LN2)</t>
  </si>
  <si>
    <t>PLC 2018 cost</t>
  </si>
  <si>
    <t>Magnet I/O Rack</t>
  </si>
  <si>
    <t>38-35D [+/- 10mV +/- 10V]</t>
  </si>
  <si>
    <t>Differential_Mode Current</t>
  </si>
  <si>
    <t>LVDT_JTV7</t>
  </si>
  <si>
    <t xml:space="preserve">  </t>
  </si>
  <si>
    <t>Label</t>
  </si>
  <si>
    <t>PLC I/O Usage Table, Chassis 2, Remote 2</t>
  </si>
  <si>
    <t>PLC I/O Usage Table, Chassis 2, Remote 1</t>
  </si>
  <si>
    <t>procured</t>
  </si>
  <si>
    <t>outstanding</t>
  </si>
  <si>
    <t>SCM5B-38-35D</t>
  </si>
  <si>
    <t>10mV in / 10 V out</t>
  </si>
  <si>
    <t>less cables</t>
  </si>
  <si>
    <t>Parts at JLAB Spares or surplus items</t>
  </si>
  <si>
    <t>JT actuactors with LVDT sensors</t>
  </si>
  <si>
    <t>LVDT sensor modules</t>
  </si>
  <si>
    <t>Vacuum pumps</t>
  </si>
  <si>
    <t>Turbo Pump</t>
  </si>
  <si>
    <t>Vacumm hoses</t>
  </si>
  <si>
    <t>Power supply bus lines</t>
  </si>
  <si>
    <t>Power supply LCW hoses</t>
  </si>
  <si>
    <t>U-Tubes</t>
  </si>
  <si>
    <t>Hardware inhouse</t>
  </si>
  <si>
    <t>Cryo interface connection</t>
  </si>
  <si>
    <t>I&amp;C cables (magnet to control rack)</t>
  </si>
  <si>
    <t>2020 prices estimate</t>
  </si>
  <si>
    <t>UPS</t>
  </si>
  <si>
    <t>Vacuum gate valve</t>
  </si>
  <si>
    <t>Hardware to re-solder current leads to magnet</t>
  </si>
  <si>
    <t>Support stand for heat excahnger and working platform</t>
  </si>
  <si>
    <t>IOC hardware (remaining items)</t>
  </si>
  <si>
    <t>Rack Hardware (terminal blocks, relays, breakers, etc)</t>
  </si>
  <si>
    <t>Hardware to buy (or borrow)</t>
  </si>
  <si>
    <t>Remaining Instrumentation for CLEO_II Magnet</t>
  </si>
  <si>
    <t>waiting on quote</t>
  </si>
  <si>
    <t>waiting on design</t>
  </si>
  <si>
    <t>LL_He</t>
  </si>
  <si>
    <t>31-03D [+/- 10V +/- 10V]</t>
  </si>
  <si>
    <t>38-31D [+/-10mV +/-3.33V]</t>
  </si>
  <si>
    <t>34-1562 [RTD +/- 5V]</t>
  </si>
  <si>
    <t>43-05D [+/-5V - +/-10V]</t>
  </si>
  <si>
    <t>Gauges</t>
  </si>
  <si>
    <t>Voltage taps</t>
  </si>
  <si>
    <t>PT temps</t>
  </si>
  <si>
    <t>Diode Temp</t>
  </si>
  <si>
    <t>Temp (Rd-Fe)</t>
  </si>
  <si>
    <t>Strain gauges</t>
  </si>
  <si>
    <t>Signal Conditioners</t>
  </si>
  <si>
    <t>Cryomagnetics</t>
  </si>
  <si>
    <t>20-M1085</t>
  </si>
  <si>
    <t>Liquid Level Control and probes LM-501</t>
  </si>
  <si>
    <t>SORB Heater 1</t>
  </si>
  <si>
    <t>SORB Heater 2</t>
  </si>
  <si>
    <t>Current Lead Heater Left</t>
  </si>
  <si>
    <t>CL_L Temp Warm</t>
  </si>
  <si>
    <t>Current Lead Heater Right</t>
  </si>
  <si>
    <t>CL_R Temp Warm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</si>
</sst>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$&quot;#,##0.00"/>
    <numFmt numFmtId="165" formatCode="#,##0.000"/>
    <numFmt numFmtId="166" formatCode="&quot;$&quot;#,##0.00;[Red]&quot;$&quot;#,##0.00"/>
    <numFmt numFmtId="167" formatCode="0.0%"/>
    <numFmt numFmtId="168" formatCode="m/d/yy;@"/>
    <numFmt numFmtId="169" formatCode="&quot;$&quot;#,##0"/>
    <numFmt numFmtId="170" formatCode="&quot;$&quot;#,##0.0"/>
    <numFmt numFmtId="171" formatCode="0.000"/>
    <numFmt numFmtId="172" formatCode="0.000000"/>
    <numFmt numFmtId="173" formatCode="0.0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00B0F0"/>
      <name val="Arial"/>
      <family val="2"/>
    </font>
    <font>
      <i/>
      <sz val="10"/>
      <name val="Arial"/>
      <family val="2"/>
    </font>
    <font>
      <b/>
      <i/>
      <u/>
      <sz val="14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0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7" fillId="0" borderId="0" xfId="0" applyFont="1"/>
    <xf numFmtId="164" fontId="7" fillId="0" borderId="0" xfId="0" applyNumberFormat="1" applyFont="1"/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14" fontId="1" fillId="0" borderId="0" xfId="0" applyNumberFormat="1" applyFont="1"/>
    <xf numFmtId="165" fontId="1" fillId="2" borderId="0" xfId="0" applyNumberFormat="1" applyFont="1" applyFill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164" fontId="6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64" fontId="16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7" fillId="0" borderId="0" xfId="0" applyFont="1"/>
    <xf numFmtId="0" fontId="7" fillId="0" borderId="2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 wrapText="1"/>
    </xf>
    <xf numFmtId="0" fontId="1" fillId="0" borderId="0" xfId="0" applyFont="1" applyFill="1"/>
    <xf numFmtId="16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67" fontId="2" fillId="0" borderId="0" xfId="0" applyNumberFormat="1" applyFont="1"/>
    <xf numFmtId="0" fontId="10" fillId="0" borderId="0" xfId="0" applyFont="1"/>
    <xf numFmtId="167" fontId="6" fillId="0" borderId="0" xfId="0" applyNumberFormat="1" applyFont="1"/>
    <xf numFmtId="169" fontId="7" fillId="0" borderId="0" xfId="0" applyNumberFormat="1" applyFont="1"/>
    <xf numFmtId="16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169" fontId="1" fillId="0" borderId="0" xfId="0" applyNumberFormat="1" applyFont="1"/>
    <xf numFmtId="169" fontId="2" fillId="0" borderId="0" xfId="0" applyNumberFormat="1" applyFont="1"/>
    <xf numFmtId="169" fontId="0" fillId="0" borderId="0" xfId="0" applyNumberFormat="1" applyAlignment="1">
      <alignment horizontal="center"/>
    </xf>
    <xf numFmtId="169" fontId="0" fillId="0" borderId="0" xfId="0" applyNumberFormat="1" applyAlignment="1"/>
    <xf numFmtId="169" fontId="6" fillId="0" borderId="0" xfId="0" applyNumberFormat="1" applyFont="1"/>
    <xf numFmtId="169" fontId="7" fillId="0" borderId="0" xfId="0" applyNumberFormat="1" applyFont="1" applyAlignment="1">
      <alignment horizontal="right"/>
    </xf>
    <xf numFmtId="170" fontId="7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 applyProtection="1">
      <alignment horizontal="center" textRotation="93" wrapTex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10" fontId="7" fillId="0" borderId="0" xfId="0" applyNumberFormat="1" applyFont="1" applyBorder="1" applyAlignment="1">
      <alignment horizontal="left" indent="2"/>
    </xf>
    <xf numFmtId="0" fontId="12" fillId="0" borderId="0" xfId="0" applyFont="1" applyAlignment="1">
      <alignment horizontal="center" vertical="top" wrapText="1"/>
    </xf>
    <xf numFmtId="10" fontId="7" fillId="0" borderId="0" xfId="0" quotePrefix="1" applyNumberFormat="1" applyFont="1" applyBorder="1" applyAlignment="1">
      <alignment horizontal="left" indent="2"/>
    </xf>
    <xf numFmtId="0" fontId="1" fillId="3" borderId="0" xfId="0" applyFont="1" applyFill="1"/>
    <xf numFmtId="164" fontId="1" fillId="3" borderId="0" xfId="0" applyNumberFormat="1" applyFont="1" applyFill="1"/>
    <xf numFmtId="14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5" borderId="0" xfId="0" applyFont="1" applyFill="1"/>
    <xf numFmtId="1" fontId="6" fillId="0" borderId="0" xfId="0" applyNumberFormat="1" applyFont="1" applyAlignment="1"/>
    <xf numFmtId="1" fontId="7" fillId="0" borderId="0" xfId="0" applyNumberFormat="1" applyFont="1" applyAlignment="1"/>
    <xf numFmtId="1" fontId="0" fillId="0" borderId="0" xfId="0" applyNumberFormat="1" applyAlignment="1"/>
    <xf numFmtId="1" fontId="20" fillId="0" borderId="0" xfId="0" applyNumberFormat="1" applyFont="1" applyAlignment="1"/>
    <xf numFmtId="164" fontId="20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right"/>
    </xf>
    <xf numFmtId="164" fontId="7" fillId="3" borderId="0" xfId="0" applyNumberFormat="1" applyFont="1" applyFill="1"/>
    <xf numFmtId="164" fontId="0" fillId="3" borderId="0" xfId="0" applyNumberFormat="1" applyFill="1"/>
    <xf numFmtId="3" fontId="0" fillId="3" borderId="0" xfId="0" applyNumberFormat="1" applyFill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20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Fill="1"/>
    <xf numFmtId="0" fontId="7" fillId="0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71" fontId="7" fillId="0" borderId="0" xfId="0" applyNumberFormat="1" applyFont="1" applyAlignment="1">
      <alignment horizontal="center" wrapText="1"/>
    </xf>
    <xf numFmtId="171" fontId="7" fillId="0" borderId="0" xfId="0" applyNumberFormat="1" applyFont="1" applyAlignment="1">
      <alignment horizontal="center"/>
    </xf>
    <xf numFmtId="17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8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center" wrapText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/>
    <xf numFmtId="0" fontId="23" fillId="0" borderId="0" xfId="0" applyFont="1" applyBorder="1" applyAlignment="1">
      <alignment horizontal="center" wrapText="1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7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3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72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2" fontId="7" fillId="0" borderId="1" xfId="0" applyNumberFormat="1" applyFont="1" applyFill="1" applyBorder="1" applyAlignment="1">
      <alignment horizontal="left"/>
    </xf>
    <xf numFmtId="16" fontId="7" fillId="0" borderId="1" xfId="0" applyNumberFormat="1" applyFont="1" applyFill="1" applyBorder="1" applyAlignment="1">
      <alignment horizontal="center"/>
    </xf>
    <xf numFmtId="171" fontId="7" fillId="0" borderId="1" xfId="0" applyNumberFormat="1" applyFont="1" applyFill="1" applyBorder="1" applyAlignment="1">
      <alignment horizontal="center"/>
    </xf>
    <xf numFmtId="172" fontId="0" fillId="0" borderId="1" xfId="0" applyNumberFormat="1" applyBorder="1"/>
    <xf numFmtId="0" fontId="21" fillId="0" borderId="1" xfId="0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172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indent="2"/>
    </xf>
    <xf numFmtId="2" fontId="7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left"/>
    </xf>
    <xf numFmtId="17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72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left" indent="2"/>
    </xf>
    <xf numFmtId="2" fontId="7" fillId="5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indent="1"/>
    </xf>
    <xf numFmtId="172" fontId="7" fillId="0" borderId="1" xfId="0" applyNumberFormat="1" applyFont="1" applyBorder="1"/>
    <xf numFmtId="0" fontId="7" fillId="5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3" fontId="0" fillId="0" borderId="0" xfId="0" applyNumberFormat="1"/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173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7" fillId="0" borderId="0" xfId="0" applyNumberFormat="1" applyFont="1" applyAlignment="1">
      <alignment horizontal="right"/>
    </xf>
    <xf numFmtId="171" fontId="7" fillId="0" borderId="0" xfId="0" applyNumberFormat="1" applyFont="1" applyAlignment="1">
      <alignment horizontal="right"/>
    </xf>
    <xf numFmtId="17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/>
    <xf numFmtId="0" fontId="7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1" fontId="0" fillId="0" borderId="0" xfId="0" applyNumberFormat="1"/>
    <xf numFmtId="11" fontId="7" fillId="0" borderId="0" xfId="0" applyNumberFormat="1" applyFont="1"/>
    <xf numFmtId="10" fontId="0" fillId="0" borderId="0" xfId="0" applyNumberFormat="1"/>
    <xf numFmtId="0" fontId="7" fillId="3" borderId="0" xfId="0" applyFont="1" applyFill="1"/>
    <xf numFmtId="0" fontId="0" fillId="3" borderId="0" xfId="0" applyFill="1"/>
    <xf numFmtId="11" fontId="0" fillId="3" borderId="0" xfId="0" applyNumberFormat="1" applyFill="1"/>
    <xf numFmtId="0" fontId="7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3" fontId="0" fillId="0" borderId="0" xfId="0" applyNumberFormat="1"/>
    <xf numFmtId="169" fontId="0" fillId="0" borderId="0" xfId="0" applyNumberFormat="1" applyAlignment="1">
      <alignment horizontal="right"/>
    </xf>
    <xf numFmtId="169" fontId="7" fillId="0" borderId="0" xfId="0" applyNumberFormat="1" applyFont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169" fontId="7" fillId="3" borderId="0" xfId="0" applyNumberFormat="1" applyFont="1" applyFill="1" applyAlignment="1">
      <alignment horizontal="right"/>
    </xf>
    <xf numFmtId="169" fontId="0" fillId="3" borderId="0" xfId="0" applyNumberFormat="1" applyFill="1"/>
    <xf numFmtId="169" fontId="0" fillId="3" borderId="0" xfId="0" applyNumberFormat="1" applyFill="1" applyAlignment="1">
      <alignment horizontal="right"/>
    </xf>
    <xf numFmtId="0" fontId="7" fillId="6" borderId="0" xfId="0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199</xdr:row>
          <xdr:rowOff>38100</xdr:rowOff>
        </xdr:from>
        <xdr:to>
          <xdr:col>12</xdr:col>
          <xdr:colOff>466725</xdr:colOff>
          <xdr:row>249</xdr:row>
          <xdr:rowOff>142875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66</xdr:row>
      <xdr:rowOff>85725</xdr:rowOff>
    </xdr:from>
    <xdr:to>
      <xdr:col>11</xdr:col>
      <xdr:colOff>561975</xdr:colOff>
      <xdr:row>66</xdr:row>
      <xdr:rowOff>123825</xdr:rowOff>
    </xdr:to>
    <xdr:cxnSp macro="">
      <xdr:nvCxnSpPr>
        <xdr:cNvPr id="3" name="Straight Arrow Connector 2"/>
        <xdr:cNvCxnSpPr/>
      </xdr:nvCxnSpPr>
      <xdr:spPr>
        <a:xfrm flipV="1">
          <a:off x="7315200" y="10810875"/>
          <a:ext cx="383857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workbookViewId="0">
      <selection activeCell="J13" sqref="J13"/>
    </sheetView>
  </sheetViews>
  <sheetFormatPr defaultRowHeight="12.75" x14ac:dyDescent="0.2"/>
  <cols>
    <col min="1" max="1" width="46.42578125" style="15" customWidth="1"/>
    <col min="2" max="2" width="18.42578125" style="12" customWidth="1"/>
    <col min="3" max="3" width="7.140625" style="15" customWidth="1"/>
    <col min="4" max="4" width="12.7109375" style="15" customWidth="1"/>
    <col min="5" max="5" width="14.42578125" style="128" customWidth="1"/>
    <col min="6" max="6" width="6.85546875" style="80" customWidth="1"/>
    <col min="7" max="7" width="11.28515625" style="80" customWidth="1"/>
    <col min="8" max="8" width="9.140625" style="15" customWidth="1"/>
    <col min="9" max="9" width="13" style="15" customWidth="1"/>
    <col min="10" max="10" width="22" style="12" customWidth="1"/>
    <col min="11" max="11" width="15.85546875" style="12" customWidth="1"/>
    <col min="12" max="12" width="10.28515625" style="12" customWidth="1"/>
    <col min="13" max="13" width="7.28515625" style="12" customWidth="1"/>
    <col min="14" max="14" width="24.42578125" style="15" customWidth="1"/>
    <col min="15" max="16" width="9.140625" style="15"/>
    <col min="17" max="17" width="12" style="130" bestFit="1" customWidth="1"/>
    <col min="18" max="18" width="9.140625" style="15"/>
    <col min="19" max="16384" width="9.140625" style="12"/>
  </cols>
  <sheetData>
    <row r="1" spans="1:18" s="128" customFormat="1" ht="44.25" customHeight="1" x14ac:dyDescent="0.2">
      <c r="A1" s="81" t="s">
        <v>316</v>
      </c>
      <c r="B1" s="81" t="s">
        <v>317</v>
      </c>
      <c r="C1" s="82" t="s">
        <v>43</v>
      </c>
      <c r="D1" s="81" t="s">
        <v>620</v>
      </c>
      <c r="E1" s="81" t="s">
        <v>2</v>
      </c>
      <c r="G1" s="81" t="s">
        <v>483</v>
      </c>
      <c r="H1" s="81" t="s">
        <v>476</v>
      </c>
      <c r="I1" s="81" t="s">
        <v>478</v>
      </c>
      <c r="J1" s="81" t="s">
        <v>483</v>
      </c>
      <c r="K1" s="127" t="s">
        <v>484</v>
      </c>
      <c r="L1" s="127" t="s">
        <v>489</v>
      </c>
      <c r="Q1" s="129"/>
    </row>
    <row r="2" spans="1:18" s="85" customFormat="1" x14ac:dyDescent="0.2">
      <c r="A2" s="86"/>
      <c r="B2" s="84"/>
      <c r="E2" s="132" t="s">
        <v>43</v>
      </c>
      <c r="F2" s="89"/>
      <c r="G2" s="89"/>
      <c r="H2" s="86"/>
      <c r="I2" s="86"/>
      <c r="J2" s="90"/>
      <c r="K2" s="86"/>
      <c r="L2" s="86"/>
      <c r="N2" s="86"/>
      <c r="O2" s="86"/>
      <c r="P2" s="86"/>
      <c r="Q2" s="131"/>
      <c r="R2" s="86"/>
    </row>
    <row r="3" spans="1:18" s="85" customFormat="1" ht="25.5" x14ac:dyDescent="0.2">
      <c r="A3" s="91" t="s">
        <v>322</v>
      </c>
      <c r="B3" s="92"/>
      <c r="C3" s="86"/>
      <c r="D3" s="86"/>
      <c r="E3" s="81" t="s">
        <v>323</v>
      </c>
      <c r="H3" s="86"/>
      <c r="I3" s="86"/>
      <c r="J3" s="86"/>
      <c r="K3" s="86"/>
      <c r="L3" s="86"/>
      <c r="N3" s="86"/>
      <c r="O3" s="86"/>
      <c r="P3" s="86"/>
      <c r="Q3" s="131"/>
      <c r="R3" s="86"/>
    </row>
    <row r="4" spans="1:18" s="85" customFormat="1" ht="76.5" x14ac:dyDescent="0.2">
      <c r="A4" s="86" t="s">
        <v>324</v>
      </c>
      <c r="B4" s="86" t="s">
        <v>325</v>
      </c>
      <c r="C4" s="86">
        <v>1</v>
      </c>
      <c r="D4" s="86">
        <v>0</v>
      </c>
      <c r="E4" s="132" t="s">
        <v>326</v>
      </c>
      <c r="F4" s="85" t="s">
        <v>43</v>
      </c>
      <c r="H4" s="86"/>
      <c r="I4" s="86"/>
      <c r="J4" s="86" t="s">
        <v>327</v>
      </c>
      <c r="K4" s="86" t="s">
        <v>320</v>
      </c>
      <c r="L4" s="86" t="s">
        <v>321</v>
      </c>
      <c r="N4" s="86"/>
      <c r="O4" s="86"/>
      <c r="P4" s="86"/>
      <c r="Q4" s="131"/>
      <c r="R4" s="86"/>
    </row>
    <row r="5" spans="1:18" s="85" customFormat="1" ht="76.5" x14ac:dyDescent="0.2">
      <c r="A5" s="86" t="s">
        <v>328</v>
      </c>
      <c r="B5" s="86" t="s">
        <v>325</v>
      </c>
      <c r="C5" s="86">
        <v>1</v>
      </c>
      <c r="D5" s="86">
        <v>0</v>
      </c>
      <c r="E5" s="132" t="s">
        <v>326</v>
      </c>
      <c r="F5" s="85" t="s">
        <v>43</v>
      </c>
      <c r="H5" s="86"/>
      <c r="I5" s="86"/>
      <c r="J5" s="86" t="s">
        <v>327</v>
      </c>
      <c r="K5" s="86" t="s">
        <v>320</v>
      </c>
      <c r="L5" s="86" t="s">
        <v>321</v>
      </c>
      <c r="N5" s="86"/>
      <c r="O5" s="86"/>
      <c r="P5" s="86"/>
      <c r="Q5" s="131"/>
      <c r="R5" s="86"/>
    </row>
    <row r="6" spans="1:18" s="85" customFormat="1" x14ac:dyDescent="0.2">
      <c r="A6" s="86"/>
      <c r="B6" s="84"/>
      <c r="C6" s="86"/>
      <c r="D6" s="86"/>
      <c r="E6" s="132"/>
      <c r="H6" s="86"/>
      <c r="I6" s="86"/>
      <c r="J6" s="86"/>
      <c r="K6" s="86"/>
      <c r="L6" s="86"/>
      <c r="N6" s="86"/>
      <c r="O6" s="86"/>
      <c r="P6" s="86"/>
      <c r="Q6" s="131"/>
      <c r="R6" s="86"/>
    </row>
    <row r="7" spans="1:18" s="85" customFormat="1" ht="25.5" x14ac:dyDescent="0.2">
      <c r="A7" s="91" t="s">
        <v>313</v>
      </c>
      <c r="B7" s="87"/>
      <c r="C7" s="86"/>
      <c r="D7" s="86"/>
      <c r="E7" s="81" t="s">
        <v>329</v>
      </c>
      <c r="H7" s="86"/>
      <c r="I7" s="86"/>
      <c r="J7" s="86"/>
      <c r="K7" s="86"/>
      <c r="L7" s="86"/>
      <c r="N7" s="86"/>
      <c r="O7" s="86"/>
      <c r="P7" s="86"/>
      <c r="Q7" s="131"/>
      <c r="R7" s="86"/>
    </row>
    <row r="8" spans="1:18" s="85" customFormat="1" ht="25.5" x14ac:dyDescent="0.2">
      <c r="A8" s="86" t="s">
        <v>330</v>
      </c>
      <c r="B8" s="93" t="s">
        <v>331</v>
      </c>
      <c r="C8" s="86">
        <v>1</v>
      </c>
      <c r="D8" s="86">
        <v>0</v>
      </c>
      <c r="E8" s="132" t="s">
        <v>332</v>
      </c>
      <c r="H8" s="86"/>
      <c r="I8" s="86"/>
      <c r="J8" s="86" t="s">
        <v>43</v>
      </c>
      <c r="K8" s="86" t="s">
        <v>333</v>
      </c>
      <c r="L8" s="86" t="s">
        <v>321</v>
      </c>
      <c r="N8" s="86"/>
      <c r="O8" s="86"/>
      <c r="P8" s="86"/>
      <c r="Q8" s="131"/>
      <c r="R8" s="86"/>
    </row>
    <row r="9" spans="1:18" s="85" customFormat="1" ht="13.5" customHeight="1" x14ac:dyDescent="0.2">
      <c r="A9" s="86"/>
      <c r="C9" s="86"/>
      <c r="D9" s="86"/>
      <c r="E9" s="132"/>
      <c r="H9" s="86"/>
      <c r="I9" s="86"/>
      <c r="J9" s="86"/>
      <c r="K9" s="86"/>
      <c r="L9" s="86"/>
      <c r="N9" s="86"/>
      <c r="O9" s="86"/>
      <c r="P9" s="86"/>
      <c r="Q9" s="131"/>
      <c r="R9" s="86"/>
    </row>
    <row r="10" spans="1:18" s="85" customFormat="1" x14ac:dyDescent="0.2">
      <c r="A10" s="86"/>
      <c r="B10" s="86"/>
      <c r="C10" s="86"/>
      <c r="D10" s="86"/>
      <c r="E10" s="132"/>
      <c r="H10" s="86"/>
      <c r="I10" s="86"/>
      <c r="J10" s="86"/>
      <c r="K10" s="86"/>
      <c r="L10" s="86"/>
      <c r="N10" s="86"/>
      <c r="O10" s="86"/>
      <c r="P10" s="86"/>
      <c r="Q10" s="131"/>
      <c r="R10" s="86"/>
    </row>
    <row r="11" spans="1:18" s="85" customFormat="1" x14ac:dyDescent="0.2">
      <c r="A11" s="91" t="s">
        <v>343</v>
      </c>
      <c r="B11" s="87"/>
      <c r="C11" s="86"/>
      <c r="D11" s="86"/>
      <c r="E11" s="81" t="s">
        <v>344</v>
      </c>
      <c r="H11" s="86"/>
      <c r="I11" s="86"/>
      <c r="J11" s="86"/>
      <c r="K11" s="86"/>
      <c r="L11" s="86"/>
      <c r="N11" s="86"/>
      <c r="O11" s="86"/>
      <c r="P11" s="86"/>
      <c r="Q11" s="131"/>
      <c r="R11" s="86"/>
    </row>
    <row r="12" spans="1:18" s="85" customFormat="1" ht="25.5" x14ac:dyDescent="0.2">
      <c r="A12" s="83" t="s">
        <v>345</v>
      </c>
      <c r="B12" s="84" t="s">
        <v>346</v>
      </c>
      <c r="C12" s="86">
        <v>1</v>
      </c>
      <c r="D12" s="86">
        <v>0</v>
      </c>
      <c r="E12" s="132" t="s">
        <v>347</v>
      </c>
      <c r="F12" s="85" t="s">
        <v>43</v>
      </c>
      <c r="H12" s="86"/>
      <c r="I12" s="86"/>
      <c r="J12" s="86" t="s">
        <v>348</v>
      </c>
      <c r="K12" s="86" t="s">
        <v>349</v>
      </c>
      <c r="L12" s="86"/>
      <c r="N12" s="86"/>
      <c r="O12" s="86"/>
      <c r="P12" s="86"/>
      <c r="Q12" s="131"/>
      <c r="R12" s="86"/>
    </row>
    <row r="13" spans="1:18" s="85" customFormat="1" ht="63.75" x14ac:dyDescent="0.2">
      <c r="A13" s="86" t="s">
        <v>350</v>
      </c>
      <c r="B13" s="84" t="s">
        <v>346</v>
      </c>
      <c r="C13" s="86">
        <v>1</v>
      </c>
      <c r="D13" s="86">
        <v>0</v>
      </c>
      <c r="E13" s="132" t="s">
        <v>351</v>
      </c>
      <c r="F13" s="85" t="s">
        <v>352</v>
      </c>
      <c r="H13" s="86"/>
      <c r="I13" s="86"/>
      <c r="J13" s="86" t="s">
        <v>353</v>
      </c>
      <c r="K13" s="86" t="s">
        <v>320</v>
      </c>
      <c r="L13" s="86" t="s">
        <v>321</v>
      </c>
      <c r="N13" s="86"/>
      <c r="O13" s="86"/>
      <c r="P13" s="86"/>
      <c r="Q13" s="131"/>
      <c r="R13" s="86"/>
    </row>
    <row r="14" spans="1:18" s="85" customFormat="1" x14ac:dyDescent="0.2">
      <c r="A14" s="86"/>
      <c r="B14" s="84"/>
      <c r="C14" s="86"/>
      <c r="D14" s="86"/>
      <c r="E14" s="132"/>
      <c r="H14" s="86"/>
      <c r="I14" s="86"/>
      <c r="J14" s="86"/>
      <c r="K14" s="86"/>
      <c r="L14" s="86"/>
      <c r="N14" s="86"/>
      <c r="O14" s="86"/>
      <c r="P14" s="86"/>
      <c r="Q14" s="131"/>
      <c r="R14" s="86"/>
    </row>
    <row r="15" spans="1:18" s="85" customFormat="1" ht="25.5" x14ac:dyDescent="0.2">
      <c r="A15" s="91" t="s">
        <v>354</v>
      </c>
      <c r="B15" s="87"/>
      <c r="C15" s="86"/>
      <c r="D15" s="86"/>
      <c r="E15" s="81" t="s">
        <v>355</v>
      </c>
      <c r="H15" s="86"/>
      <c r="I15" s="86"/>
      <c r="J15" s="86"/>
      <c r="K15" s="86" t="s">
        <v>43</v>
      </c>
      <c r="L15" s="86"/>
      <c r="N15" s="86"/>
      <c r="O15" s="86"/>
      <c r="P15" s="86"/>
      <c r="Q15" s="131"/>
      <c r="R15" s="86"/>
    </row>
    <row r="16" spans="1:18" s="85" customFormat="1" ht="25.5" x14ac:dyDescent="0.2">
      <c r="A16" s="86" t="s">
        <v>356</v>
      </c>
      <c r="B16" s="86" t="s">
        <v>357</v>
      </c>
      <c r="C16" s="86">
        <v>2</v>
      </c>
      <c r="D16" s="86">
        <v>0</v>
      </c>
      <c r="E16" s="132" t="s">
        <v>358</v>
      </c>
      <c r="F16" s="85" t="s">
        <v>43</v>
      </c>
      <c r="H16" s="86"/>
      <c r="I16" s="86"/>
      <c r="J16" s="86" t="s">
        <v>359</v>
      </c>
      <c r="K16" s="86" t="s">
        <v>349</v>
      </c>
      <c r="L16" s="86" t="s">
        <v>321</v>
      </c>
      <c r="N16" s="86"/>
      <c r="O16" s="86"/>
      <c r="P16" s="86"/>
      <c r="Q16" s="131"/>
      <c r="R16" s="86"/>
    </row>
    <row r="17" spans="1:18" s="85" customFormat="1" ht="13.5" customHeight="1" x14ac:dyDescent="0.2">
      <c r="A17" s="86"/>
      <c r="B17" s="84"/>
      <c r="C17" s="86"/>
      <c r="D17" s="86"/>
      <c r="E17" s="132"/>
      <c r="H17" s="86"/>
      <c r="I17" s="86"/>
      <c r="J17" s="86"/>
      <c r="K17" s="86"/>
      <c r="L17" s="86"/>
      <c r="N17" s="86"/>
      <c r="O17" s="86"/>
      <c r="P17" s="86"/>
      <c r="Q17" s="131"/>
      <c r="R17" s="86"/>
    </row>
    <row r="18" spans="1:18" s="85" customFormat="1" x14ac:dyDescent="0.2">
      <c r="A18" s="91" t="s">
        <v>360</v>
      </c>
      <c r="B18" s="84"/>
      <c r="C18" s="86"/>
      <c r="D18" s="86"/>
      <c r="E18" s="81" t="s">
        <v>361</v>
      </c>
      <c r="H18" s="86"/>
      <c r="I18" s="86"/>
      <c r="J18" s="86"/>
      <c r="K18" s="86"/>
      <c r="L18" s="86"/>
      <c r="N18" s="86"/>
      <c r="O18" s="86"/>
      <c r="P18" s="86"/>
      <c r="Q18" s="131"/>
      <c r="R18" s="86"/>
    </row>
    <row r="19" spans="1:18" s="85" customFormat="1" ht="25.5" x14ac:dyDescent="0.2">
      <c r="A19" s="86" t="s">
        <v>362</v>
      </c>
      <c r="B19" s="94"/>
      <c r="C19" s="86">
        <v>1</v>
      </c>
      <c r="D19" s="86" t="s">
        <v>43</v>
      </c>
      <c r="E19" s="132" t="s">
        <v>363</v>
      </c>
      <c r="F19" s="85" t="s">
        <v>43</v>
      </c>
      <c r="H19" s="86"/>
      <c r="I19" s="86"/>
      <c r="J19" s="95"/>
      <c r="K19" s="86"/>
      <c r="L19" s="86" t="s">
        <v>364</v>
      </c>
      <c r="N19" s="86"/>
      <c r="O19" s="86"/>
      <c r="P19" s="86"/>
      <c r="Q19" s="131"/>
      <c r="R19" s="86"/>
    </row>
    <row r="20" spans="1:18" s="85" customFormat="1" ht="25.5" x14ac:dyDescent="0.2">
      <c r="A20" s="86" t="s">
        <v>365</v>
      </c>
      <c r="B20" s="94" t="s">
        <v>43</v>
      </c>
      <c r="C20" s="86">
        <v>10</v>
      </c>
      <c r="D20" s="86" t="s">
        <v>43</v>
      </c>
      <c r="E20" s="132" t="s">
        <v>366</v>
      </c>
      <c r="F20" s="85" t="s">
        <v>43</v>
      </c>
      <c r="H20" s="86"/>
      <c r="I20" s="86"/>
      <c r="J20" s="95" t="s">
        <v>367</v>
      </c>
      <c r="K20" s="86" t="s">
        <v>368</v>
      </c>
      <c r="L20" s="86" t="s">
        <v>369</v>
      </c>
      <c r="N20" s="86"/>
      <c r="O20" s="86"/>
      <c r="P20" s="86"/>
      <c r="Q20" s="131"/>
      <c r="R20" s="86"/>
    </row>
    <row r="21" spans="1:18" s="85" customFormat="1" x14ac:dyDescent="0.2">
      <c r="A21" s="86" t="s">
        <v>370</v>
      </c>
      <c r="B21" s="96" t="s">
        <v>371</v>
      </c>
      <c r="C21" s="86">
        <v>10</v>
      </c>
      <c r="D21" s="86" t="s">
        <v>43</v>
      </c>
      <c r="E21" s="132" t="s">
        <v>372</v>
      </c>
      <c r="F21" s="85" t="s">
        <v>43</v>
      </c>
      <c r="H21" s="86"/>
      <c r="I21" s="86"/>
      <c r="J21" s="86" t="s">
        <v>373</v>
      </c>
      <c r="K21" s="86" t="s">
        <v>374</v>
      </c>
      <c r="L21" s="86" t="s">
        <v>321</v>
      </c>
      <c r="N21" s="86"/>
      <c r="O21" s="86"/>
      <c r="P21" s="86"/>
      <c r="Q21" s="131"/>
      <c r="R21" s="86"/>
    </row>
    <row r="22" spans="1:18" s="85" customFormat="1" x14ac:dyDescent="0.2">
      <c r="A22" s="91"/>
      <c r="B22" s="96"/>
      <c r="C22" s="86"/>
      <c r="D22" s="86"/>
      <c r="E22" s="132"/>
      <c r="H22" s="86"/>
      <c r="I22" s="86"/>
      <c r="J22" s="86"/>
      <c r="K22" s="86"/>
      <c r="L22" s="86"/>
      <c r="N22" s="86"/>
      <c r="O22" s="86"/>
      <c r="P22" s="86"/>
      <c r="Q22" s="131"/>
      <c r="R22" s="86"/>
    </row>
    <row r="23" spans="1:18" s="85" customFormat="1" x14ac:dyDescent="0.2">
      <c r="A23" s="91"/>
      <c r="B23" s="96"/>
      <c r="C23" s="86"/>
      <c r="D23" s="86"/>
      <c r="E23" s="132"/>
      <c r="H23" s="86"/>
      <c r="I23" s="86"/>
      <c r="J23" s="86"/>
      <c r="K23" s="86"/>
      <c r="L23" s="86"/>
      <c r="N23" s="86"/>
      <c r="O23" s="86"/>
      <c r="P23" s="86"/>
      <c r="Q23" s="131"/>
      <c r="R23" s="86"/>
    </row>
    <row r="24" spans="1:18" s="85" customFormat="1" x14ac:dyDescent="0.2">
      <c r="A24" s="91" t="s">
        <v>375</v>
      </c>
      <c r="B24" s="96"/>
      <c r="C24" s="86">
        <v>1</v>
      </c>
      <c r="D24" s="86">
        <v>1</v>
      </c>
      <c r="E24" s="81" t="s">
        <v>376</v>
      </c>
      <c r="H24" s="86"/>
      <c r="I24" s="86"/>
      <c r="J24" s="86"/>
      <c r="K24" s="86"/>
      <c r="L24" s="86"/>
      <c r="N24" s="86"/>
      <c r="O24" s="86"/>
      <c r="P24" s="86"/>
      <c r="Q24" s="131"/>
      <c r="R24" s="86"/>
    </row>
    <row r="25" spans="1:18" s="85" customFormat="1" ht="25.5" x14ac:dyDescent="0.2">
      <c r="A25" s="91"/>
      <c r="B25" s="96"/>
      <c r="C25" s="86">
        <v>9</v>
      </c>
      <c r="D25" s="86" t="s">
        <v>43</v>
      </c>
      <c r="E25" s="128" t="s">
        <v>377</v>
      </c>
      <c r="H25" s="86"/>
      <c r="I25" s="86"/>
      <c r="J25" s="86" t="s">
        <v>359</v>
      </c>
      <c r="K25" s="86" t="s">
        <v>378</v>
      </c>
      <c r="L25" s="86" t="s">
        <v>364</v>
      </c>
      <c r="N25" s="86"/>
      <c r="O25" s="86"/>
      <c r="P25" s="86"/>
      <c r="Q25" s="131"/>
      <c r="R25" s="86"/>
    </row>
    <row r="26" spans="1:18" s="85" customFormat="1" x14ac:dyDescent="0.2">
      <c r="A26" s="91"/>
      <c r="B26" s="96"/>
      <c r="C26" s="86">
        <v>1</v>
      </c>
      <c r="D26" s="86"/>
      <c r="E26" s="128" t="s">
        <v>379</v>
      </c>
      <c r="H26" s="86"/>
      <c r="I26" s="86"/>
      <c r="J26" s="86" t="s">
        <v>359</v>
      </c>
      <c r="K26" s="86"/>
      <c r="L26" s="86"/>
      <c r="N26" s="86"/>
      <c r="O26" s="86"/>
      <c r="P26" s="86"/>
      <c r="Q26" s="131"/>
      <c r="R26" s="86"/>
    </row>
    <row r="27" spans="1:18" s="85" customFormat="1" x14ac:dyDescent="0.2">
      <c r="A27" s="91"/>
      <c r="B27" s="96"/>
      <c r="C27" s="86">
        <v>1</v>
      </c>
      <c r="D27" s="86"/>
      <c r="E27" s="128" t="s">
        <v>380</v>
      </c>
      <c r="H27" s="86"/>
      <c r="I27" s="86"/>
      <c r="J27" s="86" t="s">
        <v>359</v>
      </c>
      <c r="K27" s="86"/>
      <c r="L27" s="86" t="s">
        <v>369</v>
      </c>
      <c r="N27" s="86"/>
      <c r="O27" s="86"/>
      <c r="P27" s="86"/>
      <c r="Q27" s="131"/>
      <c r="R27" s="86"/>
    </row>
    <row r="28" spans="1:18" s="85" customFormat="1" x14ac:dyDescent="0.2">
      <c r="A28" s="86"/>
      <c r="B28" s="94"/>
      <c r="C28" s="86"/>
      <c r="D28" s="86"/>
      <c r="E28" s="132"/>
      <c r="H28" s="86"/>
      <c r="I28" s="86"/>
      <c r="J28" s="86"/>
      <c r="K28" s="86"/>
      <c r="L28" s="86"/>
      <c r="N28" s="86"/>
      <c r="O28" s="86"/>
      <c r="P28" s="86"/>
      <c r="Q28" s="131"/>
      <c r="R28" s="86"/>
    </row>
    <row r="29" spans="1:18" s="85" customFormat="1" ht="25.5" x14ac:dyDescent="0.2">
      <c r="A29" s="91" t="s">
        <v>381</v>
      </c>
      <c r="C29" s="86" t="s">
        <v>43</v>
      </c>
      <c r="D29" s="86"/>
      <c r="E29" s="81" t="s">
        <v>381</v>
      </c>
      <c r="H29" s="86"/>
      <c r="I29" s="86"/>
      <c r="J29" s="86"/>
      <c r="K29" s="86"/>
      <c r="L29" s="86"/>
      <c r="N29" s="86"/>
      <c r="O29" s="86"/>
      <c r="P29" s="86"/>
      <c r="Q29" s="131"/>
      <c r="R29" s="86"/>
    </row>
    <row r="30" spans="1:18" s="85" customFormat="1" x14ac:dyDescent="0.2">
      <c r="A30" s="86"/>
      <c r="C30" s="86">
        <v>5</v>
      </c>
      <c r="D30" s="86">
        <v>0</v>
      </c>
      <c r="E30" s="81"/>
      <c r="H30" s="86"/>
      <c r="I30" s="86"/>
      <c r="J30" s="86"/>
      <c r="K30" s="86"/>
      <c r="L30" s="86"/>
      <c r="N30" s="86"/>
      <c r="O30" s="86"/>
      <c r="P30" s="86"/>
      <c r="Q30" s="131"/>
      <c r="R30" s="86"/>
    </row>
    <row r="31" spans="1:18" s="85" customFormat="1" x14ac:dyDescent="0.2">
      <c r="A31" s="86"/>
      <c r="B31" s="86"/>
      <c r="C31" s="86"/>
      <c r="D31" s="86"/>
      <c r="E31" s="132"/>
      <c r="H31" s="86"/>
      <c r="I31" s="86"/>
      <c r="J31" s="86"/>
      <c r="K31" s="86"/>
      <c r="L31" s="86"/>
      <c r="N31" s="86"/>
      <c r="O31" s="86"/>
      <c r="P31" s="86"/>
      <c r="Q31" s="131"/>
      <c r="R31" s="86"/>
    </row>
    <row r="32" spans="1:18" s="85" customFormat="1" x14ac:dyDescent="0.2">
      <c r="A32" s="91" t="s">
        <v>382</v>
      </c>
      <c r="B32" s="86"/>
      <c r="C32" s="86"/>
      <c r="D32" s="86"/>
      <c r="E32" s="81" t="s">
        <v>383</v>
      </c>
      <c r="H32" s="86"/>
      <c r="I32" s="86"/>
      <c r="J32" s="86"/>
      <c r="K32" s="86"/>
      <c r="L32" s="86"/>
      <c r="N32" s="86"/>
      <c r="O32" s="86"/>
      <c r="P32" s="86"/>
      <c r="Q32" s="131"/>
      <c r="R32" s="86"/>
    </row>
    <row r="33" spans="1:18" s="85" customFormat="1" ht="38.25" x14ac:dyDescent="0.2">
      <c r="A33" s="86" t="s">
        <v>384</v>
      </c>
      <c r="B33" s="86" t="s">
        <v>385</v>
      </c>
      <c r="C33" s="86">
        <v>1</v>
      </c>
      <c r="D33" s="86" t="s">
        <v>43</v>
      </c>
      <c r="E33" s="132" t="s">
        <v>386</v>
      </c>
      <c r="F33" s="85" t="s">
        <v>43</v>
      </c>
      <c r="H33" s="86"/>
      <c r="I33" s="86"/>
      <c r="J33" s="86" t="s">
        <v>387</v>
      </c>
      <c r="K33" s="86" t="s">
        <v>388</v>
      </c>
      <c r="L33" s="86" t="s">
        <v>389</v>
      </c>
      <c r="N33" s="86"/>
      <c r="O33" s="86"/>
      <c r="P33" s="86"/>
      <c r="Q33" s="131"/>
      <c r="R33" s="86"/>
    </row>
    <row r="34" spans="1:18" s="85" customFormat="1" ht="14.25" customHeight="1" x14ac:dyDescent="0.2">
      <c r="A34" s="86" t="s">
        <v>390</v>
      </c>
      <c r="B34" s="86"/>
      <c r="C34" s="86">
        <v>1</v>
      </c>
      <c r="D34" s="86"/>
      <c r="E34" s="132"/>
      <c r="H34" s="86"/>
      <c r="I34" s="86"/>
      <c r="J34" s="86" t="s">
        <v>348</v>
      </c>
      <c r="K34" s="86"/>
      <c r="L34" s="86" t="s">
        <v>369</v>
      </c>
      <c r="N34" s="86"/>
      <c r="O34" s="86"/>
      <c r="P34" s="86"/>
      <c r="Q34" s="131"/>
      <c r="R34" s="86"/>
    </row>
    <row r="35" spans="1:18" s="85" customFormat="1" x14ac:dyDescent="0.2">
      <c r="A35" s="86"/>
      <c r="B35" s="86"/>
      <c r="C35" s="86"/>
      <c r="D35" s="86"/>
      <c r="E35" s="132"/>
      <c r="H35" s="86"/>
      <c r="I35" s="86"/>
      <c r="J35" s="86"/>
      <c r="K35" s="86"/>
      <c r="L35" s="86"/>
      <c r="N35" s="86"/>
      <c r="O35" s="86"/>
      <c r="P35" s="86"/>
      <c r="Q35" s="131"/>
      <c r="R35" s="86"/>
    </row>
    <row r="36" spans="1:18" s="85" customFormat="1" x14ac:dyDescent="0.2">
      <c r="A36" s="86"/>
      <c r="B36" s="86"/>
      <c r="C36" s="86"/>
      <c r="D36" s="86"/>
      <c r="E36" s="132"/>
      <c r="H36" s="86"/>
      <c r="I36" s="86"/>
      <c r="J36" s="86"/>
      <c r="K36" s="86"/>
      <c r="L36" s="86"/>
      <c r="N36" s="86"/>
      <c r="O36" s="86"/>
      <c r="P36" s="86"/>
      <c r="Q36" s="131"/>
      <c r="R36" s="86"/>
    </row>
    <row r="37" spans="1:18" s="85" customFormat="1" x14ac:dyDescent="0.2">
      <c r="A37" s="91" t="s">
        <v>391</v>
      </c>
      <c r="B37" s="88"/>
      <c r="C37" s="86"/>
      <c r="D37" s="86"/>
      <c r="E37" s="81" t="s">
        <v>392</v>
      </c>
      <c r="H37" s="86"/>
      <c r="I37" s="86"/>
      <c r="J37" s="86"/>
      <c r="K37" s="86"/>
      <c r="L37" s="86"/>
      <c r="N37" s="86"/>
      <c r="O37" s="86"/>
      <c r="P37" s="86"/>
      <c r="Q37" s="131"/>
      <c r="R37" s="86"/>
    </row>
    <row r="38" spans="1:18" s="85" customFormat="1" ht="38.25" x14ac:dyDescent="0.2">
      <c r="A38" s="86" t="s">
        <v>393</v>
      </c>
      <c r="C38" s="86">
        <v>16</v>
      </c>
      <c r="D38" s="86"/>
      <c r="E38" s="132" t="s">
        <v>394</v>
      </c>
      <c r="F38" s="88"/>
      <c r="G38" s="88"/>
      <c r="H38" s="91"/>
      <c r="I38" s="91"/>
      <c r="J38" s="86" t="s">
        <v>359</v>
      </c>
      <c r="K38" s="86" t="s">
        <v>378</v>
      </c>
      <c r="L38" s="86" t="s">
        <v>364</v>
      </c>
      <c r="N38" s="86"/>
      <c r="O38" s="86"/>
      <c r="P38" s="86"/>
      <c r="Q38" s="131"/>
      <c r="R38" s="86"/>
    </row>
    <row r="39" spans="1:18" s="85" customFormat="1" ht="38.25" x14ac:dyDescent="0.2">
      <c r="A39" s="86" t="s">
        <v>395</v>
      </c>
      <c r="C39" s="86">
        <v>2</v>
      </c>
      <c r="D39" s="86"/>
      <c r="E39" s="132" t="s">
        <v>396</v>
      </c>
      <c r="F39" s="88"/>
      <c r="G39" s="88"/>
      <c r="H39" s="91"/>
      <c r="I39" s="91"/>
      <c r="J39" s="86" t="s">
        <v>359</v>
      </c>
      <c r="K39" s="86"/>
      <c r="L39" s="86" t="s">
        <v>369</v>
      </c>
      <c r="N39" s="86"/>
      <c r="O39" s="86"/>
      <c r="P39" s="86"/>
      <c r="Q39" s="131"/>
      <c r="R39" s="86"/>
    </row>
    <row r="40" spans="1:18" s="85" customFormat="1" ht="25.5" x14ac:dyDescent="0.2">
      <c r="A40" s="86" t="s">
        <v>397</v>
      </c>
      <c r="C40" s="86">
        <v>1</v>
      </c>
      <c r="D40" s="86"/>
      <c r="E40" s="132" t="s">
        <v>398</v>
      </c>
      <c r="F40" s="88"/>
      <c r="G40" s="88"/>
      <c r="H40" s="91"/>
      <c r="I40" s="91"/>
      <c r="J40" s="86" t="s">
        <v>359</v>
      </c>
      <c r="K40" s="86"/>
      <c r="L40" s="86" t="s">
        <v>369</v>
      </c>
      <c r="N40" s="86"/>
      <c r="O40" s="86"/>
      <c r="P40" s="86"/>
      <c r="Q40" s="131"/>
      <c r="R40" s="86"/>
    </row>
    <row r="41" spans="1:18" s="85" customFormat="1" ht="38.25" x14ac:dyDescent="0.2">
      <c r="A41" s="86" t="s">
        <v>399</v>
      </c>
      <c r="C41" s="86">
        <v>1</v>
      </c>
      <c r="D41" s="86"/>
      <c r="E41" s="132" t="s">
        <v>400</v>
      </c>
      <c r="H41" s="86"/>
      <c r="I41" s="86"/>
      <c r="J41" s="86" t="s">
        <v>353</v>
      </c>
      <c r="K41" s="86" t="s">
        <v>320</v>
      </c>
      <c r="L41" s="86" t="s">
        <v>321</v>
      </c>
      <c r="N41" s="86"/>
      <c r="O41" s="86"/>
      <c r="P41" s="86"/>
      <c r="Q41" s="131"/>
      <c r="R41" s="86"/>
    </row>
    <row r="42" spans="1:18" s="85" customFormat="1" x14ac:dyDescent="0.2">
      <c r="A42" s="86"/>
      <c r="C42" s="86"/>
      <c r="D42" s="86"/>
      <c r="E42" s="132"/>
      <c r="H42" s="86"/>
      <c r="I42" s="86"/>
      <c r="J42" s="86"/>
      <c r="K42" s="86"/>
      <c r="L42" s="86"/>
      <c r="N42" s="86"/>
      <c r="O42" s="86"/>
      <c r="P42" s="86"/>
      <c r="Q42" s="131"/>
      <c r="R42" s="86"/>
    </row>
    <row r="43" spans="1:18" s="85" customFormat="1" x14ac:dyDescent="0.2">
      <c r="A43" s="86"/>
      <c r="C43" s="86"/>
      <c r="D43" s="86"/>
      <c r="E43" s="81" t="s">
        <v>43</v>
      </c>
      <c r="H43" s="86"/>
      <c r="I43" s="86"/>
      <c r="J43" s="86"/>
      <c r="K43" s="86"/>
      <c r="L43" s="86"/>
      <c r="N43" s="86"/>
      <c r="O43" s="86"/>
      <c r="P43" s="86"/>
      <c r="Q43" s="131"/>
      <c r="R43" s="86"/>
    </row>
    <row r="44" spans="1:18" x14ac:dyDescent="0.2">
      <c r="A44" s="16"/>
    </row>
    <row r="45" spans="1:18" x14ac:dyDescent="0.2">
      <c r="B45" s="80"/>
    </row>
    <row r="46" spans="1:18" x14ac:dyDescent="0.2">
      <c r="B46" s="80"/>
    </row>
    <row r="47" spans="1:18" x14ac:dyDescent="0.2">
      <c r="B47" s="80"/>
    </row>
    <row r="48" spans="1:18" x14ac:dyDescent="0.2">
      <c r="B48" s="80"/>
    </row>
    <row r="49" spans="2:2" x14ac:dyDescent="0.2">
      <c r="B49" s="80"/>
    </row>
    <row r="50" spans="2:2" x14ac:dyDescent="0.2">
      <c r="B50" s="80"/>
    </row>
  </sheetData>
  <printOptions gridLines="1"/>
  <pageMargins left="0.25" right="0.25" top="0.75" bottom="0.75" header="0.3" footer="0.3"/>
  <pageSetup paperSize="17" orientation="landscape" r:id="rId1"/>
  <headerFooter>
    <oddFooter xml:space="preserve">&amp;L&amp;Z&amp;F&amp;C&amp;A&amp;R&amp;P / &amp;N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G14" sqref="G14"/>
    </sheetView>
  </sheetViews>
  <sheetFormatPr defaultRowHeight="12.75" x14ac:dyDescent="0.2"/>
  <cols>
    <col min="1" max="1" width="10.42578125" customWidth="1"/>
    <col min="2" max="2" width="9.7109375" customWidth="1"/>
    <col min="3" max="3" width="11.42578125" customWidth="1"/>
    <col min="4" max="4" width="15.140625" style="17" customWidth="1"/>
    <col min="5" max="5" width="18" customWidth="1"/>
    <col min="6" max="6" width="12" customWidth="1"/>
    <col min="7" max="7" width="29.42578125" style="17" customWidth="1"/>
    <col min="8" max="8" width="13.7109375" customWidth="1"/>
    <col min="9" max="9" width="12" customWidth="1"/>
  </cols>
  <sheetData>
    <row r="1" spans="1:12" ht="13.5" thickBot="1" x14ac:dyDescent="0.25">
      <c r="A1" t="s">
        <v>223</v>
      </c>
      <c r="C1" t="s">
        <v>224</v>
      </c>
      <c r="D1" s="17" t="s">
        <v>225</v>
      </c>
      <c r="E1" t="s">
        <v>226</v>
      </c>
    </row>
    <row r="2" spans="1:12" ht="30" customHeight="1" thickBot="1" x14ac:dyDescent="0.25">
      <c r="A2" s="25" t="s">
        <v>211</v>
      </c>
      <c r="B2" s="26" t="s">
        <v>217</v>
      </c>
      <c r="C2" s="26" t="s">
        <v>218</v>
      </c>
      <c r="D2" s="26" t="s">
        <v>227</v>
      </c>
      <c r="E2" s="26" t="s">
        <v>219</v>
      </c>
      <c r="F2" s="26" t="s">
        <v>232</v>
      </c>
      <c r="G2" s="26" t="s">
        <v>2</v>
      </c>
      <c r="H2" s="27" t="s">
        <v>228</v>
      </c>
      <c r="I2" s="27" t="s">
        <v>233</v>
      </c>
    </row>
    <row r="3" spans="1:12" ht="20.100000000000001" customHeight="1" thickBot="1" x14ac:dyDescent="0.25">
      <c r="A3" s="39">
        <v>378971</v>
      </c>
      <c r="B3" s="40">
        <v>43320</v>
      </c>
      <c r="C3" s="41">
        <v>55898</v>
      </c>
      <c r="D3" s="37" t="s">
        <v>461</v>
      </c>
      <c r="E3" s="37" t="s">
        <v>1353</v>
      </c>
      <c r="F3" s="41">
        <v>55755.39</v>
      </c>
      <c r="G3" s="37" t="s">
        <v>1354</v>
      </c>
      <c r="H3" s="43">
        <v>43369</v>
      </c>
      <c r="I3" s="53" t="s">
        <v>273</v>
      </c>
    </row>
    <row r="4" spans="1:12" ht="20.100000000000001" customHeight="1" thickBot="1" x14ac:dyDescent="0.25">
      <c r="A4" s="39">
        <v>378847</v>
      </c>
      <c r="B4" s="40">
        <v>43312</v>
      </c>
      <c r="C4" s="41">
        <v>33030</v>
      </c>
      <c r="D4" s="37" t="s">
        <v>1351</v>
      </c>
      <c r="E4" s="37" t="s">
        <v>221</v>
      </c>
      <c r="F4" s="41">
        <v>33030</v>
      </c>
      <c r="G4" s="37" t="s">
        <v>45</v>
      </c>
      <c r="H4" s="43">
        <v>43336</v>
      </c>
      <c r="I4" s="53" t="s">
        <v>273</v>
      </c>
    </row>
    <row r="5" spans="1:12" ht="20.100000000000001" customHeight="1" thickBot="1" x14ac:dyDescent="0.25">
      <c r="A5" s="44">
        <v>382342</v>
      </c>
      <c r="B5" s="40">
        <v>43480</v>
      </c>
      <c r="C5" s="41">
        <v>172</v>
      </c>
      <c r="D5" s="37" t="s">
        <v>1352</v>
      </c>
      <c r="E5" s="37" t="s">
        <v>221</v>
      </c>
      <c r="F5" s="41">
        <v>172</v>
      </c>
      <c r="G5" s="37" t="s">
        <v>1355</v>
      </c>
      <c r="H5" s="43" t="s">
        <v>43</v>
      </c>
      <c r="I5" s="53" t="s">
        <v>43</v>
      </c>
      <c r="J5" s="52" t="s">
        <v>43</v>
      </c>
      <c r="L5" s="74" t="s">
        <v>43</v>
      </c>
    </row>
    <row r="6" spans="1:12" ht="20.100000000000001" customHeight="1" thickBot="1" x14ac:dyDescent="0.25">
      <c r="A6" s="44">
        <v>395689</v>
      </c>
      <c r="B6" s="40">
        <v>44025</v>
      </c>
      <c r="C6" s="41">
        <v>18879</v>
      </c>
      <c r="D6" s="37"/>
      <c r="E6" s="37" t="s">
        <v>220</v>
      </c>
      <c r="F6" s="41"/>
      <c r="G6" s="37" t="s">
        <v>1479</v>
      </c>
      <c r="H6" s="43"/>
      <c r="I6" s="53"/>
    </row>
    <row r="7" spans="1:12" ht="30" customHeight="1" thickBot="1" x14ac:dyDescent="0.25">
      <c r="A7" s="44">
        <v>395691</v>
      </c>
      <c r="B7" s="40">
        <v>44025</v>
      </c>
      <c r="C7" s="41">
        <v>3750</v>
      </c>
      <c r="D7" s="37" t="s">
        <v>1481</v>
      </c>
      <c r="E7" s="37" t="s">
        <v>1480</v>
      </c>
      <c r="F7" s="41">
        <v>3430</v>
      </c>
      <c r="G7" s="37" t="s">
        <v>1482</v>
      </c>
      <c r="H7" s="294">
        <v>44096</v>
      </c>
      <c r="I7" s="53"/>
    </row>
    <row r="8" spans="1:12" ht="20.100000000000001" customHeight="1" thickBot="1" x14ac:dyDescent="0.25">
      <c r="A8" s="44"/>
      <c r="B8" s="40"/>
      <c r="C8" s="41"/>
      <c r="D8" s="37"/>
      <c r="E8" s="37"/>
      <c r="F8" s="41"/>
      <c r="G8" s="37"/>
      <c r="H8" s="43"/>
      <c r="I8" s="53"/>
    </row>
    <row r="9" spans="1:12" ht="20.100000000000001" customHeight="1" thickBot="1" x14ac:dyDescent="0.25">
      <c r="A9" s="44"/>
      <c r="B9" s="40"/>
      <c r="C9" s="41"/>
      <c r="D9" s="37"/>
      <c r="E9" s="37"/>
      <c r="F9" s="41"/>
      <c r="G9" s="37"/>
      <c r="H9" s="43"/>
      <c r="I9" s="53"/>
    </row>
    <row r="10" spans="1:12" ht="20.100000000000001" customHeight="1" thickBot="1" x14ac:dyDescent="0.25">
      <c r="A10" s="44"/>
      <c r="B10" s="40"/>
      <c r="C10" s="41"/>
      <c r="D10" s="37"/>
      <c r="E10" s="37"/>
      <c r="F10" s="41"/>
      <c r="G10" s="37"/>
      <c r="H10" s="43"/>
      <c r="I10" s="53"/>
    </row>
    <row r="11" spans="1:12" ht="20.100000000000001" customHeight="1" thickBot="1" x14ac:dyDescent="0.25">
      <c r="A11" s="44"/>
      <c r="B11" s="40"/>
      <c r="C11" s="41"/>
      <c r="D11" s="37"/>
      <c r="E11" s="37"/>
      <c r="F11" s="41"/>
      <c r="G11" s="37"/>
      <c r="H11" s="43"/>
      <c r="I11" s="53"/>
    </row>
    <row r="12" spans="1:12" ht="20.100000000000001" customHeight="1" thickBot="1" x14ac:dyDescent="0.25">
      <c r="A12" s="44"/>
      <c r="B12" s="40"/>
      <c r="C12" s="41"/>
      <c r="D12" s="37"/>
      <c r="E12" s="37"/>
      <c r="F12" s="41"/>
      <c r="G12" s="37"/>
      <c r="H12" s="49"/>
      <c r="I12" s="53"/>
    </row>
    <row r="13" spans="1:12" ht="20.100000000000001" customHeight="1" thickBot="1" x14ac:dyDescent="0.25">
      <c r="A13" s="44"/>
      <c r="B13" s="40"/>
      <c r="C13" s="41"/>
      <c r="D13" s="37"/>
      <c r="E13" s="37"/>
      <c r="F13" s="50"/>
      <c r="G13" s="37"/>
      <c r="H13" s="43"/>
      <c r="I13" s="53"/>
    </row>
    <row r="14" spans="1:12" ht="20.100000000000001" customHeight="1" thickBot="1" x14ac:dyDescent="0.25">
      <c r="A14" s="44"/>
      <c r="B14" s="40"/>
      <c r="C14" s="41"/>
      <c r="D14" s="37"/>
      <c r="E14" s="37"/>
      <c r="F14" s="41"/>
      <c r="G14" s="37"/>
      <c r="H14" s="43"/>
      <c r="I14" s="53"/>
    </row>
    <row r="15" spans="1:12" ht="20.100000000000001" customHeight="1" thickBot="1" x14ac:dyDescent="0.25">
      <c r="A15" s="44"/>
      <c r="B15" s="40"/>
      <c r="C15" s="41"/>
      <c r="D15" s="37"/>
      <c r="E15" s="37"/>
      <c r="F15" s="41"/>
      <c r="G15" s="37"/>
      <c r="H15" s="43"/>
      <c r="I15" s="53"/>
    </row>
    <row r="16" spans="1:12" ht="20.100000000000001" customHeight="1" thickBot="1" x14ac:dyDescent="0.25">
      <c r="A16" s="44"/>
      <c r="B16" s="40"/>
      <c r="C16" s="41"/>
      <c r="D16" s="37"/>
      <c r="E16" s="37"/>
      <c r="F16" s="41"/>
      <c r="G16" s="37"/>
      <c r="H16" s="43"/>
      <c r="I16" s="53"/>
    </row>
    <row r="17" spans="1:9" ht="20.100000000000001" customHeight="1" thickBot="1" x14ac:dyDescent="0.25">
      <c r="A17" s="44"/>
      <c r="B17" s="40"/>
      <c r="C17" s="41"/>
      <c r="D17" s="37"/>
      <c r="E17" s="37"/>
      <c r="F17" s="41"/>
      <c r="G17" s="37"/>
      <c r="H17" s="43"/>
      <c r="I17" s="53"/>
    </row>
    <row r="18" spans="1:9" ht="20.100000000000001" customHeight="1" thickBot="1" x14ac:dyDescent="0.25">
      <c r="A18" s="44"/>
      <c r="B18" s="40"/>
      <c r="C18" s="41"/>
      <c r="D18" s="37"/>
      <c r="E18" s="37"/>
      <c r="F18" s="41"/>
      <c r="G18" s="37"/>
      <c r="H18" s="43"/>
      <c r="I18" s="53"/>
    </row>
    <row r="19" spans="1:9" ht="20.100000000000001" customHeight="1" thickBot="1" x14ac:dyDescent="0.25">
      <c r="A19" s="44"/>
      <c r="B19" s="40"/>
      <c r="C19" s="41"/>
      <c r="D19" s="37"/>
      <c r="E19" s="37"/>
      <c r="F19" s="41"/>
      <c r="G19" s="37"/>
      <c r="H19" s="43"/>
      <c r="I19" s="53"/>
    </row>
    <row r="20" spans="1:9" ht="20.100000000000001" customHeight="1" thickBot="1" x14ac:dyDescent="0.25">
      <c r="A20" s="44"/>
      <c r="B20" s="40"/>
      <c r="C20" s="41"/>
      <c r="D20" s="37"/>
      <c r="E20" s="37"/>
      <c r="F20" s="41"/>
      <c r="G20" s="37"/>
      <c r="H20" s="43"/>
      <c r="I20" s="42"/>
    </row>
    <row r="21" spans="1:9" ht="20.100000000000001" customHeight="1" thickBot="1" x14ac:dyDescent="0.25">
      <c r="A21" s="44"/>
      <c r="B21" s="40"/>
      <c r="C21" s="41"/>
      <c r="D21" s="37"/>
      <c r="E21" s="37"/>
      <c r="F21" s="41"/>
      <c r="G21" s="37"/>
      <c r="H21" s="43"/>
      <c r="I21" s="42"/>
    </row>
    <row r="22" spans="1:9" ht="20.100000000000001" customHeight="1" thickBot="1" x14ac:dyDescent="0.25">
      <c r="A22" s="44"/>
      <c r="B22" s="40"/>
      <c r="C22" s="41"/>
      <c r="D22" s="37"/>
      <c r="E22" s="37"/>
      <c r="F22" s="41"/>
      <c r="G22" s="37"/>
      <c r="H22" s="43"/>
      <c r="I22" s="42"/>
    </row>
    <row r="23" spans="1:9" s="19" customFormat="1" ht="33" customHeight="1" thickBot="1" x14ac:dyDescent="0.25">
      <c r="A23" s="44"/>
      <c r="B23" s="54"/>
      <c r="C23" s="46"/>
      <c r="D23" s="37"/>
      <c r="E23" s="37"/>
      <c r="F23" s="46"/>
      <c r="G23" s="37"/>
      <c r="H23" s="43"/>
      <c r="I23" s="42"/>
    </row>
    <row r="24" spans="1:9" s="19" customFormat="1" ht="20.100000000000001" customHeight="1" thickBot="1" x14ac:dyDescent="0.25">
      <c r="A24" s="44"/>
      <c r="B24" s="40"/>
      <c r="C24" s="41"/>
      <c r="D24" s="37"/>
      <c r="E24" s="37"/>
      <c r="F24" s="41"/>
      <c r="G24" s="37"/>
      <c r="H24" s="43"/>
      <c r="I24" s="42"/>
    </row>
    <row r="25" spans="1:9" s="19" customFormat="1" ht="20.100000000000001" customHeight="1" thickBot="1" x14ac:dyDescent="0.25">
      <c r="A25" s="44"/>
      <c r="B25" s="40"/>
      <c r="C25" s="41"/>
      <c r="D25" s="37"/>
      <c r="E25" s="37"/>
      <c r="F25" s="41"/>
      <c r="G25" s="37"/>
      <c r="H25" s="43"/>
      <c r="I25" s="42"/>
    </row>
    <row r="26" spans="1:9" ht="20.100000000000001" customHeight="1" thickBot="1" x14ac:dyDescent="0.25">
      <c r="A26" s="44"/>
      <c r="B26" s="40"/>
      <c r="C26" s="41"/>
      <c r="D26" s="37"/>
      <c r="E26" s="37"/>
      <c r="F26" s="41"/>
      <c r="G26" s="37"/>
      <c r="H26" s="43"/>
      <c r="I26" s="42"/>
    </row>
    <row r="27" spans="1:9" ht="21.75" customHeight="1" thickBot="1" x14ac:dyDescent="0.25">
      <c r="A27" s="44"/>
      <c r="B27" s="40"/>
      <c r="C27" s="41"/>
      <c r="D27" s="37"/>
      <c r="E27" s="37"/>
      <c r="F27" s="41"/>
      <c r="G27" s="37"/>
      <c r="H27" s="43"/>
      <c r="I27" s="42"/>
    </row>
    <row r="28" spans="1:9" ht="21.75" customHeight="1" thickBot="1" x14ac:dyDescent="0.25">
      <c r="A28" s="44"/>
      <c r="B28" s="40"/>
      <c r="C28" s="41"/>
      <c r="D28" s="37"/>
      <c r="E28" s="37"/>
      <c r="F28" s="41"/>
      <c r="G28" s="37"/>
      <c r="H28" s="43"/>
      <c r="I28" s="42"/>
    </row>
    <row r="29" spans="1:9" ht="21.75" customHeight="1" thickBot="1" x14ac:dyDescent="0.25">
      <c r="A29" s="44"/>
      <c r="B29" s="40"/>
      <c r="C29" s="41"/>
      <c r="D29" s="37"/>
      <c r="E29" s="37"/>
      <c r="F29" s="41"/>
      <c r="G29" s="37"/>
      <c r="H29" s="43"/>
      <c r="I29" s="42"/>
    </row>
    <row r="30" spans="1:9" ht="21.75" customHeight="1" thickBot="1" x14ac:dyDescent="0.25">
      <c r="A30" s="44"/>
      <c r="B30" s="40"/>
      <c r="C30" s="41"/>
      <c r="D30" s="37"/>
      <c r="E30" s="37"/>
      <c r="F30" s="41"/>
      <c r="G30" s="37"/>
      <c r="H30" s="43"/>
      <c r="I30" s="53"/>
    </row>
    <row r="31" spans="1:9" ht="21.75" customHeight="1" thickBot="1" x14ac:dyDescent="0.25">
      <c r="A31" s="44"/>
      <c r="B31" s="40"/>
      <c r="C31" s="41"/>
      <c r="D31" s="37"/>
      <c r="E31" s="37"/>
      <c r="F31" s="41"/>
      <c r="G31" s="37"/>
      <c r="H31" s="43"/>
      <c r="I31" s="53"/>
    </row>
    <row r="32" spans="1:9" ht="18" customHeight="1" thickBot="1" x14ac:dyDescent="0.25">
      <c r="A32" s="44"/>
      <c r="B32" s="40"/>
      <c r="C32" s="41"/>
      <c r="D32" s="37"/>
      <c r="E32" s="37"/>
      <c r="F32" s="41"/>
      <c r="G32" s="37"/>
      <c r="H32" s="43"/>
      <c r="I32" s="42"/>
    </row>
    <row r="33" spans="1:9" ht="13.5" thickBot="1" x14ac:dyDescent="0.25">
      <c r="A33" s="44"/>
      <c r="B33" s="38"/>
      <c r="C33" s="46"/>
      <c r="D33" s="38"/>
      <c r="E33" s="37"/>
      <c r="F33" s="46"/>
      <c r="G33" s="37"/>
      <c r="H33" s="47"/>
      <c r="I33" s="42"/>
    </row>
    <row r="34" spans="1:9" ht="13.5" thickBot="1" x14ac:dyDescent="0.25">
      <c r="A34" s="44"/>
      <c r="B34" s="40"/>
      <c r="C34" s="41"/>
      <c r="D34" s="37"/>
      <c r="E34" s="37"/>
      <c r="F34" s="41"/>
      <c r="G34" s="37"/>
      <c r="H34" s="43"/>
      <c r="I34" s="42"/>
    </row>
    <row r="35" spans="1:9" ht="13.5" thickBot="1" x14ac:dyDescent="0.25">
      <c r="A35" s="48"/>
      <c r="B35" s="38"/>
      <c r="C35" s="46" t="s">
        <v>43</v>
      </c>
      <c r="D35" s="38"/>
      <c r="E35" s="38"/>
      <c r="F35" s="46" t="s">
        <v>43</v>
      </c>
      <c r="G35" s="37" t="s">
        <v>43</v>
      </c>
      <c r="H35" s="47"/>
      <c r="I35" s="53" t="s">
        <v>43</v>
      </c>
    </row>
    <row r="36" spans="1:9" ht="15.75" thickBot="1" x14ac:dyDescent="0.25">
      <c r="A36" s="45"/>
      <c r="B36" s="37"/>
      <c r="C36" s="51">
        <f>SUM(C3:C35)</f>
        <v>111729</v>
      </c>
      <c r="D36" s="37"/>
      <c r="E36" s="37"/>
      <c r="F36" s="51">
        <f>SUM(F3:F35)</f>
        <v>92387.39</v>
      </c>
      <c r="G36" s="37" t="s">
        <v>222</v>
      </c>
      <c r="H36" s="42"/>
      <c r="I36" s="42"/>
    </row>
    <row r="38" spans="1:9" x14ac:dyDescent="0.2">
      <c r="F38" s="28"/>
      <c r="G38" s="15"/>
    </row>
    <row r="39" spans="1:9" x14ac:dyDescent="0.2">
      <c r="G39" s="15"/>
      <c r="H39" s="12"/>
    </row>
    <row r="40" spans="1:9" x14ac:dyDescent="0.2">
      <c r="G40" s="15"/>
    </row>
    <row r="41" spans="1:9" x14ac:dyDescent="0.2">
      <c r="G41" s="15"/>
    </row>
    <row r="42" spans="1:9" x14ac:dyDescent="0.2">
      <c r="G42" s="15"/>
    </row>
    <row r="43" spans="1:9" x14ac:dyDescent="0.2">
      <c r="G43" s="15"/>
    </row>
    <row r="44" spans="1:9" ht="15" x14ac:dyDescent="0.25">
      <c r="A44" s="32"/>
      <c r="G44" s="15"/>
    </row>
    <row r="45" spans="1:9" x14ac:dyDescent="0.2">
      <c r="F45" s="12"/>
      <c r="G45" s="15"/>
    </row>
    <row r="46" spans="1:9" x14ac:dyDescent="0.2">
      <c r="F46" s="12" t="s">
        <v>43</v>
      </c>
      <c r="G46" s="15" t="s">
        <v>43</v>
      </c>
    </row>
  </sheetData>
  <pageMargins left="0.25" right="0.25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topLeftCell="A43" zoomScaleNormal="100" workbookViewId="0">
      <selection activeCell="D70" sqref="D70"/>
    </sheetView>
  </sheetViews>
  <sheetFormatPr defaultColWidth="5.85546875" defaultRowHeight="12.75" x14ac:dyDescent="0.2"/>
  <cols>
    <col min="1" max="1" width="13.42578125" customWidth="1"/>
    <col min="2" max="2" width="27.42578125" customWidth="1"/>
    <col min="3" max="7" width="23.42578125" style="17" customWidth="1"/>
    <col min="8" max="8" width="26.7109375" style="17" customWidth="1"/>
    <col min="9" max="9" width="31.28515625" style="17" customWidth="1"/>
    <col min="10" max="10" width="23.42578125" style="17" customWidth="1"/>
    <col min="11" max="11" width="12.7109375" customWidth="1"/>
  </cols>
  <sheetData>
    <row r="1" spans="1:10" ht="14.25" customHeight="1" x14ac:dyDescent="0.2">
      <c r="A1" s="9" t="s">
        <v>1439</v>
      </c>
    </row>
    <row r="2" spans="1:10" ht="14.25" customHeight="1" x14ac:dyDescent="0.2">
      <c r="A2" t="s">
        <v>153</v>
      </c>
      <c r="B2" s="15" t="s">
        <v>834</v>
      </c>
      <c r="C2" s="15" t="s">
        <v>314</v>
      </c>
      <c r="D2" s="15" t="s">
        <v>314</v>
      </c>
      <c r="E2" s="15" t="s">
        <v>1177</v>
      </c>
      <c r="F2" s="15" t="s">
        <v>835</v>
      </c>
      <c r="G2" s="15" t="s">
        <v>837</v>
      </c>
      <c r="H2" s="15" t="s">
        <v>863</v>
      </c>
      <c r="I2" s="15" t="s">
        <v>863</v>
      </c>
      <c r="J2" s="15" t="s">
        <v>307</v>
      </c>
    </row>
    <row r="3" spans="1:10" ht="14.25" customHeight="1" x14ac:dyDescent="0.2">
      <c r="A3" t="s">
        <v>164</v>
      </c>
      <c r="B3" s="15" t="s">
        <v>1182</v>
      </c>
      <c r="C3" s="17" t="s">
        <v>166</v>
      </c>
      <c r="D3" s="17" t="s">
        <v>166</v>
      </c>
      <c r="E3" s="15" t="s">
        <v>250</v>
      </c>
      <c r="F3" s="17" t="s">
        <v>165</v>
      </c>
      <c r="G3" s="17" t="s">
        <v>165</v>
      </c>
      <c r="H3" s="17" t="s">
        <v>166</v>
      </c>
      <c r="I3" s="17" t="s">
        <v>166</v>
      </c>
      <c r="J3" s="17" t="s">
        <v>166</v>
      </c>
    </row>
    <row r="4" spans="1:10" s="240" customFormat="1" ht="14.25" customHeight="1" x14ac:dyDescent="0.2">
      <c r="A4" s="240" t="s">
        <v>167</v>
      </c>
      <c r="C4" s="240" t="s">
        <v>168</v>
      </c>
      <c r="D4" s="229" t="s">
        <v>1175</v>
      </c>
      <c r="E4" s="240" t="s">
        <v>251</v>
      </c>
      <c r="H4" s="229" t="s">
        <v>270</v>
      </c>
      <c r="I4" s="229" t="s">
        <v>1176</v>
      </c>
      <c r="J4" s="240" t="s">
        <v>169</v>
      </c>
    </row>
    <row r="5" spans="1:10" s="240" customFormat="1" ht="14.25" customHeight="1" x14ac:dyDescent="0.2">
      <c r="A5" s="240" t="s">
        <v>170</v>
      </c>
      <c r="B5" s="254">
        <v>1</v>
      </c>
      <c r="C5" s="254">
        <v>2</v>
      </c>
      <c r="D5" s="254">
        <v>3</v>
      </c>
      <c r="E5" s="254">
        <v>4</v>
      </c>
      <c r="F5" s="254">
        <v>5</v>
      </c>
      <c r="G5" s="254">
        <v>6</v>
      </c>
      <c r="H5" s="254">
        <v>7</v>
      </c>
      <c r="I5" s="254">
        <v>8</v>
      </c>
      <c r="J5" s="254">
        <v>9</v>
      </c>
    </row>
    <row r="6" spans="1:10" s="240" customFormat="1" ht="14.25" customHeight="1" x14ac:dyDescent="0.2">
      <c r="A6" s="254" t="s">
        <v>171</v>
      </c>
    </row>
    <row r="7" spans="1:10" s="78" customFormat="1" ht="14.25" customHeight="1" x14ac:dyDescent="0.2">
      <c r="A7" s="75">
        <v>0</v>
      </c>
      <c r="B7" s="76" t="s">
        <v>257</v>
      </c>
      <c r="C7" s="77" t="s">
        <v>820</v>
      </c>
      <c r="D7" s="274" t="s">
        <v>1344</v>
      </c>
      <c r="E7" s="76" t="s">
        <v>1340</v>
      </c>
      <c r="F7" s="76" t="s">
        <v>173</v>
      </c>
      <c r="G7" s="76" t="s">
        <v>203</v>
      </c>
      <c r="H7" s="77" t="s">
        <v>864</v>
      </c>
      <c r="I7" s="77" t="s">
        <v>879</v>
      </c>
      <c r="J7" s="77" t="s">
        <v>883</v>
      </c>
    </row>
    <row r="8" spans="1:10" s="78" customFormat="1" ht="14.25" customHeight="1" x14ac:dyDescent="0.2">
      <c r="A8" s="75">
        <v>1</v>
      </c>
      <c r="B8" s="76" t="s">
        <v>258</v>
      </c>
      <c r="C8" s="77" t="s">
        <v>821</v>
      </c>
      <c r="D8" s="274" t="s">
        <v>1345</v>
      </c>
      <c r="E8" s="76" t="s">
        <v>1341</v>
      </c>
      <c r="F8" s="76" t="s">
        <v>172</v>
      </c>
      <c r="G8" s="76" t="s">
        <v>266</v>
      </c>
      <c r="H8" s="77" t="s">
        <v>866</v>
      </c>
      <c r="I8" s="77" t="s">
        <v>880</v>
      </c>
      <c r="J8" s="77" t="s">
        <v>1179</v>
      </c>
    </row>
    <row r="9" spans="1:10" s="78" customFormat="1" ht="14.25" customHeight="1" x14ac:dyDescent="0.2">
      <c r="A9" s="75">
        <v>2</v>
      </c>
      <c r="B9" s="76" t="s">
        <v>259</v>
      </c>
      <c r="C9" s="77" t="s">
        <v>822</v>
      </c>
      <c r="D9" s="77" t="s">
        <v>1333</v>
      </c>
      <c r="E9" s="76" t="s">
        <v>43</v>
      </c>
      <c r="F9" s="76" t="s">
        <v>178</v>
      </c>
      <c r="G9" s="76" t="s">
        <v>190</v>
      </c>
      <c r="H9" s="77" t="s">
        <v>865</v>
      </c>
      <c r="I9" s="77" t="s">
        <v>881</v>
      </c>
      <c r="J9" s="76" t="s">
        <v>269</v>
      </c>
    </row>
    <row r="10" spans="1:10" s="78" customFormat="1" ht="14.25" customHeight="1" x14ac:dyDescent="0.2">
      <c r="A10" s="75">
        <v>3</v>
      </c>
      <c r="B10" s="76" t="s">
        <v>260</v>
      </c>
      <c r="C10" s="77" t="s">
        <v>823</v>
      </c>
      <c r="D10" s="77" t="s">
        <v>1334</v>
      </c>
      <c r="E10" s="76" t="s">
        <v>43</v>
      </c>
      <c r="F10" s="76" t="s">
        <v>175</v>
      </c>
      <c r="G10" s="76" t="s">
        <v>193</v>
      </c>
      <c r="H10" s="77" t="s">
        <v>867</v>
      </c>
      <c r="I10" s="77" t="s">
        <v>882</v>
      </c>
      <c r="J10" s="77" t="s">
        <v>268</v>
      </c>
    </row>
    <row r="11" spans="1:10" s="78" customFormat="1" ht="14.25" customHeight="1" x14ac:dyDescent="0.2">
      <c r="A11" s="75">
        <v>4</v>
      </c>
      <c r="B11" s="76" t="s">
        <v>261</v>
      </c>
      <c r="C11" s="77" t="s">
        <v>824</v>
      </c>
      <c r="D11" s="77" t="s">
        <v>1335</v>
      </c>
      <c r="E11" s="76" t="s">
        <v>191</v>
      </c>
      <c r="F11" s="76" t="s">
        <v>183</v>
      </c>
      <c r="G11" s="76" t="s">
        <v>267</v>
      </c>
      <c r="H11" s="77" t="s">
        <v>868</v>
      </c>
      <c r="I11" s="76" t="s">
        <v>43</v>
      </c>
      <c r="J11" s="77" t="s">
        <v>432</v>
      </c>
    </row>
    <row r="12" spans="1:10" s="78" customFormat="1" ht="14.25" customHeight="1" x14ac:dyDescent="0.2">
      <c r="A12" s="75">
        <v>5</v>
      </c>
      <c r="B12" s="76" t="s">
        <v>262</v>
      </c>
      <c r="C12" s="77" t="s">
        <v>825</v>
      </c>
      <c r="D12" s="77" t="s">
        <v>1336</v>
      </c>
      <c r="E12" s="76" t="s">
        <v>191</v>
      </c>
      <c r="F12" s="76" t="s">
        <v>180</v>
      </c>
      <c r="G12" s="76" t="s">
        <v>197</v>
      </c>
      <c r="H12" s="77" t="s">
        <v>869</v>
      </c>
      <c r="I12" s="76" t="s">
        <v>43</v>
      </c>
      <c r="J12" s="77" t="s">
        <v>1180</v>
      </c>
    </row>
    <row r="13" spans="1:10" s="78" customFormat="1" ht="14.25" customHeight="1" x14ac:dyDescent="0.2">
      <c r="A13" s="75">
        <v>6</v>
      </c>
      <c r="B13" s="76" t="s">
        <v>263</v>
      </c>
      <c r="C13" s="77" t="s">
        <v>826</v>
      </c>
      <c r="D13" s="77" t="s">
        <v>1337</v>
      </c>
      <c r="E13" s="76" t="s">
        <v>191</v>
      </c>
      <c r="F13" s="76" t="s">
        <v>188</v>
      </c>
      <c r="G13" s="76" t="s">
        <v>199</v>
      </c>
      <c r="H13" s="77" t="s">
        <v>870</v>
      </c>
      <c r="I13" s="76" t="s">
        <v>43</v>
      </c>
      <c r="J13" s="77" t="s">
        <v>1181</v>
      </c>
    </row>
    <row r="14" spans="1:10" s="78" customFormat="1" ht="14.25" customHeight="1" x14ac:dyDescent="0.2">
      <c r="A14" s="75">
        <v>7</v>
      </c>
      <c r="B14" s="76" t="s">
        <v>264</v>
      </c>
      <c r="C14" s="77" t="s">
        <v>827</v>
      </c>
      <c r="D14" s="77" t="s">
        <v>1338</v>
      </c>
      <c r="E14" s="76" t="s">
        <v>191</v>
      </c>
      <c r="F14" s="76" t="s">
        <v>186</v>
      </c>
      <c r="G14" s="77" t="s">
        <v>1339</v>
      </c>
      <c r="H14" s="77" t="s">
        <v>871</v>
      </c>
      <c r="I14" s="76" t="s">
        <v>43</v>
      </c>
      <c r="J14" s="76" t="s">
        <v>43</v>
      </c>
    </row>
    <row r="15" spans="1:10" s="78" customFormat="1" ht="14.25" customHeight="1" x14ac:dyDescent="0.2">
      <c r="A15" s="75">
        <v>8</v>
      </c>
      <c r="B15" s="76" t="s">
        <v>265</v>
      </c>
      <c r="C15" s="77" t="s">
        <v>828</v>
      </c>
      <c r="D15" s="274" t="s">
        <v>1342</v>
      </c>
      <c r="E15" s="76" t="s">
        <v>191</v>
      </c>
      <c r="F15" s="76" t="s">
        <v>192</v>
      </c>
      <c r="G15" s="274" t="s">
        <v>1418</v>
      </c>
      <c r="H15" s="77" t="s">
        <v>872</v>
      </c>
      <c r="I15" s="77" t="s">
        <v>1468</v>
      </c>
      <c r="J15" s="76" t="s">
        <v>191</v>
      </c>
    </row>
    <row r="16" spans="1:10" s="78" customFormat="1" ht="14.25" customHeight="1" x14ac:dyDescent="0.2">
      <c r="A16" s="75">
        <v>9</v>
      </c>
      <c r="B16" s="77" t="s">
        <v>43</v>
      </c>
      <c r="C16" s="77" t="s">
        <v>829</v>
      </c>
      <c r="D16" s="274" t="s">
        <v>1343</v>
      </c>
      <c r="E16" s="76" t="s">
        <v>191</v>
      </c>
      <c r="F16" s="76" t="s">
        <v>189</v>
      </c>
      <c r="G16" s="274" t="s">
        <v>1420</v>
      </c>
      <c r="H16" s="77" t="s">
        <v>873</v>
      </c>
      <c r="I16" s="77" t="s">
        <v>468</v>
      </c>
      <c r="J16" s="76" t="s">
        <v>191</v>
      </c>
    </row>
    <row r="17" spans="1:10" s="78" customFormat="1" ht="14.25" customHeight="1" x14ac:dyDescent="0.2">
      <c r="A17" s="75">
        <v>10</v>
      </c>
      <c r="B17" s="77" t="s">
        <v>43</v>
      </c>
      <c r="C17" s="77" t="s">
        <v>830</v>
      </c>
      <c r="D17" s="77" t="s">
        <v>1348</v>
      </c>
      <c r="E17" s="76" t="s">
        <v>191</v>
      </c>
      <c r="F17" s="76" t="s">
        <v>196</v>
      </c>
      <c r="G17" s="274" t="s">
        <v>1421</v>
      </c>
      <c r="H17" s="77" t="s">
        <v>874</v>
      </c>
      <c r="I17" s="76" t="s">
        <v>1330</v>
      </c>
      <c r="J17" s="76" t="s">
        <v>191</v>
      </c>
    </row>
    <row r="18" spans="1:10" s="78" customFormat="1" ht="14.25" customHeight="1" x14ac:dyDescent="0.2">
      <c r="A18" s="75">
        <v>11</v>
      </c>
      <c r="B18" s="76" t="s">
        <v>195</v>
      </c>
      <c r="C18" s="77" t="s">
        <v>831</v>
      </c>
      <c r="D18" s="76" t="s">
        <v>1403</v>
      </c>
      <c r="E18" s="76" t="s">
        <v>191</v>
      </c>
      <c r="F18" s="76" t="s">
        <v>194</v>
      </c>
      <c r="G18" s="274" t="s">
        <v>1422</v>
      </c>
      <c r="H18" s="77" t="s">
        <v>875</v>
      </c>
      <c r="I18" s="76" t="s">
        <v>1331</v>
      </c>
      <c r="J18" s="76" t="s">
        <v>191</v>
      </c>
    </row>
    <row r="19" spans="1:10" s="78" customFormat="1" ht="14.25" customHeight="1" x14ac:dyDescent="0.2">
      <c r="A19" s="75">
        <v>12</v>
      </c>
      <c r="B19" s="76" t="s">
        <v>198</v>
      </c>
      <c r="C19" s="77" t="s">
        <v>832</v>
      </c>
      <c r="D19" s="76" t="s">
        <v>721</v>
      </c>
      <c r="E19" s="76" t="s">
        <v>191</v>
      </c>
      <c r="F19" s="76" t="s">
        <v>1406</v>
      </c>
      <c r="G19" s="274" t="s">
        <v>1423</v>
      </c>
      <c r="H19" s="77" t="s">
        <v>876</v>
      </c>
      <c r="I19" s="77" t="s">
        <v>313</v>
      </c>
      <c r="J19" s="76" t="s">
        <v>191</v>
      </c>
    </row>
    <row r="20" spans="1:10" s="78" customFormat="1" ht="14.25" customHeight="1" x14ac:dyDescent="0.2">
      <c r="A20" s="75">
        <v>13</v>
      </c>
      <c r="B20" s="76" t="s">
        <v>200</v>
      </c>
      <c r="C20" s="77" t="s">
        <v>833</v>
      </c>
      <c r="D20" s="77" t="s">
        <v>629</v>
      </c>
      <c r="E20" s="76" t="s">
        <v>191</v>
      </c>
      <c r="F20" s="76" t="s">
        <v>1405</v>
      </c>
      <c r="G20" s="76" t="s">
        <v>43</v>
      </c>
      <c r="H20" s="77" t="s">
        <v>877</v>
      </c>
      <c r="I20" s="77" t="s">
        <v>1329</v>
      </c>
      <c r="J20" s="76" t="s">
        <v>191</v>
      </c>
    </row>
    <row r="21" spans="1:10" s="78" customFormat="1" ht="14.25" customHeight="1" x14ac:dyDescent="0.2">
      <c r="A21" s="75">
        <v>14</v>
      </c>
      <c r="B21" s="76" t="s">
        <v>202</v>
      </c>
      <c r="C21" s="274" t="s">
        <v>1346</v>
      </c>
      <c r="D21" s="77" t="s">
        <v>1404</v>
      </c>
      <c r="E21" s="76" t="s">
        <v>191</v>
      </c>
      <c r="F21" s="76" t="s">
        <v>184</v>
      </c>
      <c r="G21" s="76" t="s">
        <v>43</v>
      </c>
      <c r="H21" s="77" t="s">
        <v>878</v>
      </c>
      <c r="I21" s="77" t="s">
        <v>1328</v>
      </c>
      <c r="J21" s="76" t="s">
        <v>191</v>
      </c>
    </row>
    <row r="22" spans="1:10" s="78" customFormat="1" ht="14.25" customHeight="1" x14ac:dyDescent="0.2">
      <c r="A22" s="75">
        <v>15</v>
      </c>
      <c r="B22" s="76" t="s">
        <v>201</v>
      </c>
      <c r="C22" s="274" t="s">
        <v>1347</v>
      </c>
      <c r="D22" s="77" t="s">
        <v>648</v>
      </c>
      <c r="E22" s="76" t="s">
        <v>191</v>
      </c>
      <c r="F22" s="76" t="s">
        <v>181</v>
      </c>
      <c r="G22" s="76" t="s">
        <v>43</v>
      </c>
      <c r="H22" s="77" t="s">
        <v>1173</v>
      </c>
      <c r="I22" s="76" t="s">
        <v>1332</v>
      </c>
      <c r="J22" s="76" t="s">
        <v>191</v>
      </c>
    </row>
    <row r="23" spans="1:10" s="79" customFormat="1" ht="14.25" customHeight="1" x14ac:dyDescent="0.2">
      <c r="C23" s="149"/>
      <c r="D23" s="149"/>
      <c r="E23" s="149"/>
      <c r="F23" s="149"/>
      <c r="G23" s="149"/>
      <c r="H23" s="149"/>
      <c r="I23" s="149"/>
      <c r="J23" s="149"/>
    </row>
    <row r="24" spans="1:10" s="79" customFormat="1" ht="14.25" customHeight="1" x14ac:dyDescent="0.2">
      <c r="C24" s="149"/>
      <c r="D24" s="149"/>
      <c r="E24" s="149"/>
      <c r="G24" s="149"/>
      <c r="H24" s="149"/>
      <c r="I24" s="149"/>
      <c r="J24" s="149"/>
    </row>
    <row r="25" spans="1:10" ht="14.25" customHeight="1" x14ac:dyDescent="0.2">
      <c r="D25" s="257"/>
    </row>
    <row r="26" spans="1:10" ht="14.25" customHeight="1" x14ac:dyDescent="0.2">
      <c r="A26" t="s">
        <v>246</v>
      </c>
    </row>
    <row r="27" spans="1:10" ht="14.25" customHeight="1" x14ac:dyDescent="0.2">
      <c r="A27" s="18" t="s">
        <v>43</v>
      </c>
      <c r="C27" s="15" t="s">
        <v>43</v>
      </c>
      <c r="F27" s="16" t="s">
        <v>43</v>
      </c>
    </row>
    <row r="28" spans="1:10" s="255" customFormat="1" ht="31.5" customHeight="1" x14ac:dyDescent="0.2">
      <c r="A28" s="152" t="s">
        <v>1174</v>
      </c>
      <c r="B28" s="254"/>
      <c r="C28" s="254">
        <v>1</v>
      </c>
      <c r="D28" s="254">
        <v>3</v>
      </c>
      <c r="E28" s="240"/>
      <c r="F28" s="240" t="s">
        <v>1437</v>
      </c>
      <c r="G28" s="240"/>
      <c r="H28" s="254">
        <v>5</v>
      </c>
      <c r="I28" s="254">
        <v>7</v>
      </c>
      <c r="J28" s="256">
        <v>9</v>
      </c>
    </row>
    <row r="29" spans="1:10" s="259" customFormat="1" ht="14.25" customHeight="1" x14ac:dyDescent="0.2">
      <c r="A29" s="258">
        <v>1</v>
      </c>
      <c r="C29" s="260" t="s">
        <v>859</v>
      </c>
      <c r="D29" s="260" t="s">
        <v>859</v>
      </c>
      <c r="E29" s="260" t="s">
        <v>43</v>
      </c>
      <c r="F29" s="262" t="s">
        <v>252</v>
      </c>
      <c r="G29" s="261"/>
      <c r="H29" s="260" t="s">
        <v>862</v>
      </c>
      <c r="I29" s="260" t="s">
        <v>862</v>
      </c>
      <c r="J29" s="262" t="s">
        <v>312</v>
      </c>
    </row>
    <row r="30" spans="1:10" s="259" customFormat="1" ht="14.25" customHeight="1" x14ac:dyDescent="0.2">
      <c r="A30" s="258">
        <v>2</v>
      </c>
      <c r="C30" s="260" t="s">
        <v>859</v>
      </c>
      <c r="D30" s="260" t="s">
        <v>859</v>
      </c>
      <c r="E30" s="260" t="s">
        <v>43</v>
      </c>
      <c r="F30" s="260" t="s">
        <v>271</v>
      </c>
      <c r="G30" s="261" t="s">
        <v>43</v>
      </c>
      <c r="H30" s="260" t="s">
        <v>862</v>
      </c>
      <c r="I30" s="260" t="s">
        <v>862</v>
      </c>
      <c r="J30" s="262" t="s">
        <v>312</v>
      </c>
    </row>
    <row r="31" spans="1:10" s="259" customFormat="1" ht="14.25" customHeight="1" x14ac:dyDescent="0.2">
      <c r="A31" s="258">
        <v>3</v>
      </c>
      <c r="C31" s="260" t="s">
        <v>859</v>
      </c>
      <c r="D31" s="260" t="s">
        <v>859</v>
      </c>
      <c r="E31" s="260" t="s">
        <v>43</v>
      </c>
      <c r="F31" s="262" t="s">
        <v>253</v>
      </c>
      <c r="G31" s="261"/>
      <c r="H31" s="260" t="s">
        <v>862</v>
      </c>
      <c r="I31" s="260" t="s">
        <v>862</v>
      </c>
      <c r="J31" s="262" t="s">
        <v>312</v>
      </c>
    </row>
    <row r="32" spans="1:10" s="259" customFormat="1" ht="14.25" customHeight="1" x14ac:dyDescent="0.2">
      <c r="A32" s="258">
        <v>4</v>
      </c>
      <c r="C32" s="260" t="s">
        <v>859</v>
      </c>
      <c r="D32" s="260" t="s">
        <v>859</v>
      </c>
      <c r="E32" s="260" t="s">
        <v>43</v>
      </c>
      <c r="F32" s="262" t="s">
        <v>256</v>
      </c>
      <c r="G32" s="261"/>
      <c r="H32" s="260" t="s">
        <v>862</v>
      </c>
      <c r="I32" s="260" t="s">
        <v>862</v>
      </c>
      <c r="J32" s="262" t="s">
        <v>312</v>
      </c>
    </row>
    <row r="33" spans="1:10" s="259" customFormat="1" ht="14.25" customHeight="1" x14ac:dyDescent="0.2">
      <c r="A33" s="258">
        <v>5</v>
      </c>
      <c r="C33" s="260" t="s">
        <v>859</v>
      </c>
      <c r="D33" s="260" t="s">
        <v>859</v>
      </c>
      <c r="E33" s="260" t="s">
        <v>43</v>
      </c>
      <c r="F33" s="262" t="s">
        <v>254</v>
      </c>
      <c r="G33" s="261"/>
      <c r="H33" s="260" t="s">
        <v>862</v>
      </c>
      <c r="I33" s="262"/>
      <c r="J33" s="262" t="s">
        <v>312</v>
      </c>
    </row>
    <row r="34" spans="1:10" s="259" customFormat="1" ht="14.25" customHeight="1" x14ac:dyDescent="0.2">
      <c r="A34" s="258">
        <v>6</v>
      </c>
      <c r="C34" s="260" t="s">
        <v>859</v>
      </c>
      <c r="D34" s="260" t="s">
        <v>859</v>
      </c>
      <c r="E34" s="260" t="s">
        <v>43</v>
      </c>
      <c r="F34" s="262" t="s">
        <v>255</v>
      </c>
      <c r="G34" s="261" t="s">
        <v>43</v>
      </c>
      <c r="H34" s="260" t="s">
        <v>862</v>
      </c>
      <c r="I34" s="262"/>
      <c r="J34" s="262" t="s">
        <v>312</v>
      </c>
    </row>
    <row r="35" spans="1:10" s="259" customFormat="1" ht="14.25" customHeight="1" x14ac:dyDescent="0.2">
      <c r="A35" s="258">
        <v>7</v>
      </c>
      <c r="C35" s="260" t="s">
        <v>859</v>
      </c>
      <c r="D35" s="260" t="s">
        <v>859</v>
      </c>
      <c r="E35" s="260" t="s">
        <v>43</v>
      </c>
      <c r="F35" s="262" t="s">
        <v>1407</v>
      </c>
      <c r="G35" s="261"/>
      <c r="H35" s="260" t="s">
        <v>862</v>
      </c>
      <c r="I35" s="262"/>
      <c r="J35" s="262" t="s">
        <v>312</v>
      </c>
    </row>
    <row r="36" spans="1:10" s="259" customFormat="1" ht="14.25" customHeight="1" x14ac:dyDescent="0.2">
      <c r="A36" s="258">
        <v>8</v>
      </c>
      <c r="C36" s="260" t="s">
        <v>859</v>
      </c>
      <c r="D36" s="260" t="s">
        <v>859</v>
      </c>
      <c r="E36" s="260" t="s">
        <v>43</v>
      </c>
      <c r="F36" s="260" t="s">
        <v>836</v>
      </c>
      <c r="G36" s="261"/>
      <c r="H36" s="260" t="s">
        <v>862</v>
      </c>
      <c r="I36" s="262"/>
      <c r="J36" s="260" t="s">
        <v>43</v>
      </c>
    </row>
    <row r="37" spans="1:10" ht="14.25" customHeight="1" x14ac:dyDescent="0.2">
      <c r="C37" s="150"/>
      <c r="D37" s="150"/>
      <c r="E37" s="17" t="s">
        <v>43</v>
      </c>
      <c r="H37" s="150"/>
      <c r="I37" s="150"/>
      <c r="J37" s="150"/>
    </row>
    <row r="38" spans="1:10" s="240" customFormat="1" ht="29.25" customHeight="1" x14ac:dyDescent="0.2">
      <c r="A38" s="152" t="s">
        <v>1174</v>
      </c>
      <c r="B38" s="254"/>
      <c r="C38" s="254">
        <v>2</v>
      </c>
      <c r="D38" s="254">
        <v>4</v>
      </c>
      <c r="H38" s="256">
        <v>6</v>
      </c>
      <c r="I38" s="256">
        <v>8</v>
      </c>
    </row>
    <row r="39" spans="1:10" s="259" customFormat="1" ht="14.25" customHeight="1" x14ac:dyDescent="0.2">
      <c r="A39" s="258">
        <v>1</v>
      </c>
      <c r="C39" s="260" t="s">
        <v>859</v>
      </c>
      <c r="D39" s="260" t="s">
        <v>859</v>
      </c>
      <c r="E39" s="261"/>
      <c r="F39" s="261"/>
      <c r="G39" s="261"/>
      <c r="H39" s="260" t="s">
        <v>862</v>
      </c>
      <c r="I39" s="260"/>
      <c r="J39" s="262"/>
    </row>
    <row r="40" spans="1:10" s="259" customFormat="1" ht="14.25" customHeight="1" x14ac:dyDescent="0.2">
      <c r="A40" s="258">
        <v>2</v>
      </c>
      <c r="C40" s="260" t="s">
        <v>859</v>
      </c>
      <c r="D40" s="260" t="s">
        <v>859</v>
      </c>
      <c r="E40" s="261"/>
      <c r="F40" s="261" t="s">
        <v>43</v>
      </c>
      <c r="G40" s="261"/>
      <c r="H40" s="260" t="s">
        <v>862</v>
      </c>
      <c r="I40" s="260"/>
      <c r="J40" s="260" t="s">
        <v>43</v>
      </c>
    </row>
    <row r="41" spans="1:10" s="259" customFormat="1" ht="14.25" customHeight="1" x14ac:dyDescent="0.2">
      <c r="A41" s="258">
        <v>3</v>
      </c>
      <c r="C41" s="260" t="s">
        <v>859</v>
      </c>
      <c r="D41" s="260" t="s">
        <v>859</v>
      </c>
      <c r="E41" s="261"/>
      <c r="F41" s="261"/>
      <c r="G41" s="261"/>
      <c r="H41" s="260" t="s">
        <v>862</v>
      </c>
      <c r="I41" s="260" t="s">
        <v>1469</v>
      </c>
      <c r="J41" s="262"/>
    </row>
    <row r="42" spans="1:10" s="259" customFormat="1" ht="14.25" customHeight="1" x14ac:dyDescent="0.2">
      <c r="A42" s="258">
        <v>4</v>
      </c>
      <c r="C42" s="260" t="s">
        <v>859</v>
      </c>
      <c r="D42" s="260" t="s">
        <v>859</v>
      </c>
      <c r="E42" s="261"/>
      <c r="F42" s="261"/>
      <c r="G42" s="261"/>
      <c r="H42" s="260" t="s">
        <v>862</v>
      </c>
      <c r="I42" s="260" t="s">
        <v>1469</v>
      </c>
      <c r="J42" s="262"/>
    </row>
    <row r="43" spans="1:10" s="259" customFormat="1" ht="14.25" customHeight="1" x14ac:dyDescent="0.2">
      <c r="A43" s="258">
        <v>5</v>
      </c>
      <c r="C43" s="260" t="s">
        <v>859</v>
      </c>
      <c r="D43" s="260" t="s">
        <v>859</v>
      </c>
      <c r="E43" s="261"/>
      <c r="F43" s="261"/>
      <c r="G43" s="261"/>
      <c r="H43" s="260" t="s">
        <v>862</v>
      </c>
      <c r="I43" s="260" t="s">
        <v>1469</v>
      </c>
      <c r="J43" s="262"/>
    </row>
    <row r="44" spans="1:10" s="259" customFormat="1" ht="14.25" customHeight="1" x14ac:dyDescent="0.2">
      <c r="A44" s="258">
        <v>6</v>
      </c>
      <c r="C44" s="260" t="s">
        <v>859</v>
      </c>
      <c r="D44" s="260" t="s">
        <v>859</v>
      </c>
      <c r="E44" s="261"/>
      <c r="F44" s="261"/>
      <c r="G44" s="261"/>
      <c r="H44" s="260" t="s">
        <v>862</v>
      </c>
      <c r="I44" s="260" t="s">
        <v>1433</v>
      </c>
      <c r="J44" s="262"/>
    </row>
    <row r="45" spans="1:10" s="259" customFormat="1" ht="14.25" customHeight="1" x14ac:dyDescent="0.2">
      <c r="A45" s="258">
        <v>7</v>
      </c>
      <c r="C45" s="260" t="s">
        <v>859</v>
      </c>
      <c r="D45" s="260" t="s">
        <v>859</v>
      </c>
      <c r="E45" s="261"/>
      <c r="F45" s="261"/>
      <c r="G45" s="261"/>
      <c r="H45" s="260" t="s">
        <v>862</v>
      </c>
      <c r="I45" s="260" t="s">
        <v>1433</v>
      </c>
      <c r="J45" s="262"/>
    </row>
    <row r="46" spans="1:10" s="259" customFormat="1" ht="14.25" customHeight="1" x14ac:dyDescent="0.2">
      <c r="A46" s="258">
        <v>8</v>
      </c>
      <c r="C46" s="260" t="s">
        <v>859</v>
      </c>
      <c r="D46" s="260" t="s">
        <v>859</v>
      </c>
      <c r="E46" s="261"/>
      <c r="F46" s="261"/>
      <c r="G46" s="261"/>
      <c r="H46" s="260" t="s">
        <v>862</v>
      </c>
      <c r="I46" s="260" t="s">
        <v>1469</v>
      </c>
      <c r="J46" s="262"/>
    </row>
    <row r="47" spans="1:10" ht="14.25" customHeight="1" x14ac:dyDescent="0.2"/>
    <row r="49" spans="1:10" x14ac:dyDescent="0.2">
      <c r="H49" s="16" t="s">
        <v>43</v>
      </c>
    </row>
    <row r="50" spans="1:10" ht="14.25" customHeight="1" x14ac:dyDescent="0.2">
      <c r="A50" s="9" t="s">
        <v>1438</v>
      </c>
    </row>
    <row r="51" spans="1:10" ht="14.25" customHeight="1" x14ac:dyDescent="0.2">
      <c r="A51" t="s">
        <v>153</v>
      </c>
      <c r="B51" s="15" t="s">
        <v>834</v>
      </c>
      <c r="C51" s="15" t="s">
        <v>314</v>
      </c>
      <c r="D51" s="15" t="s">
        <v>1419</v>
      </c>
      <c r="E51" s="15" t="s">
        <v>372</v>
      </c>
      <c r="F51" s="15" t="s">
        <v>372</v>
      </c>
      <c r="G51" s="15" t="s">
        <v>43</v>
      </c>
      <c r="H51" s="15" t="s">
        <v>43</v>
      </c>
      <c r="I51" s="15" t="s">
        <v>43</v>
      </c>
      <c r="J51" s="15" t="s">
        <v>43</v>
      </c>
    </row>
    <row r="52" spans="1:10" ht="14.25" customHeight="1" x14ac:dyDescent="0.2">
      <c r="A52" t="s">
        <v>164</v>
      </c>
      <c r="B52" s="15" t="s">
        <v>1182</v>
      </c>
      <c r="C52" s="17" t="s">
        <v>166</v>
      </c>
      <c r="D52" s="17" t="s">
        <v>165</v>
      </c>
      <c r="E52" s="17" t="s">
        <v>166</v>
      </c>
      <c r="F52" s="17" t="s">
        <v>166</v>
      </c>
      <c r="G52" s="17" t="s">
        <v>43</v>
      </c>
      <c r="H52" s="17" t="s">
        <v>43</v>
      </c>
      <c r="I52" s="17" t="s">
        <v>43</v>
      </c>
      <c r="J52" s="17" t="s">
        <v>43</v>
      </c>
    </row>
    <row r="53" spans="1:10" s="240" customFormat="1" ht="14.25" customHeight="1" x14ac:dyDescent="0.2">
      <c r="A53" s="240" t="s">
        <v>167</v>
      </c>
      <c r="C53" s="240" t="s">
        <v>168</v>
      </c>
      <c r="D53" s="229" t="s">
        <v>43</v>
      </c>
      <c r="E53" s="240" t="s">
        <v>1434</v>
      </c>
      <c r="F53" s="240" t="s">
        <v>1434</v>
      </c>
      <c r="G53" s="240" t="s">
        <v>43</v>
      </c>
      <c r="H53" s="229" t="s">
        <v>43</v>
      </c>
      <c r="I53" s="229" t="s">
        <v>1436</v>
      </c>
    </row>
    <row r="54" spans="1:10" s="240" customFormat="1" ht="14.25" customHeight="1" x14ac:dyDescent="0.2">
      <c r="A54" s="240" t="s">
        <v>170</v>
      </c>
      <c r="B54" s="254">
        <v>1</v>
      </c>
      <c r="C54" s="254">
        <v>2</v>
      </c>
      <c r="D54" s="254">
        <v>3</v>
      </c>
      <c r="E54" s="254">
        <v>4</v>
      </c>
      <c r="F54" s="254">
        <v>5</v>
      </c>
      <c r="G54" s="254">
        <v>6</v>
      </c>
      <c r="H54" s="254">
        <v>7</v>
      </c>
      <c r="I54" s="254">
        <v>8</v>
      </c>
      <c r="J54" s="254">
        <v>9</v>
      </c>
    </row>
    <row r="55" spans="1:10" s="240" customFormat="1" ht="14.25" customHeight="1" x14ac:dyDescent="0.2">
      <c r="A55" s="254" t="s">
        <v>171</v>
      </c>
    </row>
    <row r="56" spans="1:10" s="78" customFormat="1" ht="14.25" customHeight="1" x14ac:dyDescent="0.2">
      <c r="A56" s="75">
        <v>0</v>
      </c>
      <c r="B56" s="76"/>
      <c r="C56" s="77" t="s">
        <v>1408</v>
      </c>
      <c r="D56" s="274" t="s">
        <v>1424</v>
      </c>
      <c r="E56" s="76" t="s">
        <v>174</v>
      </c>
      <c r="F56" s="76" t="s">
        <v>1428</v>
      </c>
      <c r="H56" s="77"/>
      <c r="I56" s="77"/>
      <c r="J56" s="77"/>
    </row>
    <row r="57" spans="1:10" s="78" customFormat="1" ht="14.25" customHeight="1" x14ac:dyDescent="0.2">
      <c r="A57" s="75">
        <v>1</v>
      </c>
      <c r="B57" s="76"/>
      <c r="C57" s="77" t="s">
        <v>1409</v>
      </c>
      <c r="D57" s="274" t="s">
        <v>1425</v>
      </c>
      <c r="E57" s="76" t="s">
        <v>177</v>
      </c>
      <c r="F57" s="76" t="s">
        <v>1429</v>
      </c>
      <c r="H57" s="77"/>
      <c r="I57" s="77"/>
      <c r="J57" s="77"/>
    </row>
    <row r="58" spans="1:10" s="78" customFormat="1" ht="14.25" customHeight="1" x14ac:dyDescent="0.2">
      <c r="A58" s="75">
        <v>2</v>
      </c>
      <c r="B58" s="76"/>
      <c r="C58" s="77"/>
      <c r="D58" s="274" t="s">
        <v>1426</v>
      </c>
      <c r="E58" s="76" t="s">
        <v>179</v>
      </c>
      <c r="F58" s="76"/>
      <c r="H58" s="77"/>
      <c r="I58" s="77"/>
      <c r="J58" s="76"/>
    </row>
    <row r="59" spans="1:10" s="78" customFormat="1" ht="14.25" customHeight="1" x14ac:dyDescent="0.2">
      <c r="A59" s="75">
        <v>3</v>
      </c>
      <c r="B59" s="76"/>
      <c r="C59" s="77" t="s">
        <v>1411</v>
      </c>
      <c r="D59" s="274" t="s">
        <v>1427</v>
      </c>
      <c r="E59" s="76" t="s">
        <v>182</v>
      </c>
      <c r="F59" s="76"/>
      <c r="H59" s="77"/>
      <c r="I59" s="77"/>
      <c r="J59" s="77"/>
    </row>
    <row r="60" spans="1:10" s="78" customFormat="1" ht="14.25" customHeight="1" x14ac:dyDescent="0.2">
      <c r="A60" s="75">
        <v>4</v>
      </c>
      <c r="B60" s="76"/>
      <c r="C60" s="77" t="s">
        <v>1412</v>
      </c>
      <c r="D60" s="76" t="s">
        <v>1483</v>
      </c>
      <c r="E60" s="76" t="s">
        <v>185</v>
      </c>
      <c r="F60" s="76"/>
      <c r="H60" s="77"/>
      <c r="I60" s="76"/>
      <c r="J60" s="77"/>
    </row>
    <row r="61" spans="1:10" s="78" customFormat="1" ht="14.25" customHeight="1" x14ac:dyDescent="0.2">
      <c r="A61" s="75">
        <v>5</v>
      </c>
      <c r="B61" s="76"/>
      <c r="C61" s="77" t="s">
        <v>1413</v>
      </c>
      <c r="D61" s="76" t="s">
        <v>1484</v>
      </c>
      <c r="E61" s="76" t="s">
        <v>187</v>
      </c>
      <c r="F61" s="76"/>
      <c r="H61" s="77"/>
      <c r="I61" s="77"/>
      <c r="J61" s="77"/>
    </row>
    <row r="62" spans="1:10" s="78" customFormat="1" ht="14.25" customHeight="1" x14ac:dyDescent="0.2">
      <c r="A62" s="75">
        <v>6</v>
      </c>
      <c r="B62" s="76"/>
      <c r="C62" s="77" t="s">
        <v>1414</v>
      </c>
      <c r="D62" s="78" t="s">
        <v>1485</v>
      </c>
      <c r="E62" s="76" t="s">
        <v>1435</v>
      </c>
      <c r="F62" s="76"/>
      <c r="H62" s="77"/>
      <c r="I62" s="76"/>
      <c r="J62" s="77"/>
    </row>
    <row r="63" spans="1:10" s="78" customFormat="1" ht="14.25" customHeight="1" x14ac:dyDescent="0.2">
      <c r="A63" s="75">
        <v>7</v>
      </c>
      <c r="B63" s="76"/>
      <c r="C63" s="77" t="s">
        <v>1415</v>
      </c>
      <c r="D63" s="78" t="s">
        <v>1487</v>
      </c>
      <c r="E63" s="76" t="s">
        <v>176</v>
      </c>
      <c r="F63" s="76"/>
      <c r="H63" s="77"/>
      <c r="I63" s="76"/>
      <c r="J63" s="76"/>
    </row>
    <row r="64" spans="1:10" s="78" customFormat="1" ht="14.25" customHeight="1" x14ac:dyDescent="0.2">
      <c r="A64" s="75">
        <v>8</v>
      </c>
      <c r="B64" s="76"/>
      <c r="C64" s="77" t="s">
        <v>1416</v>
      </c>
      <c r="E64" s="76" t="s">
        <v>191</v>
      </c>
      <c r="F64" s="76" t="s">
        <v>191</v>
      </c>
      <c r="G64" s="76"/>
      <c r="H64" s="77"/>
      <c r="I64" s="76"/>
      <c r="J64" s="76"/>
    </row>
    <row r="65" spans="1:10" s="78" customFormat="1" ht="14.25" customHeight="1" x14ac:dyDescent="0.2">
      <c r="A65" s="75">
        <v>9</v>
      </c>
      <c r="B65" s="77"/>
      <c r="C65" s="77" t="s">
        <v>1417</v>
      </c>
      <c r="E65" s="76" t="s">
        <v>191</v>
      </c>
      <c r="F65" s="76" t="s">
        <v>191</v>
      </c>
      <c r="G65" s="76"/>
      <c r="H65" s="77"/>
      <c r="I65" s="76"/>
      <c r="J65" s="76"/>
    </row>
    <row r="66" spans="1:10" s="78" customFormat="1" ht="14.25" customHeight="1" x14ac:dyDescent="0.2">
      <c r="A66" s="75">
        <v>10</v>
      </c>
      <c r="B66" s="77"/>
      <c r="C66" s="77" t="s">
        <v>1410</v>
      </c>
      <c r="E66" s="76" t="s">
        <v>191</v>
      </c>
      <c r="F66" s="76" t="s">
        <v>191</v>
      </c>
      <c r="G66" s="76"/>
      <c r="H66" s="77"/>
      <c r="I66" s="76"/>
      <c r="J66" s="76"/>
    </row>
    <row r="67" spans="1:10" s="78" customFormat="1" ht="14.25" customHeight="1" x14ac:dyDescent="0.2">
      <c r="A67" s="75">
        <v>11</v>
      </c>
      <c r="B67" s="76"/>
      <c r="C67" s="77" t="s">
        <v>1486</v>
      </c>
      <c r="E67" s="76" t="s">
        <v>191</v>
      </c>
      <c r="F67" s="76" t="s">
        <v>191</v>
      </c>
      <c r="G67" s="77"/>
      <c r="H67" s="77"/>
      <c r="I67" s="76"/>
      <c r="J67" s="76"/>
    </row>
    <row r="68" spans="1:10" s="78" customFormat="1" ht="14.25" customHeight="1" x14ac:dyDescent="0.2">
      <c r="A68" s="75">
        <v>12</v>
      </c>
      <c r="B68" s="76"/>
      <c r="C68" s="77" t="s">
        <v>1488</v>
      </c>
      <c r="E68" s="76" t="s">
        <v>191</v>
      </c>
      <c r="F68" s="76" t="s">
        <v>191</v>
      </c>
      <c r="G68" s="77"/>
      <c r="H68" s="77"/>
      <c r="I68" s="76"/>
      <c r="J68" s="76"/>
    </row>
    <row r="69" spans="1:10" s="78" customFormat="1" ht="14.25" customHeight="1" x14ac:dyDescent="0.2">
      <c r="A69" s="75">
        <v>13</v>
      </c>
      <c r="B69" s="76"/>
      <c r="C69" s="77" t="s">
        <v>43</v>
      </c>
      <c r="E69" s="76" t="s">
        <v>191</v>
      </c>
      <c r="F69" s="76" t="s">
        <v>191</v>
      </c>
      <c r="G69" s="76"/>
      <c r="H69" s="77"/>
      <c r="I69" s="76"/>
      <c r="J69" s="76"/>
    </row>
    <row r="70" spans="1:10" s="78" customFormat="1" ht="14.25" customHeight="1" x14ac:dyDescent="0.2">
      <c r="A70" s="75">
        <v>14</v>
      </c>
      <c r="B70" s="76"/>
      <c r="C70" s="76" t="s">
        <v>43</v>
      </c>
      <c r="D70" s="77" t="s">
        <v>43</v>
      </c>
      <c r="E70" s="76" t="s">
        <v>191</v>
      </c>
      <c r="F70" s="76" t="s">
        <v>191</v>
      </c>
      <c r="G70" s="76"/>
      <c r="H70" s="77"/>
      <c r="I70" s="76"/>
      <c r="J70" s="76"/>
    </row>
    <row r="71" spans="1:10" s="78" customFormat="1" ht="14.25" customHeight="1" x14ac:dyDescent="0.2">
      <c r="A71" s="75">
        <v>15</v>
      </c>
      <c r="B71" s="76"/>
      <c r="C71" s="274" t="s">
        <v>43</v>
      </c>
      <c r="D71" s="77" t="s">
        <v>43</v>
      </c>
      <c r="E71" s="76" t="s">
        <v>191</v>
      </c>
      <c r="F71" s="76" t="s">
        <v>191</v>
      </c>
      <c r="G71" s="76"/>
      <c r="H71" s="77"/>
      <c r="J71" s="76"/>
    </row>
    <row r="73" spans="1:10" ht="14.25" customHeight="1" x14ac:dyDescent="0.2">
      <c r="A73" t="s">
        <v>246</v>
      </c>
    </row>
    <row r="74" spans="1:10" ht="14.25" customHeight="1" x14ac:dyDescent="0.2">
      <c r="A74" s="18" t="s">
        <v>43</v>
      </c>
      <c r="C74" s="15" t="s">
        <v>43</v>
      </c>
      <c r="F74" s="16" t="s">
        <v>43</v>
      </c>
    </row>
    <row r="75" spans="1:10" s="255" customFormat="1" ht="31.5" customHeight="1" x14ac:dyDescent="0.2">
      <c r="A75" s="152" t="s">
        <v>1174</v>
      </c>
      <c r="B75" s="254"/>
      <c r="C75" s="254">
        <v>10</v>
      </c>
      <c r="D75" s="254" t="s">
        <v>43</v>
      </c>
      <c r="E75" s="229" t="s">
        <v>1178</v>
      </c>
      <c r="F75" s="229" t="s">
        <v>1178</v>
      </c>
      <c r="G75" s="240"/>
      <c r="H75" s="254" t="s">
        <v>43</v>
      </c>
      <c r="I75" s="254" t="s">
        <v>43</v>
      </c>
      <c r="J75" s="256" t="s">
        <v>43</v>
      </c>
    </row>
    <row r="76" spans="1:10" s="259" customFormat="1" ht="14.25" customHeight="1" x14ac:dyDescent="0.2">
      <c r="A76" s="258">
        <v>1</v>
      </c>
      <c r="C76" s="260" t="s">
        <v>859</v>
      </c>
      <c r="E76" s="260" t="s">
        <v>209</v>
      </c>
      <c r="F76" s="260" t="s">
        <v>209</v>
      </c>
      <c r="G76" s="261"/>
      <c r="H76" s="260"/>
      <c r="I76" s="260"/>
      <c r="J76" s="262"/>
    </row>
    <row r="77" spans="1:10" s="259" customFormat="1" ht="14.25" customHeight="1" x14ac:dyDescent="0.2">
      <c r="A77" s="258">
        <v>2</v>
      </c>
      <c r="C77" s="260" t="s">
        <v>859</v>
      </c>
      <c r="E77" s="260" t="s">
        <v>209</v>
      </c>
      <c r="F77" s="260" t="s">
        <v>209</v>
      </c>
      <c r="G77" s="261"/>
      <c r="H77" s="260"/>
      <c r="I77" s="260"/>
      <c r="J77" s="262"/>
    </row>
    <row r="78" spans="1:10" s="259" customFormat="1" ht="14.25" customHeight="1" x14ac:dyDescent="0.2">
      <c r="A78" s="258">
        <v>3</v>
      </c>
      <c r="C78" s="260" t="s">
        <v>859</v>
      </c>
      <c r="E78" s="260" t="s">
        <v>209</v>
      </c>
      <c r="F78" s="262"/>
      <c r="G78" s="261"/>
      <c r="H78" s="260"/>
      <c r="I78" s="260"/>
      <c r="J78" s="262"/>
    </row>
    <row r="79" spans="1:10" s="259" customFormat="1" ht="14.25" customHeight="1" x14ac:dyDescent="0.2">
      <c r="A79" s="258">
        <v>4</v>
      </c>
      <c r="C79" s="260" t="s">
        <v>859</v>
      </c>
      <c r="E79" s="260" t="s">
        <v>209</v>
      </c>
      <c r="F79" s="262"/>
      <c r="G79" s="261"/>
      <c r="H79" s="260"/>
      <c r="I79" s="260"/>
      <c r="J79" s="262"/>
    </row>
    <row r="80" spans="1:10" s="259" customFormat="1" ht="14.25" customHeight="1" x14ac:dyDescent="0.2">
      <c r="A80" s="258">
        <v>5</v>
      </c>
      <c r="C80" s="260" t="s">
        <v>859</v>
      </c>
      <c r="E80" s="260" t="s">
        <v>209</v>
      </c>
      <c r="F80" s="262"/>
      <c r="G80" s="261"/>
      <c r="H80" s="260"/>
      <c r="I80" s="262"/>
      <c r="J80" s="262"/>
    </row>
    <row r="81" spans="1:10" s="259" customFormat="1" ht="14.25" customHeight="1" x14ac:dyDescent="0.2">
      <c r="A81" s="258">
        <v>6</v>
      </c>
      <c r="C81" s="260" t="s">
        <v>859</v>
      </c>
      <c r="E81" s="260" t="s">
        <v>209</v>
      </c>
      <c r="F81" s="262"/>
      <c r="G81" s="261"/>
      <c r="H81" s="260"/>
      <c r="I81" s="262"/>
      <c r="J81" s="262"/>
    </row>
    <row r="82" spans="1:10" s="259" customFormat="1" ht="14.25" customHeight="1" x14ac:dyDescent="0.2">
      <c r="A82" s="258">
        <v>7</v>
      </c>
      <c r="C82" s="260" t="s">
        <v>859</v>
      </c>
      <c r="E82" s="260" t="s">
        <v>209</v>
      </c>
      <c r="F82" s="260"/>
      <c r="G82" s="261"/>
      <c r="H82" s="260"/>
      <c r="I82" s="262"/>
      <c r="J82" s="262"/>
    </row>
    <row r="83" spans="1:10" s="259" customFormat="1" ht="14.25" customHeight="1" x14ac:dyDescent="0.2">
      <c r="A83" s="258">
        <v>8</v>
      </c>
      <c r="C83" s="260" t="s">
        <v>859</v>
      </c>
      <c r="E83" s="260" t="s">
        <v>43</v>
      </c>
      <c r="F83" s="262"/>
      <c r="G83" s="261"/>
      <c r="H83" s="260"/>
      <c r="I83" s="262"/>
      <c r="J83" s="260"/>
    </row>
    <row r="84" spans="1:10" ht="14.25" customHeight="1" x14ac:dyDescent="0.2">
      <c r="C84" s="150"/>
      <c r="D84" s="150"/>
      <c r="E84" s="17" t="s">
        <v>43</v>
      </c>
      <c r="H84" s="150"/>
      <c r="I84" s="150"/>
      <c r="J84" s="150"/>
    </row>
    <row r="85" spans="1:10" s="240" customFormat="1" ht="29.25" customHeight="1" x14ac:dyDescent="0.2">
      <c r="A85" s="152" t="s">
        <v>1174</v>
      </c>
      <c r="B85" s="254"/>
      <c r="C85" s="254">
        <v>11</v>
      </c>
      <c r="D85" s="254" t="s">
        <v>43</v>
      </c>
      <c r="H85" s="256" t="s">
        <v>43</v>
      </c>
      <c r="I85" s="229" t="s">
        <v>43</v>
      </c>
    </row>
    <row r="86" spans="1:10" s="259" customFormat="1" ht="14.25" customHeight="1" x14ac:dyDescent="0.2">
      <c r="A86" s="258">
        <v>1</v>
      </c>
      <c r="C86" s="260" t="s">
        <v>859</v>
      </c>
      <c r="D86" s="260"/>
      <c r="E86" s="261"/>
      <c r="F86" s="261"/>
      <c r="G86" s="261"/>
      <c r="H86" s="260"/>
      <c r="I86" s="260"/>
      <c r="J86" s="262"/>
    </row>
    <row r="87" spans="1:10" s="259" customFormat="1" ht="14.25" customHeight="1" x14ac:dyDescent="0.2">
      <c r="A87" s="258">
        <v>2</v>
      </c>
      <c r="C87" s="260" t="s">
        <v>859</v>
      </c>
      <c r="D87" s="260"/>
      <c r="E87" s="261"/>
      <c r="F87" s="261" t="s">
        <v>43</v>
      </c>
      <c r="G87" s="261"/>
      <c r="H87" s="260"/>
      <c r="I87" s="260"/>
      <c r="J87" s="260" t="s">
        <v>43</v>
      </c>
    </row>
    <row r="88" spans="1:10" s="259" customFormat="1" ht="14.25" customHeight="1" x14ac:dyDescent="0.2">
      <c r="A88" s="258">
        <v>3</v>
      </c>
      <c r="C88" s="260" t="s">
        <v>859</v>
      </c>
      <c r="D88" s="260"/>
      <c r="E88" s="261"/>
      <c r="F88" s="261"/>
      <c r="G88" s="261"/>
      <c r="H88" s="260"/>
      <c r="I88" s="260"/>
      <c r="J88" s="262"/>
    </row>
    <row r="89" spans="1:10" s="259" customFormat="1" ht="14.25" customHeight="1" x14ac:dyDescent="0.2">
      <c r="A89" s="258">
        <v>4</v>
      </c>
      <c r="D89" s="260"/>
      <c r="E89" s="261"/>
      <c r="F89" s="261"/>
      <c r="G89" s="261"/>
      <c r="H89" s="260"/>
      <c r="I89" s="260"/>
      <c r="J89" s="262"/>
    </row>
    <row r="90" spans="1:10" s="259" customFormat="1" ht="14.25" customHeight="1" x14ac:dyDescent="0.2">
      <c r="A90" s="258">
        <v>5</v>
      </c>
      <c r="D90" s="260"/>
      <c r="E90" s="261"/>
      <c r="F90" s="261"/>
      <c r="G90" s="261"/>
      <c r="H90" s="260"/>
      <c r="I90" s="260"/>
      <c r="J90" s="262"/>
    </row>
    <row r="91" spans="1:10" s="259" customFormat="1" ht="14.25" customHeight="1" x14ac:dyDescent="0.2">
      <c r="A91" s="258">
        <v>6</v>
      </c>
      <c r="D91" s="260"/>
      <c r="E91" s="261"/>
      <c r="F91" s="261"/>
      <c r="G91" s="261"/>
      <c r="H91" s="260"/>
      <c r="I91" s="260"/>
      <c r="J91" s="262"/>
    </row>
    <row r="92" spans="1:10" s="259" customFormat="1" ht="14.25" customHeight="1" x14ac:dyDescent="0.2">
      <c r="A92" s="258">
        <v>7</v>
      </c>
      <c r="C92" s="260"/>
      <c r="D92" s="260"/>
      <c r="E92" s="261"/>
      <c r="F92" s="261"/>
      <c r="G92" s="261"/>
      <c r="H92" s="260"/>
      <c r="I92" s="260"/>
      <c r="J92" s="262"/>
    </row>
    <row r="93" spans="1:10" s="259" customFormat="1" ht="14.25" customHeight="1" x14ac:dyDescent="0.2">
      <c r="A93" s="258">
        <v>8</v>
      </c>
      <c r="C93" s="260"/>
      <c r="D93" s="260"/>
      <c r="E93" s="261"/>
      <c r="F93" s="261"/>
      <c r="G93" s="261"/>
      <c r="H93" s="260"/>
      <c r="I93" s="260"/>
      <c r="J93" s="262"/>
    </row>
    <row r="99" spans="1:2" x14ac:dyDescent="0.2">
      <c r="A99" t="s">
        <v>1477</v>
      </c>
      <c r="B99" s="260" t="s">
        <v>859</v>
      </c>
    </row>
    <row r="100" spans="1:2" x14ac:dyDescent="0.2">
      <c r="A100" t="s">
        <v>1478</v>
      </c>
      <c r="B100" s="260" t="s">
        <v>1470</v>
      </c>
    </row>
    <row r="101" spans="1:2" x14ac:dyDescent="0.2">
      <c r="A101" t="s">
        <v>1473</v>
      </c>
      <c r="B101" s="260" t="s">
        <v>1469</v>
      </c>
    </row>
    <row r="102" spans="1:2" x14ac:dyDescent="0.2">
      <c r="A102" t="s">
        <v>1474</v>
      </c>
      <c r="B102" s="150" t="s">
        <v>312</v>
      </c>
    </row>
    <row r="103" spans="1:2" x14ac:dyDescent="0.2">
      <c r="A103" t="s">
        <v>1475</v>
      </c>
      <c r="B103" s="284" t="s">
        <v>1471</v>
      </c>
    </row>
    <row r="104" spans="1:2" x14ac:dyDescent="0.2">
      <c r="A104" t="s">
        <v>1476</v>
      </c>
      <c r="B104" s="284" t="s">
        <v>1472</v>
      </c>
    </row>
  </sheetData>
  <printOptions gridLines="1"/>
  <pageMargins left="0.25" right="0.25" top="0.75" bottom="0.75" header="0.3" footer="0.3"/>
  <pageSetup scale="43" orientation="portrait" horizontalDpi="4294967293" verticalDpi="4294967293" r:id="rId1"/>
  <headerFooter>
    <oddHeader xml:space="preserve">&amp;C </oddHeader>
    <oddFooter>&amp;L&amp;Z&amp;F&amp;C&amp;A&amp;R&amp;P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zoomScaleNormal="100" workbookViewId="0">
      <selection activeCell="F29" sqref="F29"/>
    </sheetView>
  </sheetViews>
  <sheetFormatPr defaultRowHeight="12.75" x14ac:dyDescent="0.2"/>
  <cols>
    <col min="1" max="1" width="35.7109375" style="23" customWidth="1"/>
    <col min="2" max="2" width="9.85546875" style="120" customWidth="1"/>
    <col min="3" max="4" width="12.7109375" style="23" customWidth="1"/>
    <col min="5" max="5" width="15.7109375" style="23" customWidth="1"/>
    <col min="6" max="6" width="5.140625" style="23" customWidth="1"/>
    <col min="7" max="7" width="9.140625" style="111"/>
    <col min="8" max="8" width="29.28515625" style="23" customWidth="1"/>
    <col min="9" max="11" width="12.7109375" style="23" customWidth="1"/>
    <col min="12" max="12" width="3.7109375" style="23" customWidth="1"/>
    <col min="13" max="13" width="9.140625" style="111"/>
    <col min="14" max="14" width="35.7109375" style="23" customWidth="1"/>
    <col min="15" max="18" width="12.7109375" style="23" customWidth="1"/>
    <col min="19" max="19" width="9.140625" style="111"/>
    <col min="20" max="20" width="35.7109375" style="23" customWidth="1"/>
    <col min="21" max="22" width="12.7109375" style="23" customWidth="1"/>
    <col min="23" max="16384" width="9.140625" style="23"/>
  </cols>
  <sheetData>
    <row r="1" spans="1:22" s="108" customFormat="1" x14ac:dyDescent="0.2">
      <c r="A1" s="107" t="s">
        <v>1431</v>
      </c>
      <c r="B1" s="119"/>
      <c r="C1" s="108" t="s">
        <v>430</v>
      </c>
      <c r="E1" s="108" t="s">
        <v>43</v>
      </c>
      <c r="G1" s="109"/>
      <c r="M1" s="109"/>
      <c r="S1" s="109"/>
    </row>
    <row r="2" spans="1:22" s="108" customFormat="1" x14ac:dyDescent="0.2">
      <c r="A2" s="107" t="s">
        <v>431</v>
      </c>
      <c r="B2" s="119"/>
      <c r="G2" s="109"/>
      <c r="H2" s="107" t="s">
        <v>1432</v>
      </c>
      <c r="M2" s="109"/>
      <c r="N2" s="107"/>
      <c r="S2" s="109"/>
      <c r="T2" s="107"/>
    </row>
    <row r="3" spans="1:22" x14ac:dyDescent="0.2">
      <c r="G3" s="110" t="s">
        <v>0</v>
      </c>
      <c r="I3" s="13" t="s">
        <v>278</v>
      </c>
      <c r="J3" s="13" t="s">
        <v>214</v>
      </c>
      <c r="K3" s="116" t="s">
        <v>464</v>
      </c>
      <c r="L3" s="116"/>
      <c r="M3" s="110"/>
      <c r="O3" s="13"/>
      <c r="P3" s="13"/>
      <c r="Q3" s="116"/>
      <c r="R3" s="116"/>
      <c r="S3" s="110"/>
      <c r="U3" s="13"/>
      <c r="V3" s="13"/>
    </row>
    <row r="4" spans="1:22" s="108" customFormat="1" x14ac:dyDescent="0.2">
      <c r="A4" s="107" t="s">
        <v>433</v>
      </c>
      <c r="B4" s="118" t="s">
        <v>0</v>
      </c>
      <c r="C4" s="116" t="s">
        <v>278</v>
      </c>
      <c r="D4" s="116" t="s">
        <v>214</v>
      </c>
      <c r="E4" s="116" t="s">
        <v>464</v>
      </c>
      <c r="F4" s="116"/>
      <c r="G4" s="109"/>
      <c r="H4" s="107" t="s">
        <v>434</v>
      </c>
      <c r="M4" s="109"/>
      <c r="N4" s="107"/>
      <c r="S4" s="109"/>
      <c r="T4" s="107"/>
    </row>
    <row r="5" spans="1:22" x14ac:dyDescent="0.2">
      <c r="A5" s="13" t="s">
        <v>435</v>
      </c>
      <c r="B5" s="117">
        <v>0</v>
      </c>
      <c r="C5" s="23">
        <v>5500</v>
      </c>
      <c r="D5" s="23">
        <f>B5*C5</f>
        <v>0</v>
      </c>
      <c r="G5" s="111">
        <v>2</v>
      </c>
      <c r="H5" s="13" t="s">
        <v>423</v>
      </c>
      <c r="I5" s="23">
        <f>71</f>
        <v>71</v>
      </c>
      <c r="J5" s="23">
        <f>I5*G5</f>
        <v>142</v>
      </c>
      <c r="N5" s="13"/>
    </row>
    <row r="6" spans="1:22" x14ac:dyDescent="0.2">
      <c r="A6" s="113" t="s">
        <v>467</v>
      </c>
      <c r="B6" s="121">
        <v>1</v>
      </c>
      <c r="C6" s="114">
        <v>16700</v>
      </c>
      <c r="D6" s="114">
        <f t="shared" ref="D6:D10" si="0">B6*C6</f>
        <v>16700</v>
      </c>
      <c r="E6" s="13" t="s">
        <v>465</v>
      </c>
      <c r="F6" s="13"/>
      <c r="G6" s="111">
        <v>18</v>
      </c>
      <c r="H6" s="13" t="s">
        <v>424</v>
      </c>
      <c r="I6" s="23">
        <f>5</f>
        <v>5</v>
      </c>
      <c r="J6" s="23">
        <f t="shared" ref="J6:J14" si="1">I6*G6</f>
        <v>90</v>
      </c>
    </row>
    <row r="7" spans="1:22" x14ac:dyDescent="0.2">
      <c r="A7" s="114" t="s">
        <v>438</v>
      </c>
      <c r="B7" s="122">
        <v>4</v>
      </c>
      <c r="C7" s="114">
        <v>2780</v>
      </c>
      <c r="D7" s="114">
        <f t="shared" si="0"/>
        <v>11120</v>
      </c>
      <c r="E7" s="13" t="s">
        <v>465</v>
      </c>
      <c r="F7" s="13"/>
      <c r="G7" s="111">
        <v>3</v>
      </c>
      <c r="H7" s="13" t="s">
        <v>437</v>
      </c>
      <c r="I7" s="23">
        <v>45</v>
      </c>
      <c r="J7" s="23">
        <f t="shared" si="1"/>
        <v>135</v>
      </c>
    </row>
    <row r="8" spans="1:22" x14ac:dyDescent="0.2">
      <c r="A8" s="113" t="s">
        <v>1350</v>
      </c>
      <c r="B8" s="121">
        <v>1</v>
      </c>
      <c r="C8" s="114">
        <v>2810</v>
      </c>
      <c r="D8" s="114">
        <f t="shared" si="0"/>
        <v>2810</v>
      </c>
      <c r="E8" s="13" t="s">
        <v>465</v>
      </c>
      <c r="F8" s="13"/>
      <c r="G8" s="111">
        <v>1</v>
      </c>
      <c r="H8" s="23" t="s">
        <v>440</v>
      </c>
      <c r="I8" s="23">
        <v>122</v>
      </c>
      <c r="J8" s="23">
        <f t="shared" si="1"/>
        <v>122</v>
      </c>
    </row>
    <row r="9" spans="1:22" x14ac:dyDescent="0.2">
      <c r="A9" s="113" t="s">
        <v>466</v>
      </c>
      <c r="B9" s="122">
        <v>1</v>
      </c>
      <c r="C9" s="114">
        <v>2400</v>
      </c>
      <c r="D9" s="114">
        <f t="shared" si="0"/>
        <v>2400</v>
      </c>
      <c r="E9" s="13" t="s">
        <v>465</v>
      </c>
      <c r="F9" s="13"/>
      <c r="G9" s="111">
        <v>1</v>
      </c>
      <c r="H9" s="23" t="s">
        <v>441</v>
      </c>
      <c r="I9" s="23">
        <v>1056</v>
      </c>
      <c r="J9" s="23">
        <f t="shared" si="1"/>
        <v>1056</v>
      </c>
    </row>
    <row r="10" spans="1:22" x14ac:dyDescent="0.2">
      <c r="A10" s="13" t="s">
        <v>439</v>
      </c>
      <c r="B10" s="117">
        <v>0</v>
      </c>
      <c r="C10" s="23">
        <v>2385</v>
      </c>
      <c r="D10" s="23">
        <f t="shared" si="0"/>
        <v>0</v>
      </c>
      <c r="G10" s="111">
        <v>1</v>
      </c>
      <c r="H10" s="23" t="s">
        <v>442</v>
      </c>
      <c r="I10" s="23">
        <v>442</v>
      </c>
      <c r="J10" s="23">
        <f t="shared" si="1"/>
        <v>442</v>
      </c>
    </row>
    <row r="11" spans="1:22" x14ac:dyDescent="0.2">
      <c r="A11" s="106" t="s">
        <v>429</v>
      </c>
      <c r="B11" s="123"/>
      <c r="D11" s="125">
        <f>SUM(D5:D10)</f>
        <v>33030</v>
      </c>
      <c r="G11" s="111">
        <v>1</v>
      </c>
      <c r="H11" s="23" t="s">
        <v>443</v>
      </c>
      <c r="I11" s="23">
        <v>1043</v>
      </c>
      <c r="J11" s="23">
        <f t="shared" si="1"/>
        <v>1043</v>
      </c>
    </row>
    <row r="12" spans="1:22" x14ac:dyDescent="0.2">
      <c r="A12" s="13"/>
      <c r="B12" s="117"/>
      <c r="G12" s="111">
        <v>1</v>
      </c>
      <c r="H12" s="13" t="s">
        <v>444</v>
      </c>
      <c r="I12" s="23">
        <v>87</v>
      </c>
      <c r="J12" s="23">
        <f t="shared" si="1"/>
        <v>87</v>
      </c>
    </row>
    <row r="13" spans="1:22" x14ac:dyDescent="0.2">
      <c r="A13" s="10" t="s">
        <v>417</v>
      </c>
      <c r="B13" s="124"/>
      <c r="G13" s="111">
        <v>1</v>
      </c>
      <c r="H13" s="13" t="s">
        <v>445</v>
      </c>
      <c r="I13" s="23">
        <f>280</f>
        <v>280</v>
      </c>
      <c r="J13" s="23">
        <f t="shared" si="1"/>
        <v>280</v>
      </c>
      <c r="S13" s="110"/>
      <c r="T13" s="13"/>
      <c r="U13" s="13"/>
      <c r="V13" s="13"/>
    </row>
    <row r="14" spans="1:22" x14ac:dyDescent="0.2">
      <c r="A14" s="13" t="s">
        <v>418</v>
      </c>
      <c r="B14" s="117">
        <v>0</v>
      </c>
      <c r="C14" s="23">
        <v>2875</v>
      </c>
      <c r="D14" s="23">
        <f t="shared" ref="D14:D26" si="2">B14*C14</f>
        <v>0</v>
      </c>
      <c r="G14" s="111">
        <v>3</v>
      </c>
      <c r="H14" s="23" t="s">
        <v>422</v>
      </c>
      <c r="I14" s="23">
        <v>866</v>
      </c>
      <c r="J14" s="23">
        <f t="shared" si="1"/>
        <v>2598</v>
      </c>
      <c r="S14" s="110"/>
      <c r="T14" s="13"/>
      <c r="U14" s="13"/>
      <c r="V14" s="13"/>
    </row>
    <row r="15" spans="1:22" x14ac:dyDescent="0.2">
      <c r="A15" s="13" t="s">
        <v>419</v>
      </c>
      <c r="B15" s="117">
        <v>0</v>
      </c>
      <c r="C15" s="23">
        <v>2000</v>
      </c>
      <c r="D15" s="23">
        <f t="shared" si="2"/>
        <v>0</v>
      </c>
      <c r="H15" s="106" t="s">
        <v>429</v>
      </c>
      <c r="J15" s="10">
        <f>SUM(J5:J14)</f>
        <v>5995</v>
      </c>
      <c r="T15" s="106"/>
      <c r="U15" s="10"/>
      <c r="V15" s="10"/>
    </row>
    <row r="16" spans="1:22" x14ac:dyDescent="0.2">
      <c r="A16" s="113" t="s">
        <v>460</v>
      </c>
      <c r="B16" s="121">
        <v>2</v>
      </c>
      <c r="C16" s="114">
        <v>290</v>
      </c>
      <c r="D16" s="114">
        <f t="shared" si="2"/>
        <v>580</v>
      </c>
      <c r="E16" s="13" t="s">
        <v>461</v>
      </c>
      <c r="F16" s="13"/>
      <c r="T16" s="106"/>
    </row>
    <row r="17" spans="1:22" x14ac:dyDescent="0.2">
      <c r="A17" s="113" t="s">
        <v>463</v>
      </c>
      <c r="B17" s="121">
        <v>2</v>
      </c>
      <c r="C17" s="114">
        <v>8004</v>
      </c>
      <c r="D17" s="114">
        <f t="shared" si="2"/>
        <v>16008</v>
      </c>
      <c r="E17" s="13" t="s">
        <v>461</v>
      </c>
      <c r="F17" s="13"/>
      <c r="H17" s="10" t="s">
        <v>451</v>
      </c>
      <c r="T17" s="106"/>
    </row>
    <row r="18" spans="1:22" x14ac:dyDescent="0.2">
      <c r="A18" s="113" t="s">
        <v>422</v>
      </c>
      <c r="B18" s="122">
        <v>5</v>
      </c>
      <c r="C18" s="114">
        <v>1720</v>
      </c>
      <c r="D18" s="114">
        <f t="shared" si="2"/>
        <v>8600</v>
      </c>
      <c r="E18" s="13" t="s">
        <v>461</v>
      </c>
      <c r="F18" s="13"/>
      <c r="G18" s="111">
        <v>0</v>
      </c>
      <c r="H18" s="23" t="s">
        <v>452</v>
      </c>
      <c r="I18" s="23">
        <f>980+490</f>
        <v>1470</v>
      </c>
      <c r="J18" s="23">
        <f t="shared" ref="J18:J26" si="3">I18*G18</f>
        <v>0</v>
      </c>
      <c r="N18" s="106"/>
      <c r="O18" s="10"/>
      <c r="P18" s="10"/>
      <c r="T18" s="106"/>
    </row>
    <row r="19" spans="1:22" x14ac:dyDescent="0.2">
      <c r="A19" s="113" t="s">
        <v>426</v>
      </c>
      <c r="B19" s="122">
        <v>2</v>
      </c>
      <c r="C19" s="114">
        <v>5000</v>
      </c>
      <c r="D19" s="114">
        <f>B19*C19</f>
        <v>10000</v>
      </c>
      <c r="E19" s="13" t="s">
        <v>461</v>
      </c>
      <c r="F19" s="13"/>
      <c r="G19" s="111">
        <v>1</v>
      </c>
      <c r="H19" s="23" t="s">
        <v>453</v>
      </c>
      <c r="I19" s="23">
        <v>10986</v>
      </c>
      <c r="J19" s="23">
        <f t="shared" si="3"/>
        <v>10986</v>
      </c>
    </row>
    <row r="20" spans="1:22" x14ac:dyDescent="0.2">
      <c r="A20" s="114" t="s">
        <v>436</v>
      </c>
      <c r="B20" s="115">
        <v>3</v>
      </c>
      <c r="C20" s="114">
        <v>545</v>
      </c>
      <c r="D20" s="114">
        <f t="shared" ref="D20:D25" si="4">C20*B20</f>
        <v>1635</v>
      </c>
      <c r="E20" s="13" t="s">
        <v>461</v>
      </c>
      <c r="F20" s="13"/>
      <c r="G20" s="111">
        <v>1</v>
      </c>
      <c r="H20" s="23" t="s">
        <v>454</v>
      </c>
      <c r="I20" s="23">
        <v>3840</v>
      </c>
      <c r="J20" s="23">
        <f t="shared" si="3"/>
        <v>3840</v>
      </c>
      <c r="N20" s="10"/>
      <c r="T20" s="10"/>
    </row>
    <row r="21" spans="1:22" x14ac:dyDescent="0.2">
      <c r="A21" s="113" t="s">
        <v>462</v>
      </c>
      <c r="B21" s="115">
        <v>5</v>
      </c>
      <c r="C21" s="114">
        <v>975</v>
      </c>
      <c r="D21" s="114">
        <f t="shared" si="4"/>
        <v>4875</v>
      </c>
      <c r="E21" s="13" t="s">
        <v>461</v>
      </c>
      <c r="F21" s="13"/>
      <c r="G21" s="111">
        <v>1</v>
      </c>
      <c r="H21" s="23" t="s">
        <v>455</v>
      </c>
      <c r="I21" s="23">
        <v>448</v>
      </c>
      <c r="J21" s="23">
        <f t="shared" si="3"/>
        <v>448</v>
      </c>
    </row>
    <row r="22" spans="1:22" x14ac:dyDescent="0.2">
      <c r="A22" s="113" t="s">
        <v>250</v>
      </c>
      <c r="B22" s="115">
        <v>1</v>
      </c>
      <c r="C22" s="114">
        <v>1070</v>
      </c>
      <c r="D22" s="114">
        <f t="shared" si="4"/>
        <v>1070</v>
      </c>
      <c r="E22" s="13" t="s">
        <v>461</v>
      </c>
      <c r="F22" s="13"/>
      <c r="G22" s="111">
        <v>1</v>
      </c>
      <c r="H22" s="23" t="s">
        <v>456</v>
      </c>
      <c r="I22" s="23">
        <v>2801</v>
      </c>
      <c r="J22" s="23">
        <f t="shared" si="3"/>
        <v>2801</v>
      </c>
    </row>
    <row r="23" spans="1:22" x14ac:dyDescent="0.2">
      <c r="A23" s="113" t="s">
        <v>165</v>
      </c>
      <c r="B23" s="115">
        <v>3</v>
      </c>
      <c r="C23" s="114">
        <v>550</v>
      </c>
      <c r="D23" s="114">
        <f t="shared" si="4"/>
        <v>1650</v>
      </c>
      <c r="E23" s="13" t="s">
        <v>461</v>
      </c>
      <c r="F23" s="13"/>
      <c r="G23" s="111">
        <v>1</v>
      </c>
      <c r="H23" s="23" t="s">
        <v>457</v>
      </c>
      <c r="I23" s="23">
        <v>1250</v>
      </c>
      <c r="J23" s="23">
        <f t="shared" si="3"/>
        <v>1250</v>
      </c>
    </row>
    <row r="24" spans="1:22" x14ac:dyDescent="0.2">
      <c r="A24" s="113" t="s">
        <v>166</v>
      </c>
      <c r="B24" s="115">
        <v>8</v>
      </c>
      <c r="C24" s="114">
        <v>1355</v>
      </c>
      <c r="D24" s="114">
        <f t="shared" si="4"/>
        <v>10840</v>
      </c>
      <c r="E24" s="13" t="s">
        <v>461</v>
      </c>
      <c r="F24" s="13"/>
      <c r="G24" s="111">
        <v>1</v>
      </c>
      <c r="H24" s="23" t="s">
        <v>458</v>
      </c>
      <c r="I24" s="23">
        <f>263*1</f>
        <v>263</v>
      </c>
      <c r="J24" s="23">
        <f t="shared" si="3"/>
        <v>263</v>
      </c>
    </row>
    <row r="25" spans="1:22" x14ac:dyDescent="0.2">
      <c r="A25" s="113" t="s">
        <v>207</v>
      </c>
      <c r="B25" s="115">
        <v>2</v>
      </c>
      <c r="C25" s="114">
        <v>320</v>
      </c>
      <c r="D25" s="114">
        <f t="shared" si="4"/>
        <v>640</v>
      </c>
      <c r="E25" s="13" t="s">
        <v>461</v>
      </c>
      <c r="F25" s="13"/>
      <c r="G25" s="111">
        <v>1</v>
      </c>
      <c r="H25" s="23" t="s">
        <v>459</v>
      </c>
      <c r="I25" s="23">
        <v>300</v>
      </c>
      <c r="J25" s="23">
        <f t="shared" si="3"/>
        <v>300</v>
      </c>
      <c r="T25" s="106"/>
      <c r="U25" s="10"/>
      <c r="V25" s="10"/>
    </row>
    <row r="26" spans="1:22" x14ac:dyDescent="0.2">
      <c r="A26" s="114" t="s">
        <v>425</v>
      </c>
      <c r="B26" s="122">
        <v>1</v>
      </c>
      <c r="C26" s="114">
        <v>172</v>
      </c>
      <c r="D26" s="114">
        <f t="shared" si="2"/>
        <v>172</v>
      </c>
      <c r="E26" s="23" t="s">
        <v>1238</v>
      </c>
      <c r="G26" s="111">
        <v>1</v>
      </c>
      <c r="H26" s="23" t="s">
        <v>456</v>
      </c>
      <c r="I26" s="23">
        <f>449+796+288+77+120+815+120+300+1105+55+33+96+33</f>
        <v>4287</v>
      </c>
      <c r="J26" s="23">
        <f t="shared" si="3"/>
        <v>4287</v>
      </c>
      <c r="N26" s="106"/>
      <c r="O26" s="10"/>
      <c r="P26" s="10"/>
    </row>
    <row r="27" spans="1:22" x14ac:dyDescent="0.2">
      <c r="A27" s="106" t="s">
        <v>429</v>
      </c>
      <c r="B27" s="123"/>
      <c r="D27" s="10">
        <f>SUM(D14:D26)</f>
        <v>56070</v>
      </c>
      <c r="U27" s="10"/>
    </row>
    <row r="28" spans="1:22" x14ac:dyDescent="0.2">
      <c r="A28" s="13"/>
      <c r="B28" s="117"/>
      <c r="H28" s="106" t="s">
        <v>429</v>
      </c>
      <c r="J28" s="10">
        <f>SUM(J18:J27)</f>
        <v>24175</v>
      </c>
      <c r="N28" s="10"/>
      <c r="T28" s="10"/>
    </row>
    <row r="29" spans="1:22" x14ac:dyDescent="0.2">
      <c r="A29" s="112" t="s">
        <v>222</v>
      </c>
      <c r="B29" s="117"/>
      <c r="D29" s="10">
        <f>D11+D27+J15+J37+J28</f>
        <v>131565</v>
      </c>
    </row>
    <row r="30" spans="1:22" x14ac:dyDescent="0.2">
      <c r="N30" s="10"/>
      <c r="T30" s="10"/>
    </row>
    <row r="31" spans="1:22" x14ac:dyDescent="0.2">
      <c r="A31" s="112" t="s">
        <v>43</v>
      </c>
      <c r="B31" s="124"/>
      <c r="D31" s="10" t="s">
        <v>43</v>
      </c>
      <c r="H31" s="10" t="s">
        <v>446</v>
      </c>
      <c r="O31" s="13"/>
    </row>
    <row r="32" spans="1:22" x14ac:dyDescent="0.2">
      <c r="G32" s="111">
        <v>1</v>
      </c>
      <c r="H32" s="23" t="s">
        <v>447</v>
      </c>
      <c r="I32" s="23">
        <v>1000</v>
      </c>
      <c r="J32" s="23">
        <f>I32*G32</f>
        <v>1000</v>
      </c>
      <c r="S32" s="110"/>
      <c r="V32" s="13"/>
    </row>
    <row r="33" spans="1:22" x14ac:dyDescent="0.2">
      <c r="G33" s="111">
        <v>1</v>
      </c>
      <c r="H33" s="13" t="s">
        <v>448</v>
      </c>
      <c r="I33" s="23">
        <f>1*580</f>
        <v>580</v>
      </c>
      <c r="J33" s="23">
        <f>I33*G33</f>
        <v>580</v>
      </c>
      <c r="P33" s="13"/>
    </row>
    <row r="34" spans="1:22" x14ac:dyDescent="0.2">
      <c r="A34" s="13"/>
      <c r="B34" s="117"/>
      <c r="G34" s="111">
        <v>5</v>
      </c>
      <c r="H34" s="13" t="s">
        <v>449</v>
      </c>
      <c r="I34" s="23">
        <f>5*315</f>
        <v>1575</v>
      </c>
      <c r="J34" s="23">
        <f>I34*G34</f>
        <v>7875</v>
      </c>
      <c r="P34" s="13"/>
      <c r="T34" s="106"/>
      <c r="U34" s="10"/>
      <c r="V34" s="10"/>
    </row>
    <row r="35" spans="1:22" x14ac:dyDescent="0.2">
      <c r="A35" s="106"/>
      <c r="B35" s="123"/>
      <c r="G35" s="111">
        <v>2</v>
      </c>
      <c r="H35" s="13" t="s">
        <v>450</v>
      </c>
      <c r="I35" s="23">
        <f>2*710</f>
        <v>1420</v>
      </c>
      <c r="J35" s="23">
        <f>I35*G35</f>
        <v>2840</v>
      </c>
      <c r="N35" s="106"/>
      <c r="O35" s="10"/>
      <c r="P35" s="10"/>
      <c r="U35" s="13"/>
    </row>
    <row r="36" spans="1:22" x14ac:dyDescent="0.2">
      <c r="A36" s="106"/>
      <c r="B36" s="123"/>
      <c r="H36" s="23" t="s">
        <v>43</v>
      </c>
      <c r="I36" s="23" t="s">
        <v>43</v>
      </c>
      <c r="M36" s="110"/>
      <c r="N36" s="13"/>
      <c r="O36" s="13"/>
      <c r="P36" s="13"/>
    </row>
    <row r="37" spans="1:22" x14ac:dyDescent="0.2">
      <c r="H37" s="106" t="s">
        <v>429</v>
      </c>
      <c r="J37" s="10">
        <f>SUM(J32:J36)</f>
        <v>12295</v>
      </c>
    </row>
    <row r="40" spans="1:22" x14ac:dyDescent="0.2">
      <c r="A40" s="13"/>
      <c r="B40" s="117"/>
    </row>
    <row r="41" spans="1:22" x14ac:dyDescent="0.2">
      <c r="B41" s="124"/>
    </row>
    <row r="42" spans="1:22" x14ac:dyDescent="0.2">
      <c r="A42" s="13"/>
      <c r="B42" s="117"/>
    </row>
    <row r="43" spans="1:22" x14ac:dyDescent="0.2">
      <c r="A43" s="13"/>
      <c r="B43" s="117"/>
    </row>
    <row r="47" spans="1:22" x14ac:dyDescent="0.2">
      <c r="K47" s="112"/>
    </row>
    <row r="48" spans="1:22" x14ac:dyDescent="0.2">
      <c r="Q48" s="112"/>
      <c r="R48" s="112"/>
    </row>
    <row r="49" spans="12:22" x14ac:dyDescent="0.2">
      <c r="L49" s="112"/>
      <c r="N49" s="112"/>
      <c r="O49" s="112"/>
      <c r="P49" s="112"/>
      <c r="T49" s="112"/>
      <c r="U49" s="112"/>
      <c r="V49" s="112"/>
    </row>
  </sheetData>
  <printOptions gridLines="1"/>
  <pageMargins left="0.25" right="0.25" top="0.75" bottom="0.75" header="0.3" footer="0.3"/>
  <pageSetup paperSize="17" scale="61" orientation="portrait" r:id="rId1"/>
  <headerFooter>
    <oddFooter>&amp;L&amp;Z&amp;F&amp;C&amp;A&amp;R&amp;P 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H23" sqref="H23"/>
    </sheetView>
  </sheetViews>
  <sheetFormatPr defaultRowHeight="12.75" x14ac:dyDescent="0.2"/>
  <cols>
    <col min="1" max="1" width="18.85546875" style="17" customWidth="1"/>
    <col min="2" max="2" width="46.7109375" customWidth="1"/>
    <col min="3" max="3" width="12.7109375" style="141" customWidth="1"/>
    <col min="4" max="4" width="6.7109375" customWidth="1"/>
    <col min="5" max="5" width="18" customWidth="1"/>
    <col min="6" max="6" width="15" customWidth="1"/>
    <col min="250" max="250" width="6.28515625" customWidth="1"/>
    <col min="251" max="252" width="46.7109375" customWidth="1"/>
    <col min="253" max="253" width="11.28515625" customWidth="1"/>
    <col min="254" max="254" width="11.5703125" customWidth="1"/>
    <col min="257" max="257" width="20" customWidth="1"/>
    <col min="258" max="258" width="11.42578125" customWidth="1"/>
    <col min="260" max="260" width="11.85546875" customWidth="1"/>
    <col min="506" max="506" width="6.28515625" customWidth="1"/>
    <col min="507" max="508" width="46.7109375" customWidth="1"/>
    <col min="509" max="509" width="11.28515625" customWidth="1"/>
    <col min="510" max="510" width="11.5703125" customWidth="1"/>
    <col min="513" max="513" width="20" customWidth="1"/>
    <col min="514" max="514" width="11.42578125" customWidth="1"/>
    <col min="516" max="516" width="11.85546875" customWidth="1"/>
    <col min="762" max="762" width="6.28515625" customWidth="1"/>
    <col min="763" max="764" width="46.7109375" customWidth="1"/>
    <col min="765" max="765" width="11.28515625" customWidth="1"/>
    <col min="766" max="766" width="11.5703125" customWidth="1"/>
    <col min="769" max="769" width="20" customWidth="1"/>
    <col min="770" max="770" width="11.42578125" customWidth="1"/>
    <col min="772" max="772" width="11.85546875" customWidth="1"/>
    <col min="1018" max="1018" width="6.28515625" customWidth="1"/>
    <col min="1019" max="1020" width="46.7109375" customWidth="1"/>
    <col min="1021" max="1021" width="11.28515625" customWidth="1"/>
    <col min="1022" max="1022" width="11.5703125" customWidth="1"/>
    <col min="1025" max="1025" width="20" customWidth="1"/>
    <col min="1026" max="1026" width="11.42578125" customWidth="1"/>
    <col min="1028" max="1028" width="11.85546875" customWidth="1"/>
    <col min="1274" max="1274" width="6.28515625" customWidth="1"/>
    <col min="1275" max="1276" width="46.7109375" customWidth="1"/>
    <col min="1277" max="1277" width="11.28515625" customWidth="1"/>
    <col min="1278" max="1278" width="11.5703125" customWidth="1"/>
    <col min="1281" max="1281" width="20" customWidth="1"/>
    <col min="1282" max="1282" width="11.42578125" customWidth="1"/>
    <col min="1284" max="1284" width="11.85546875" customWidth="1"/>
    <col min="1530" max="1530" width="6.28515625" customWidth="1"/>
    <col min="1531" max="1532" width="46.7109375" customWidth="1"/>
    <col min="1533" max="1533" width="11.28515625" customWidth="1"/>
    <col min="1534" max="1534" width="11.5703125" customWidth="1"/>
    <col min="1537" max="1537" width="20" customWidth="1"/>
    <col min="1538" max="1538" width="11.42578125" customWidth="1"/>
    <col min="1540" max="1540" width="11.85546875" customWidth="1"/>
    <col min="1786" max="1786" width="6.28515625" customWidth="1"/>
    <col min="1787" max="1788" width="46.7109375" customWidth="1"/>
    <col min="1789" max="1789" width="11.28515625" customWidth="1"/>
    <col min="1790" max="1790" width="11.5703125" customWidth="1"/>
    <col min="1793" max="1793" width="20" customWidth="1"/>
    <col min="1794" max="1794" width="11.42578125" customWidth="1"/>
    <col min="1796" max="1796" width="11.85546875" customWidth="1"/>
    <col min="2042" max="2042" width="6.28515625" customWidth="1"/>
    <col min="2043" max="2044" width="46.7109375" customWidth="1"/>
    <col min="2045" max="2045" width="11.28515625" customWidth="1"/>
    <col min="2046" max="2046" width="11.5703125" customWidth="1"/>
    <col min="2049" max="2049" width="20" customWidth="1"/>
    <col min="2050" max="2050" width="11.42578125" customWidth="1"/>
    <col min="2052" max="2052" width="11.85546875" customWidth="1"/>
    <col min="2298" max="2298" width="6.28515625" customWidth="1"/>
    <col min="2299" max="2300" width="46.7109375" customWidth="1"/>
    <col min="2301" max="2301" width="11.28515625" customWidth="1"/>
    <col min="2302" max="2302" width="11.5703125" customWidth="1"/>
    <col min="2305" max="2305" width="20" customWidth="1"/>
    <col min="2306" max="2306" width="11.42578125" customWidth="1"/>
    <col min="2308" max="2308" width="11.85546875" customWidth="1"/>
    <col min="2554" max="2554" width="6.28515625" customWidth="1"/>
    <col min="2555" max="2556" width="46.7109375" customWidth="1"/>
    <col min="2557" max="2557" width="11.28515625" customWidth="1"/>
    <col min="2558" max="2558" width="11.5703125" customWidth="1"/>
    <col min="2561" max="2561" width="20" customWidth="1"/>
    <col min="2562" max="2562" width="11.42578125" customWidth="1"/>
    <col min="2564" max="2564" width="11.85546875" customWidth="1"/>
    <col min="2810" max="2810" width="6.28515625" customWidth="1"/>
    <col min="2811" max="2812" width="46.7109375" customWidth="1"/>
    <col min="2813" max="2813" width="11.28515625" customWidth="1"/>
    <col min="2814" max="2814" width="11.5703125" customWidth="1"/>
    <col min="2817" max="2817" width="20" customWidth="1"/>
    <col min="2818" max="2818" width="11.42578125" customWidth="1"/>
    <col min="2820" max="2820" width="11.85546875" customWidth="1"/>
    <col min="3066" max="3066" width="6.28515625" customWidth="1"/>
    <col min="3067" max="3068" width="46.7109375" customWidth="1"/>
    <col min="3069" max="3069" width="11.28515625" customWidth="1"/>
    <col min="3070" max="3070" width="11.5703125" customWidth="1"/>
    <col min="3073" max="3073" width="20" customWidth="1"/>
    <col min="3074" max="3074" width="11.42578125" customWidth="1"/>
    <col min="3076" max="3076" width="11.85546875" customWidth="1"/>
    <col min="3322" max="3322" width="6.28515625" customWidth="1"/>
    <col min="3323" max="3324" width="46.7109375" customWidth="1"/>
    <col min="3325" max="3325" width="11.28515625" customWidth="1"/>
    <col min="3326" max="3326" width="11.5703125" customWidth="1"/>
    <col min="3329" max="3329" width="20" customWidth="1"/>
    <col min="3330" max="3330" width="11.42578125" customWidth="1"/>
    <col min="3332" max="3332" width="11.85546875" customWidth="1"/>
    <col min="3578" max="3578" width="6.28515625" customWidth="1"/>
    <col min="3579" max="3580" width="46.7109375" customWidth="1"/>
    <col min="3581" max="3581" width="11.28515625" customWidth="1"/>
    <col min="3582" max="3582" width="11.5703125" customWidth="1"/>
    <col min="3585" max="3585" width="20" customWidth="1"/>
    <col min="3586" max="3586" width="11.42578125" customWidth="1"/>
    <col min="3588" max="3588" width="11.85546875" customWidth="1"/>
    <col min="3834" max="3834" width="6.28515625" customWidth="1"/>
    <col min="3835" max="3836" width="46.7109375" customWidth="1"/>
    <col min="3837" max="3837" width="11.28515625" customWidth="1"/>
    <col min="3838" max="3838" width="11.5703125" customWidth="1"/>
    <col min="3841" max="3841" width="20" customWidth="1"/>
    <col min="3842" max="3842" width="11.42578125" customWidth="1"/>
    <col min="3844" max="3844" width="11.85546875" customWidth="1"/>
    <col min="4090" max="4090" width="6.28515625" customWidth="1"/>
    <col min="4091" max="4092" width="46.7109375" customWidth="1"/>
    <col min="4093" max="4093" width="11.28515625" customWidth="1"/>
    <col min="4094" max="4094" width="11.5703125" customWidth="1"/>
    <col min="4097" max="4097" width="20" customWidth="1"/>
    <col min="4098" max="4098" width="11.42578125" customWidth="1"/>
    <col min="4100" max="4100" width="11.85546875" customWidth="1"/>
    <col min="4346" max="4346" width="6.28515625" customWidth="1"/>
    <col min="4347" max="4348" width="46.7109375" customWidth="1"/>
    <col min="4349" max="4349" width="11.28515625" customWidth="1"/>
    <col min="4350" max="4350" width="11.5703125" customWidth="1"/>
    <col min="4353" max="4353" width="20" customWidth="1"/>
    <col min="4354" max="4354" width="11.42578125" customWidth="1"/>
    <col min="4356" max="4356" width="11.85546875" customWidth="1"/>
    <col min="4602" max="4602" width="6.28515625" customWidth="1"/>
    <col min="4603" max="4604" width="46.7109375" customWidth="1"/>
    <col min="4605" max="4605" width="11.28515625" customWidth="1"/>
    <col min="4606" max="4606" width="11.5703125" customWidth="1"/>
    <col min="4609" max="4609" width="20" customWidth="1"/>
    <col min="4610" max="4610" width="11.42578125" customWidth="1"/>
    <col min="4612" max="4612" width="11.85546875" customWidth="1"/>
    <col min="4858" max="4858" width="6.28515625" customWidth="1"/>
    <col min="4859" max="4860" width="46.7109375" customWidth="1"/>
    <col min="4861" max="4861" width="11.28515625" customWidth="1"/>
    <col min="4862" max="4862" width="11.5703125" customWidth="1"/>
    <col min="4865" max="4865" width="20" customWidth="1"/>
    <col min="4866" max="4866" width="11.42578125" customWidth="1"/>
    <col min="4868" max="4868" width="11.85546875" customWidth="1"/>
    <col min="5114" max="5114" width="6.28515625" customWidth="1"/>
    <col min="5115" max="5116" width="46.7109375" customWidth="1"/>
    <col min="5117" max="5117" width="11.28515625" customWidth="1"/>
    <col min="5118" max="5118" width="11.5703125" customWidth="1"/>
    <col min="5121" max="5121" width="20" customWidth="1"/>
    <col min="5122" max="5122" width="11.42578125" customWidth="1"/>
    <col min="5124" max="5124" width="11.85546875" customWidth="1"/>
    <col min="5370" max="5370" width="6.28515625" customWidth="1"/>
    <col min="5371" max="5372" width="46.7109375" customWidth="1"/>
    <col min="5373" max="5373" width="11.28515625" customWidth="1"/>
    <col min="5374" max="5374" width="11.5703125" customWidth="1"/>
    <col min="5377" max="5377" width="20" customWidth="1"/>
    <col min="5378" max="5378" width="11.42578125" customWidth="1"/>
    <col min="5380" max="5380" width="11.85546875" customWidth="1"/>
    <col min="5626" max="5626" width="6.28515625" customWidth="1"/>
    <col min="5627" max="5628" width="46.7109375" customWidth="1"/>
    <col min="5629" max="5629" width="11.28515625" customWidth="1"/>
    <col min="5630" max="5630" width="11.5703125" customWidth="1"/>
    <col min="5633" max="5633" width="20" customWidth="1"/>
    <col min="5634" max="5634" width="11.42578125" customWidth="1"/>
    <col min="5636" max="5636" width="11.85546875" customWidth="1"/>
    <col min="5882" max="5882" width="6.28515625" customWidth="1"/>
    <col min="5883" max="5884" width="46.7109375" customWidth="1"/>
    <col min="5885" max="5885" width="11.28515625" customWidth="1"/>
    <col min="5886" max="5886" width="11.5703125" customWidth="1"/>
    <col min="5889" max="5889" width="20" customWidth="1"/>
    <col min="5890" max="5890" width="11.42578125" customWidth="1"/>
    <col min="5892" max="5892" width="11.85546875" customWidth="1"/>
    <col min="6138" max="6138" width="6.28515625" customWidth="1"/>
    <col min="6139" max="6140" width="46.7109375" customWidth="1"/>
    <col min="6141" max="6141" width="11.28515625" customWidth="1"/>
    <col min="6142" max="6142" width="11.5703125" customWidth="1"/>
    <col min="6145" max="6145" width="20" customWidth="1"/>
    <col min="6146" max="6146" width="11.42578125" customWidth="1"/>
    <col min="6148" max="6148" width="11.85546875" customWidth="1"/>
    <col min="6394" max="6394" width="6.28515625" customWidth="1"/>
    <col min="6395" max="6396" width="46.7109375" customWidth="1"/>
    <col min="6397" max="6397" width="11.28515625" customWidth="1"/>
    <col min="6398" max="6398" width="11.5703125" customWidth="1"/>
    <col min="6401" max="6401" width="20" customWidth="1"/>
    <col min="6402" max="6402" width="11.42578125" customWidth="1"/>
    <col min="6404" max="6404" width="11.85546875" customWidth="1"/>
    <col min="6650" max="6650" width="6.28515625" customWidth="1"/>
    <col min="6651" max="6652" width="46.7109375" customWidth="1"/>
    <col min="6653" max="6653" width="11.28515625" customWidth="1"/>
    <col min="6654" max="6654" width="11.5703125" customWidth="1"/>
    <col min="6657" max="6657" width="20" customWidth="1"/>
    <col min="6658" max="6658" width="11.42578125" customWidth="1"/>
    <col min="6660" max="6660" width="11.85546875" customWidth="1"/>
    <col min="6906" max="6906" width="6.28515625" customWidth="1"/>
    <col min="6907" max="6908" width="46.7109375" customWidth="1"/>
    <col min="6909" max="6909" width="11.28515625" customWidth="1"/>
    <col min="6910" max="6910" width="11.5703125" customWidth="1"/>
    <col min="6913" max="6913" width="20" customWidth="1"/>
    <col min="6914" max="6914" width="11.42578125" customWidth="1"/>
    <col min="6916" max="6916" width="11.85546875" customWidth="1"/>
    <col min="7162" max="7162" width="6.28515625" customWidth="1"/>
    <col min="7163" max="7164" width="46.7109375" customWidth="1"/>
    <col min="7165" max="7165" width="11.28515625" customWidth="1"/>
    <col min="7166" max="7166" width="11.5703125" customWidth="1"/>
    <col min="7169" max="7169" width="20" customWidth="1"/>
    <col min="7170" max="7170" width="11.42578125" customWidth="1"/>
    <col min="7172" max="7172" width="11.85546875" customWidth="1"/>
    <col min="7418" max="7418" width="6.28515625" customWidth="1"/>
    <col min="7419" max="7420" width="46.7109375" customWidth="1"/>
    <col min="7421" max="7421" width="11.28515625" customWidth="1"/>
    <col min="7422" max="7422" width="11.5703125" customWidth="1"/>
    <col min="7425" max="7425" width="20" customWidth="1"/>
    <col min="7426" max="7426" width="11.42578125" customWidth="1"/>
    <col min="7428" max="7428" width="11.85546875" customWidth="1"/>
    <col min="7674" max="7674" width="6.28515625" customWidth="1"/>
    <col min="7675" max="7676" width="46.7109375" customWidth="1"/>
    <col min="7677" max="7677" width="11.28515625" customWidth="1"/>
    <col min="7678" max="7678" width="11.5703125" customWidth="1"/>
    <col min="7681" max="7681" width="20" customWidth="1"/>
    <col min="7682" max="7682" width="11.42578125" customWidth="1"/>
    <col min="7684" max="7684" width="11.85546875" customWidth="1"/>
    <col min="7930" max="7930" width="6.28515625" customWidth="1"/>
    <col min="7931" max="7932" width="46.7109375" customWidth="1"/>
    <col min="7933" max="7933" width="11.28515625" customWidth="1"/>
    <col min="7934" max="7934" width="11.5703125" customWidth="1"/>
    <col min="7937" max="7937" width="20" customWidth="1"/>
    <col min="7938" max="7938" width="11.42578125" customWidth="1"/>
    <col min="7940" max="7940" width="11.85546875" customWidth="1"/>
    <col min="8186" max="8186" width="6.28515625" customWidth="1"/>
    <col min="8187" max="8188" width="46.7109375" customWidth="1"/>
    <col min="8189" max="8189" width="11.28515625" customWidth="1"/>
    <col min="8190" max="8190" width="11.5703125" customWidth="1"/>
    <col min="8193" max="8193" width="20" customWidth="1"/>
    <col min="8194" max="8194" width="11.42578125" customWidth="1"/>
    <col min="8196" max="8196" width="11.85546875" customWidth="1"/>
    <col min="8442" max="8442" width="6.28515625" customWidth="1"/>
    <col min="8443" max="8444" width="46.7109375" customWidth="1"/>
    <col min="8445" max="8445" width="11.28515625" customWidth="1"/>
    <col min="8446" max="8446" width="11.5703125" customWidth="1"/>
    <col min="8449" max="8449" width="20" customWidth="1"/>
    <col min="8450" max="8450" width="11.42578125" customWidth="1"/>
    <col min="8452" max="8452" width="11.85546875" customWidth="1"/>
    <col min="8698" max="8698" width="6.28515625" customWidth="1"/>
    <col min="8699" max="8700" width="46.7109375" customWidth="1"/>
    <col min="8701" max="8701" width="11.28515625" customWidth="1"/>
    <col min="8702" max="8702" width="11.5703125" customWidth="1"/>
    <col min="8705" max="8705" width="20" customWidth="1"/>
    <col min="8706" max="8706" width="11.42578125" customWidth="1"/>
    <col min="8708" max="8708" width="11.85546875" customWidth="1"/>
    <col min="8954" max="8954" width="6.28515625" customWidth="1"/>
    <col min="8955" max="8956" width="46.7109375" customWidth="1"/>
    <col min="8957" max="8957" width="11.28515625" customWidth="1"/>
    <col min="8958" max="8958" width="11.5703125" customWidth="1"/>
    <col min="8961" max="8961" width="20" customWidth="1"/>
    <col min="8962" max="8962" width="11.42578125" customWidth="1"/>
    <col min="8964" max="8964" width="11.85546875" customWidth="1"/>
    <col min="9210" max="9210" width="6.28515625" customWidth="1"/>
    <col min="9211" max="9212" width="46.7109375" customWidth="1"/>
    <col min="9213" max="9213" width="11.28515625" customWidth="1"/>
    <col min="9214" max="9214" width="11.5703125" customWidth="1"/>
    <col min="9217" max="9217" width="20" customWidth="1"/>
    <col min="9218" max="9218" width="11.42578125" customWidth="1"/>
    <col min="9220" max="9220" width="11.85546875" customWidth="1"/>
    <col min="9466" max="9466" width="6.28515625" customWidth="1"/>
    <col min="9467" max="9468" width="46.7109375" customWidth="1"/>
    <col min="9469" max="9469" width="11.28515625" customWidth="1"/>
    <col min="9470" max="9470" width="11.5703125" customWidth="1"/>
    <col min="9473" max="9473" width="20" customWidth="1"/>
    <col min="9474" max="9474" width="11.42578125" customWidth="1"/>
    <col min="9476" max="9476" width="11.85546875" customWidth="1"/>
    <col min="9722" max="9722" width="6.28515625" customWidth="1"/>
    <col min="9723" max="9724" width="46.7109375" customWidth="1"/>
    <col min="9725" max="9725" width="11.28515625" customWidth="1"/>
    <col min="9726" max="9726" width="11.5703125" customWidth="1"/>
    <col min="9729" max="9729" width="20" customWidth="1"/>
    <col min="9730" max="9730" width="11.42578125" customWidth="1"/>
    <col min="9732" max="9732" width="11.85546875" customWidth="1"/>
    <col min="9978" max="9978" width="6.28515625" customWidth="1"/>
    <col min="9979" max="9980" width="46.7109375" customWidth="1"/>
    <col min="9981" max="9981" width="11.28515625" customWidth="1"/>
    <col min="9982" max="9982" width="11.5703125" customWidth="1"/>
    <col min="9985" max="9985" width="20" customWidth="1"/>
    <col min="9986" max="9986" width="11.42578125" customWidth="1"/>
    <col min="9988" max="9988" width="11.85546875" customWidth="1"/>
    <col min="10234" max="10234" width="6.28515625" customWidth="1"/>
    <col min="10235" max="10236" width="46.7109375" customWidth="1"/>
    <col min="10237" max="10237" width="11.28515625" customWidth="1"/>
    <col min="10238" max="10238" width="11.5703125" customWidth="1"/>
    <col min="10241" max="10241" width="20" customWidth="1"/>
    <col min="10242" max="10242" width="11.42578125" customWidth="1"/>
    <col min="10244" max="10244" width="11.85546875" customWidth="1"/>
    <col min="10490" max="10490" width="6.28515625" customWidth="1"/>
    <col min="10491" max="10492" width="46.7109375" customWidth="1"/>
    <col min="10493" max="10493" width="11.28515625" customWidth="1"/>
    <col min="10494" max="10494" width="11.5703125" customWidth="1"/>
    <col min="10497" max="10497" width="20" customWidth="1"/>
    <col min="10498" max="10498" width="11.42578125" customWidth="1"/>
    <col min="10500" max="10500" width="11.85546875" customWidth="1"/>
    <col min="10746" max="10746" width="6.28515625" customWidth="1"/>
    <col min="10747" max="10748" width="46.7109375" customWidth="1"/>
    <col min="10749" max="10749" width="11.28515625" customWidth="1"/>
    <col min="10750" max="10750" width="11.5703125" customWidth="1"/>
    <col min="10753" max="10753" width="20" customWidth="1"/>
    <col min="10754" max="10754" width="11.42578125" customWidth="1"/>
    <col min="10756" max="10756" width="11.85546875" customWidth="1"/>
    <col min="11002" max="11002" width="6.28515625" customWidth="1"/>
    <col min="11003" max="11004" width="46.7109375" customWidth="1"/>
    <col min="11005" max="11005" width="11.28515625" customWidth="1"/>
    <col min="11006" max="11006" width="11.5703125" customWidth="1"/>
    <col min="11009" max="11009" width="20" customWidth="1"/>
    <col min="11010" max="11010" width="11.42578125" customWidth="1"/>
    <col min="11012" max="11012" width="11.85546875" customWidth="1"/>
    <col min="11258" max="11258" width="6.28515625" customWidth="1"/>
    <col min="11259" max="11260" width="46.7109375" customWidth="1"/>
    <col min="11261" max="11261" width="11.28515625" customWidth="1"/>
    <col min="11262" max="11262" width="11.5703125" customWidth="1"/>
    <col min="11265" max="11265" width="20" customWidth="1"/>
    <col min="11266" max="11266" width="11.42578125" customWidth="1"/>
    <col min="11268" max="11268" width="11.85546875" customWidth="1"/>
    <col min="11514" max="11514" width="6.28515625" customWidth="1"/>
    <col min="11515" max="11516" width="46.7109375" customWidth="1"/>
    <col min="11517" max="11517" width="11.28515625" customWidth="1"/>
    <col min="11518" max="11518" width="11.5703125" customWidth="1"/>
    <col min="11521" max="11521" width="20" customWidth="1"/>
    <col min="11522" max="11522" width="11.42578125" customWidth="1"/>
    <col min="11524" max="11524" width="11.85546875" customWidth="1"/>
    <col min="11770" max="11770" width="6.28515625" customWidth="1"/>
    <col min="11771" max="11772" width="46.7109375" customWidth="1"/>
    <col min="11773" max="11773" width="11.28515625" customWidth="1"/>
    <col min="11774" max="11774" width="11.5703125" customWidth="1"/>
    <col min="11777" max="11777" width="20" customWidth="1"/>
    <col min="11778" max="11778" width="11.42578125" customWidth="1"/>
    <col min="11780" max="11780" width="11.85546875" customWidth="1"/>
    <col min="12026" max="12026" width="6.28515625" customWidth="1"/>
    <col min="12027" max="12028" width="46.7109375" customWidth="1"/>
    <col min="12029" max="12029" width="11.28515625" customWidth="1"/>
    <col min="12030" max="12030" width="11.5703125" customWidth="1"/>
    <col min="12033" max="12033" width="20" customWidth="1"/>
    <col min="12034" max="12034" width="11.42578125" customWidth="1"/>
    <col min="12036" max="12036" width="11.85546875" customWidth="1"/>
    <col min="12282" max="12282" width="6.28515625" customWidth="1"/>
    <col min="12283" max="12284" width="46.7109375" customWidth="1"/>
    <col min="12285" max="12285" width="11.28515625" customWidth="1"/>
    <col min="12286" max="12286" width="11.5703125" customWidth="1"/>
    <col min="12289" max="12289" width="20" customWidth="1"/>
    <col min="12290" max="12290" width="11.42578125" customWidth="1"/>
    <col min="12292" max="12292" width="11.85546875" customWidth="1"/>
    <col min="12538" max="12538" width="6.28515625" customWidth="1"/>
    <col min="12539" max="12540" width="46.7109375" customWidth="1"/>
    <col min="12541" max="12541" width="11.28515625" customWidth="1"/>
    <col min="12542" max="12542" width="11.5703125" customWidth="1"/>
    <col min="12545" max="12545" width="20" customWidth="1"/>
    <col min="12546" max="12546" width="11.42578125" customWidth="1"/>
    <col min="12548" max="12548" width="11.85546875" customWidth="1"/>
    <col min="12794" max="12794" width="6.28515625" customWidth="1"/>
    <col min="12795" max="12796" width="46.7109375" customWidth="1"/>
    <col min="12797" max="12797" width="11.28515625" customWidth="1"/>
    <col min="12798" max="12798" width="11.5703125" customWidth="1"/>
    <col min="12801" max="12801" width="20" customWidth="1"/>
    <col min="12802" max="12802" width="11.42578125" customWidth="1"/>
    <col min="12804" max="12804" width="11.85546875" customWidth="1"/>
    <col min="13050" max="13050" width="6.28515625" customWidth="1"/>
    <col min="13051" max="13052" width="46.7109375" customWidth="1"/>
    <col min="13053" max="13053" width="11.28515625" customWidth="1"/>
    <col min="13054" max="13054" width="11.5703125" customWidth="1"/>
    <col min="13057" max="13057" width="20" customWidth="1"/>
    <col min="13058" max="13058" width="11.42578125" customWidth="1"/>
    <col min="13060" max="13060" width="11.85546875" customWidth="1"/>
    <col min="13306" max="13306" width="6.28515625" customWidth="1"/>
    <col min="13307" max="13308" width="46.7109375" customWidth="1"/>
    <col min="13309" max="13309" width="11.28515625" customWidth="1"/>
    <col min="13310" max="13310" width="11.5703125" customWidth="1"/>
    <col min="13313" max="13313" width="20" customWidth="1"/>
    <col min="13314" max="13314" width="11.42578125" customWidth="1"/>
    <col min="13316" max="13316" width="11.85546875" customWidth="1"/>
    <col min="13562" max="13562" width="6.28515625" customWidth="1"/>
    <col min="13563" max="13564" width="46.7109375" customWidth="1"/>
    <col min="13565" max="13565" width="11.28515625" customWidth="1"/>
    <col min="13566" max="13566" width="11.5703125" customWidth="1"/>
    <col min="13569" max="13569" width="20" customWidth="1"/>
    <col min="13570" max="13570" width="11.42578125" customWidth="1"/>
    <col min="13572" max="13572" width="11.85546875" customWidth="1"/>
    <col min="13818" max="13818" width="6.28515625" customWidth="1"/>
    <col min="13819" max="13820" width="46.7109375" customWidth="1"/>
    <col min="13821" max="13821" width="11.28515625" customWidth="1"/>
    <col min="13822" max="13822" width="11.5703125" customWidth="1"/>
    <col min="13825" max="13825" width="20" customWidth="1"/>
    <col min="13826" max="13826" width="11.42578125" customWidth="1"/>
    <col min="13828" max="13828" width="11.85546875" customWidth="1"/>
    <col min="14074" max="14074" width="6.28515625" customWidth="1"/>
    <col min="14075" max="14076" width="46.7109375" customWidth="1"/>
    <col min="14077" max="14077" width="11.28515625" customWidth="1"/>
    <col min="14078" max="14078" width="11.5703125" customWidth="1"/>
    <col min="14081" max="14081" width="20" customWidth="1"/>
    <col min="14082" max="14082" width="11.42578125" customWidth="1"/>
    <col min="14084" max="14084" width="11.85546875" customWidth="1"/>
    <col min="14330" max="14330" width="6.28515625" customWidth="1"/>
    <col min="14331" max="14332" width="46.7109375" customWidth="1"/>
    <col min="14333" max="14333" width="11.28515625" customWidth="1"/>
    <col min="14334" max="14334" width="11.5703125" customWidth="1"/>
    <col min="14337" max="14337" width="20" customWidth="1"/>
    <col min="14338" max="14338" width="11.42578125" customWidth="1"/>
    <col min="14340" max="14340" width="11.85546875" customWidth="1"/>
    <col min="14586" max="14586" width="6.28515625" customWidth="1"/>
    <col min="14587" max="14588" width="46.7109375" customWidth="1"/>
    <col min="14589" max="14589" width="11.28515625" customWidth="1"/>
    <col min="14590" max="14590" width="11.5703125" customWidth="1"/>
    <col min="14593" max="14593" width="20" customWidth="1"/>
    <col min="14594" max="14594" width="11.42578125" customWidth="1"/>
    <col min="14596" max="14596" width="11.85546875" customWidth="1"/>
    <col min="14842" max="14842" width="6.28515625" customWidth="1"/>
    <col min="14843" max="14844" width="46.7109375" customWidth="1"/>
    <col min="14845" max="14845" width="11.28515625" customWidth="1"/>
    <col min="14846" max="14846" width="11.5703125" customWidth="1"/>
    <col min="14849" max="14849" width="20" customWidth="1"/>
    <col min="14850" max="14850" width="11.42578125" customWidth="1"/>
    <col min="14852" max="14852" width="11.85546875" customWidth="1"/>
    <col min="15098" max="15098" width="6.28515625" customWidth="1"/>
    <col min="15099" max="15100" width="46.7109375" customWidth="1"/>
    <col min="15101" max="15101" width="11.28515625" customWidth="1"/>
    <col min="15102" max="15102" width="11.5703125" customWidth="1"/>
    <col min="15105" max="15105" width="20" customWidth="1"/>
    <col min="15106" max="15106" width="11.42578125" customWidth="1"/>
    <col min="15108" max="15108" width="11.85546875" customWidth="1"/>
    <col min="15354" max="15354" width="6.28515625" customWidth="1"/>
    <col min="15355" max="15356" width="46.7109375" customWidth="1"/>
    <col min="15357" max="15357" width="11.28515625" customWidth="1"/>
    <col min="15358" max="15358" width="11.5703125" customWidth="1"/>
    <col min="15361" max="15361" width="20" customWidth="1"/>
    <col min="15362" max="15362" width="11.42578125" customWidth="1"/>
    <col min="15364" max="15364" width="11.85546875" customWidth="1"/>
    <col min="15610" max="15610" width="6.28515625" customWidth="1"/>
    <col min="15611" max="15612" width="46.7109375" customWidth="1"/>
    <col min="15613" max="15613" width="11.28515625" customWidth="1"/>
    <col min="15614" max="15614" width="11.5703125" customWidth="1"/>
    <col min="15617" max="15617" width="20" customWidth="1"/>
    <col min="15618" max="15618" width="11.42578125" customWidth="1"/>
    <col min="15620" max="15620" width="11.85546875" customWidth="1"/>
    <col min="15866" max="15866" width="6.28515625" customWidth="1"/>
    <col min="15867" max="15868" width="46.7109375" customWidth="1"/>
    <col min="15869" max="15869" width="11.28515625" customWidth="1"/>
    <col min="15870" max="15870" width="11.5703125" customWidth="1"/>
    <col min="15873" max="15873" width="20" customWidth="1"/>
    <col min="15874" max="15874" width="11.42578125" customWidth="1"/>
    <col min="15876" max="15876" width="11.85546875" customWidth="1"/>
    <col min="16122" max="16122" width="6.28515625" customWidth="1"/>
    <col min="16123" max="16124" width="46.7109375" customWidth="1"/>
    <col min="16125" max="16125" width="11.28515625" customWidth="1"/>
    <col min="16126" max="16126" width="11.5703125" customWidth="1"/>
    <col min="16129" max="16129" width="20" customWidth="1"/>
    <col min="16130" max="16130" width="11.42578125" customWidth="1"/>
    <col min="16132" max="16132" width="11.85546875" customWidth="1"/>
  </cols>
  <sheetData>
    <row r="1" spans="1:6" x14ac:dyDescent="0.2">
      <c r="B1" s="9" t="s">
        <v>1465</v>
      </c>
      <c r="E1" s="21" t="s">
        <v>43</v>
      </c>
      <c r="F1" s="9" t="s">
        <v>43</v>
      </c>
    </row>
    <row r="2" spans="1:6" x14ac:dyDescent="0.2">
      <c r="B2" s="12" t="s">
        <v>811</v>
      </c>
      <c r="C2" t="s">
        <v>812</v>
      </c>
      <c r="E2" s="12" t="s">
        <v>1457</v>
      </c>
      <c r="F2" s="12" t="s">
        <v>43</v>
      </c>
    </row>
    <row r="3" spans="1:6" x14ac:dyDescent="0.2">
      <c r="A3" s="17" t="s">
        <v>155</v>
      </c>
      <c r="B3" t="s">
        <v>813</v>
      </c>
      <c r="C3" s="141" t="s">
        <v>814</v>
      </c>
      <c r="E3" s="12" t="s">
        <v>305</v>
      </c>
      <c r="F3" s="12" t="s">
        <v>236</v>
      </c>
    </row>
    <row r="4" spans="1:6" x14ac:dyDescent="0.2">
      <c r="A4" s="63"/>
      <c r="B4" s="1"/>
      <c r="C4" s="4"/>
      <c r="F4" s="1"/>
    </row>
    <row r="5" spans="1:6" x14ac:dyDescent="0.2">
      <c r="A5" s="17">
        <v>2</v>
      </c>
      <c r="B5" s="14" t="s">
        <v>1430</v>
      </c>
      <c r="C5" s="278">
        <v>565</v>
      </c>
      <c r="D5" s="62"/>
      <c r="E5" s="62">
        <v>1500</v>
      </c>
      <c r="F5" s="14" t="s">
        <v>815</v>
      </c>
    </row>
    <row r="6" spans="1:6" x14ac:dyDescent="0.2">
      <c r="A6" s="17">
        <v>2</v>
      </c>
      <c r="B6" s="11" t="s">
        <v>1232</v>
      </c>
      <c r="C6" s="279">
        <v>230</v>
      </c>
      <c r="D6" s="62"/>
      <c r="E6" s="62">
        <v>500</v>
      </c>
      <c r="F6" s="11" t="s">
        <v>241</v>
      </c>
    </row>
    <row r="7" spans="1:6" x14ac:dyDescent="0.2">
      <c r="A7" s="17">
        <v>1</v>
      </c>
      <c r="B7" s="14" t="s">
        <v>1233</v>
      </c>
      <c r="C7" s="278">
        <f>972+2384</f>
        <v>3356</v>
      </c>
      <c r="D7" s="62"/>
      <c r="E7" s="62">
        <v>4500</v>
      </c>
      <c r="F7" s="14" t="s">
        <v>239</v>
      </c>
    </row>
    <row r="8" spans="1:6" x14ac:dyDescent="0.2">
      <c r="A8" s="17">
        <v>1</v>
      </c>
      <c r="B8" s="14" t="s">
        <v>1234</v>
      </c>
      <c r="C8" s="278">
        <f>1511+950</f>
        <v>2461</v>
      </c>
      <c r="D8" s="62"/>
      <c r="E8" s="62">
        <v>1500</v>
      </c>
      <c r="F8" s="14" t="s">
        <v>240</v>
      </c>
    </row>
    <row r="9" spans="1:6" x14ac:dyDescent="0.2">
      <c r="A9" s="17">
        <v>2</v>
      </c>
      <c r="B9" s="14" t="s">
        <v>1235</v>
      </c>
      <c r="C9" s="280">
        <v>3250</v>
      </c>
      <c r="D9" s="62"/>
      <c r="E9" s="62">
        <v>7000</v>
      </c>
      <c r="F9" s="14" t="s">
        <v>816</v>
      </c>
    </row>
    <row r="10" spans="1:6" x14ac:dyDescent="0.2">
      <c r="A10" s="275">
        <v>2</v>
      </c>
      <c r="B10" s="276" t="s">
        <v>210</v>
      </c>
      <c r="C10" s="281">
        <v>0</v>
      </c>
      <c r="D10" s="282"/>
      <c r="E10" s="282">
        <v>500</v>
      </c>
      <c r="F10" s="276" t="s">
        <v>238</v>
      </c>
    </row>
    <row r="11" spans="1:6" x14ac:dyDescent="0.2">
      <c r="A11" s="275">
        <v>4</v>
      </c>
      <c r="B11" s="276" t="s">
        <v>817</v>
      </c>
      <c r="C11" s="283">
        <v>0</v>
      </c>
      <c r="D11" s="282"/>
      <c r="E11" s="282">
        <v>500</v>
      </c>
      <c r="F11" s="276" t="s">
        <v>237</v>
      </c>
    </row>
    <row r="12" spans="1:6" x14ac:dyDescent="0.2">
      <c r="A12" s="17">
        <v>1</v>
      </c>
      <c r="B12" s="14" t="s">
        <v>819</v>
      </c>
      <c r="C12" s="278">
        <v>2500</v>
      </c>
      <c r="D12" s="62"/>
      <c r="E12" s="62">
        <v>6000</v>
      </c>
      <c r="F12" s="14" t="s">
        <v>43</v>
      </c>
    </row>
    <row r="13" spans="1:6" x14ac:dyDescent="0.2">
      <c r="B13" s="14"/>
      <c r="C13" s="278"/>
      <c r="D13" s="62"/>
      <c r="E13" s="62"/>
      <c r="F13" s="14"/>
    </row>
    <row r="14" spans="1:6" x14ac:dyDescent="0.2">
      <c r="A14" s="17" t="s">
        <v>43</v>
      </c>
      <c r="C14" s="278"/>
      <c r="D14" s="62"/>
      <c r="E14" s="72">
        <f>SUM(E5:E12)</f>
        <v>22000</v>
      </c>
    </row>
    <row r="15" spans="1:6" x14ac:dyDescent="0.2">
      <c r="C15" s="278"/>
      <c r="D15" s="62"/>
      <c r="E15" s="62"/>
    </row>
    <row r="16" spans="1:6" x14ac:dyDescent="0.2">
      <c r="B16" s="16" t="s">
        <v>1454</v>
      </c>
      <c r="C16" s="278"/>
      <c r="D16" s="62"/>
      <c r="E16" s="62"/>
    </row>
    <row r="17" spans="1:6" x14ac:dyDescent="0.2">
      <c r="B17" s="16" t="s">
        <v>1445</v>
      </c>
      <c r="C17" s="278"/>
      <c r="D17" s="62"/>
      <c r="E17" s="62"/>
    </row>
    <row r="18" spans="1:6" x14ac:dyDescent="0.2">
      <c r="A18" s="17" t="s">
        <v>43</v>
      </c>
      <c r="B18" s="12" t="s">
        <v>1446</v>
      </c>
      <c r="C18" s="278"/>
      <c r="D18" s="62"/>
      <c r="E18" s="62">
        <v>0</v>
      </c>
    </row>
    <row r="19" spans="1:6" x14ac:dyDescent="0.2">
      <c r="B19" s="12" t="s">
        <v>1447</v>
      </c>
      <c r="C19" s="278"/>
      <c r="D19" s="62"/>
      <c r="E19" s="62">
        <v>0</v>
      </c>
    </row>
    <row r="20" spans="1:6" x14ac:dyDescent="0.2">
      <c r="B20" s="12" t="s">
        <v>1448</v>
      </c>
      <c r="C20" s="278"/>
      <c r="D20" s="62"/>
      <c r="E20" s="62">
        <v>0</v>
      </c>
    </row>
    <row r="21" spans="1:6" x14ac:dyDescent="0.2">
      <c r="B21" s="12" t="s">
        <v>1449</v>
      </c>
      <c r="C21" s="278"/>
      <c r="D21" s="62"/>
      <c r="E21" s="62">
        <v>0</v>
      </c>
    </row>
    <row r="22" spans="1:6" x14ac:dyDescent="0.2">
      <c r="B22" s="12" t="s">
        <v>1450</v>
      </c>
      <c r="C22" s="278"/>
      <c r="D22" s="62"/>
      <c r="E22" s="62">
        <v>0</v>
      </c>
    </row>
    <row r="23" spans="1:6" x14ac:dyDescent="0.2">
      <c r="B23" s="12" t="s">
        <v>1451</v>
      </c>
      <c r="C23" s="278"/>
      <c r="D23" s="62"/>
      <c r="E23" s="62">
        <v>0</v>
      </c>
    </row>
    <row r="24" spans="1:6" x14ac:dyDescent="0.2">
      <c r="B24" s="12" t="s">
        <v>1452</v>
      </c>
      <c r="C24" s="278"/>
      <c r="D24" s="62"/>
      <c r="E24" s="62">
        <v>0</v>
      </c>
    </row>
    <row r="25" spans="1:6" x14ac:dyDescent="0.2">
      <c r="A25" s="15" t="s">
        <v>43</v>
      </c>
      <c r="B25" s="14" t="s">
        <v>818</v>
      </c>
      <c r="C25" s="73" t="s">
        <v>43</v>
      </c>
      <c r="D25" s="62"/>
      <c r="E25" s="61">
        <v>0</v>
      </c>
      <c r="F25" s="14" t="s">
        <v>248</v>
      </c>
    </row>
    <row r="26" spans="1:6" x14ac:dyDescent="0.2">
      <c r="C26" s="278"/>
      <c r="D26" s="62"/>
      <c r="E26" s="62"/>
    </row>
    <row r="27" spans="1:6" x14ac:dyDescent="0.2">
      <c r="C27" s="278"/>
      <c r="D27" s="62"/>
      <c r="E27" s="62"/>
    </row>
    <row r="28" spans="1:6" x14ac:dyDescent="0.2">
      <c r="C28" s="278"/>
      <c r="D28" s="62"/>
      <c r="E28" s="62"/>
    </row>
    <row r="29" spans="1:6" x14ac:dyDescent="0.2">
      <c r="B29" s="16" t="s">
        <v>1464</v>
      </c>
      <c r="C29" s="278"/>
      <c r="D29" s="62"/>
      <c r="E29" s="62"/>
    </row>
    <row r="30" spans="1:6" x14ac:dyDescent="0.2">
      <c r="B30" s="12" t="s">
        <v>1455</v>
      </c>
      <c r="C30" s="278"/>
      <c r="D30" s="62"/>
      <c r="E30" s="61" t="s">
        <v>1467</v>
      </c>
    </row>
    <row r="31" spans="1:6" x14ac:dyDescent="0.2">
      <c r="B31" s="12" t="s">
        <v>1453</v>
      </c>
      <c r="C31" s="278"/>
      <c r="D31" s="62"/>
      <c r="E31" s="61" t="s">
        <v>1466</v>
      </c>
    </row>
    <row r="32" spans="1:6" x14ac:dyDescent="0.2">
      <c r="B32" s="12" t="s">
        <v>1463</v>
      </c>
      <c r="C32" s="278"/>
      <c r="D32" s="62"/>
      <c r="E32" s="62">
        <v>15000</v>
      </c>
    </row>
    <row r="33" spans="2:5" x14ac:dyDescent="0.2">
      <c r="B33" s="12" t="s">
        <v>1456</v>
      </c>
      <c r="C33" s="278"/>
      <c r="D33" s="62"/>
      <c r="E33" s="62">
        <v>10000</v>
      </c>
    </row>
    <row r="34" spans="2:5" x14ac:dyDescent="0.2">
      <c r="B34" s="12" t="s">
        <v>1458</v>
      </c>
      <c r="C34" s="278"/>
      <c r="D34" s="62"/>
      <c r="E34" s="62">
        <v>6000</v>
      </c>
    </row>
    <row r="35" spans="2:5" x14ac:dyDescent="0.2">
      <c r="B35" s="12" t="s">
        <v>1459</v>
      </c>
      <c r="C35" s="278"/>
      <c r="D35" s="62"/>
      <c r="E35" s="62">
        <v>5000</v>
      </c>
    </row>
    <row r="36" spans="2:5" x14ac:dyDescent="0.2">
      <c r="B36" s="12" t="s">
        <v>1460</v>
      </c>
      <c r="E36" s="62">
        <v>5000</v>
      </c>
    </row>
    <row r="37" spans="2:5" x14ac:dyDescent="0.2">
      <c r="B37" s="12" t="s">
        <v>1461</v>
      </c>
      <c r="E37" s="277">
        <v>15000</v>
      </c>
    </row>
    <row r="38" spans="2:5" x14ac:dyDescent="0.2">
      <c r="B38" s="12" t="s">
        <v>1462</v>
      </c>
      <c r="E38" s="62">
        <v>2000</v>
      </c>
    </row>
    <row r="41" spans="2:5" x14ac:dyDescent="0.2">
      <c r="E41" s="72">
        <f>SUM(E32:E40)</f>
        <v>58000</v>
      </c>
    </row>
  </sheetData>
  <printOptions gridLines="1"/>
  <pageMargins left="0.25" right="0.25" top="0.75" bottom="0.75" header="0.3" footer="0.3"/>
  <pageSetup paperSize="17" orientation="portrait" r:id="rId1"/>
  <headerFooter>
    <oddFooter>&amp;L&amp;Z&amp;F&amp;C&amp;A&amp;R&amp;P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pane ySplit="3120" topLeftCell="A10" activePane="bottomLeft"/>
      <selection activeCell="X12" sqref="X12"/>
      <selection pane="bottomLeft" activeCell="P10" sqref="P10"/>
    </sheetView>
  </sheetViews>
  <sheetFormatPr defaultRowHeight="12.75" x14ac:dyDescent="0.2"/>
  <cols>
    <col min="1" max="1" width="18.28515625" style="15" customWidth="1"/>
    <col min="2" max="2" width="10.140625" style="12" customWidth="1"/>
    <col min="3" max="3" width="14.42578125" style="128" customWidth="1"/>
    <col min="4" max="4" width="17.7109375" style="15" customWidth="1"/>
    <col min="5" max="5" width="10.85546875" style="15" customWidth="1"/>
    <col min="6" max="6" width="8.5703125" style="15" customWidth="1"/>
    <col min="7" max="7" width="12.28515625" style="12" customWidth="1"/>
    <col min="8" max="8" width="16.7109375" style="12" customWidth="1"/>
    <col min="9" max="9" width="15.85546875" style="145" customWidth="1"/>
    <col min="10" max="10" width="10.28515625" style="12" customWidth="1"/>
    <col min="11" max="11" width="12.28515625" style="144" customWidth="1"/>
    <col min="12" max="12" width="20.5703125" style="15" customWidth="1"/>
    <col min="13" max="16384" width="9.140625" style="12"/>
  </cols>
  <sheetData>
    <row r="1" spans="1:12" s="128" customFormat="1" ht="44.25" customHeight="1" x14ac:dyDescent="0.2">
      <c r="A1" s="81" t="s">
        <v>316</v>
      </c>
      <c r="B1" s="81" t="s">
        <v>317</v>
      </c>
      <c r="C1" s="81" t="s">
        <v>2</v>
      </c>
      <c r="E1" s="81" t="s">
        <v>858</v>
      </c>
      <c r="F1" s="81" t="s">
        <v>476</v>
      </c>
      <c r="G1" s="127" t="s">
        <v>886</v>
      </c>
      <c r="H1" s="81" t="s">
        <v>860</v>
      </c>
      <c r="I1" s="142" t="s">
        <v>938</v>
      </c>
      <c r="J1" s="127" t="s">
        <v>489</v>
      </c>
      <c r="K1" s="142" t="s">
        <v>886</v>
      </c>
      <c r="L1" s="151" t="s">
        <v>885</v>
      </c>
    </row>
    <row r="2" spans="1:12" s="85" customFormat="1" ht="48" customHeight="1" x14ac:dyDescent="0.25">
      <c r="A2" s="91" t="s">
        <v>334</v>
      </c>
      <c r="C2" s="81" t="s">
        <v>335</v>
      </c>
      <c r="D2" s="132" t="s">
        <v>339</v>
      </c>
      <c r="E2" s="132" t="s">
        <v>340</v>
      </c>
      <c r="F2" s="86"/>
      <c r="H2" s="132" t="s">
        <v>861</v>
      </c>
      <c r="L2" s="147" t="s">
        <v>1212</v>
      </c>
    </row>
    <row r="3" spans="1:12" s="85" customFormat="1" ht="51" x14ac:dyDescent="0.2">
      <c r="A3" s="86" t="s">
        <v>336</v>
      </c>
      <c r="B3" s="86" t="s">
        <v>337</v>
      </c>
      <c r="C3" s="132" t="s">
        <v>338</v>
      </c>
      <c r="D3" s="86"/>
      <c r="F3" s="132" t="s">
        <v>43</v>
      </c>
      <c r="H3" s="132" t="s">
        <v>985</v>
      </c>
      <c r="I3" s="143" t="s">
        <v>939</v>
      </c>
      <c r="J3" s="143" t="s">
        <v>43</v>
      </c>
      <c r="K3" s="143" t="s">
        <v>887</v>
      </c>
      <c r="L3" s="86" t="s">
        <v>43</v>
      </c>
    </row>
    <row r="4" spans="1:12" s="85" customFormat="1" x14ac:dyDescent="0.2">
      <c r="A4" s="86" t="s">
        <v>839</v>
      </c>
      <c r="B4" s="86"/>
      <c r="C4" s="132"/>
      <c r="D4" s="86" t="s">
        <v>853</v>
      </c>
      <c r="E4" s="86">
        <v>1</v>
      </c>
      <c r="H4" s="86">
        <v>4</v>
      </c>
      <c r="I4" s="143"/>
      <c r="J4" s="86"/>
      <c r="K4" s="143" t="s">
        <v>43</v>
      </c>
    </row>
    <row r="5" spans="1:12" s="85" customFormat="1" x14ac:dyDescent="0.2">
      <c r="A5" s="86"/>
      <c r="B5" s="86"/>
      <c r="C5" s="132"/>
      <c r="D5" s="86" t="s">
        <v>854</v>
      </c>
      <c r="E5" s="86">
        <v>2</v>
      </c>
      <c r="H5" s="86">
        <v>3</v>
      </c>
      <c r="I5" s="143" t="s">
        <v>941</v>
      </c>
      <c r="J5" s="86"/>
      <c r="K5" s="143" t="s">
        <v>888</v>
      </c>
      <c r="L5" s="86" t="s">
        <v>890</v>
      </c>
    </row>
    <row r="6" spans="1:12" s="85" customFormat="1" x14ac:dyDescent="0.2">
      <c r="A6" s="86"/>
      <c r="B6" s="86"/>
      <c r="C6" s="132"/>
      <c r="D6" s="86" t="s">
        <v>855</v>
      </c>
      <c r="E6" s="86">
        <v>3</v>
      </c>
      <c r="H6" s="86" t="s">
        <v>43</v>
      </c>
      <c r="I6" s="143"/>
      <c r="J6" s="86"/>
      <c r="K6" s="143"/>
      <c r="L6" s="86"/>
    </row>
    <row r="7" spans="1:12" s="85" customFormat="1" x14ac:dyDescent="0.2">
      <c r="A7" s="86"/>
      <c r="B7" s="86"/>
      <c r="C7" s="132"/>
      <c r="D7" s="86" t="s">
        <v>856</v>
      </c>
      <c r="E7" s="86">
        <v>4</v>
      </c>
      <c r="H7" s="86">
        <v>2</v>
      </c>
      <c r="I7" s="143" t="s">
        <v>940</v>
      </c>
      <c r="J7" s="86"/>
      <c r="K7" s="143" t="s">
        <v>889</v>
      </c>
      <c r="L7" s="86" t="s">
        <v>916</v>
      </c>
    </row>
    <row r="8" spans="1:12" s="85" customFormat="1" x14ac:dyDescent="0.2">
      <c r="A8" s="86"/>
      <c r="B8" s="86"/>
      <c r="C8" s="132"/>
      <c r="D8" s="86" t="s">
        <v>857</v>
      </c>
      <c r="E8" s="86">
        <v>5</v>
      </c>
      <c r="H8" s="86">
        <v>1</v>
      </c>
      <c r="I8" s="143"/>
      <c r="J8" s="86"/>
      <c r="K8" s="143"/>
      <c r="L8" s="86"/>
    </row>
    <row r="9" spans="1:12" s="85" customFormat="1" x14ac:dyDescent="0.2">
      <c r="A9" s="86"/>
      <c r="B9" s="86"/>
      <c r="C9" s="132"/>
      <c r="D9" s="86"/>
      <c r="E9" s="86"/>
      <c r="H9" s="86"/>
      <c r="I9" s="143"/>
      <c r="J9" s="86"/>
      <c r="K9" s="143"/>
      <c r="L9" s="86"/>
    </row>
    <row r="10" spans="1:12" s="85" customFormat="1" x14ac:dyDescent="0.2">
      <c r="A10" s="86" t="s">
        <v>477</v>
      </c>
      <c r="B10" s="86"/>
      <c r="C10" s="132"/>
      <c r="D10" s="86" t="s">
        <v>853</v>
      </c>
      <c r="E10" s="86">
        <v>1</v>
      </c>
      <c r="F10" s="86" t="s">
        <v>43</v>
      </c>
      <c r="H10" s="86">
        <v>4</v>
      </c>
      <c r="I10" s="143"/>
      <c r="J10" s="86"/>
      <c r="K10" s="143"/>
      <c r="L10" s="86"/>
    </row>
    <row r="11" spans="1:12" s="85" customFormat="1" x14ac:dyDescent="0.2">
      <c r="A11" s="86" t="s">
        <v>43</v>
      </c>
      <c r="B11" s="86"/>
      <c r="C11" s="132"/>
      <c r="D11" s="86" t="s">
        <v>854</v>
      </c>
      <c r="E11" s="86">
        <v>2</v>
      </c>
      <c r="F11" s="86" t="s">
        <v>43</v>
      </c>
      <c r="H11" s="86">
        <v>3</v>
      </c>
      <c r="I11" s="143" t="s">
        <v>942</v>
      </c>
      <c r="J11" s="86"/>
      <c r="K11" s="143" t="s">
        <v>892</v>
      </c>
      <c r="L11" s="86" t="s">
        <v>891</v>
      </c>
    </row>
    <row r="12" spans="1:12" s="85" customFormat="1" x14ac:dyDescent="0.2">
      <c r="A12" s="86"/>
      <c r="B12" s="86"/>
      <c r="C12" s="132"/>
      <c r="D12" s="86" t="s">
        <v>855</v>
      </c>
      <c r="E12" s="86">
        <v>3</v>
      </c>
      <c r="F12" s="86" t="s">
        <v>43</v>
      </c>
      <c r="H12" s="86" t="s">
        <v>43</v>
      </c>
      <c r="I12" s="143"/>
      <c r="J12" s="86"/>
      <c r="K12" s="143"/>
      <c r="L12" s="86"/>
    </row>
    <row r="13" spans="1:12" s="85" customFormat="1" x14ac:dyDescent="0.2">
      <c r="A13" s="86"/>
      <c r="B13" s="86"/>
      <c r="C13" s="132"/>
      <c r="D13" s="86" t="s">
        <v>856</v>
      </c>
      <c r="E13" s="86">
        <v>4</v>
      </c>
      <c r="F13" s="86" t="s">
        <v>43</v>
      </c>
      <c r="H13" s="86">
        <v>2</v>
      </c>
      <c r="I13" s="143" t="s">
        <v>944</v>
      </c>
      <c r="J13" s="86"/>
      <c r="K13" s="143" t="s">
        <v>893</v>
      </c>
      <c r="L13" s="86" t="s">
        <v>916</v>
      </c>
    </row>
    <row r="14" spans="1:12" s="85" customFormat="1" x14ac:dyDescent="0.2">
      <c r="A14" s="86"/>
      <c r="B14" s="86"/>
      <c r="C14" s="132"/>
      <c r="D14" s="86" t="s">
        <v>857</v>
      </c>
      <c r="E14" s="86">
        <v>5</v>
      </c>
      <c r="F14" s="86" t="s">
        <v>43</v>
      </c>
      <c r="H14" s="86">
        <v>1</v>
      </c>
      <c r="I14" s="143"/>
      <c r="J14" s="86"/>
      <c r="K14" s="143"/>
      <c r="L14" s="86"/>
    </row>
    <row r="15" spans="1:12" s="85" customFormat="1" x14ac:dyDescent="0.2">
      <c r="A15" s="86"/>
      <c r="B15" s="86"/>
      <c r="C15" s="132"/>
      <c r="D15" s="86"/>
      <c r="E15" s="86"/>
      <c r="F15" s="86"/>
      <c r="H15" s="86"/>
      <c r="I15" s="143"/>
      <c r="J15" s="86"/>
      <c r="K15" s="143"/>
      <c r="L15" s="86"/>
    </row>
    <row r="16" spans="1:12" s="85" customFormat="1" x14ac:dyDescent="0.2">
      <c r="A16" s="86"/>
      <c r="B16" s="86"/>
      <c r="C16" s="132"/>
      <c r="D16" s="86"/>
      <c r="E16" s="86"/>
      <c r="F16" s="86"/>
      <c r="H16" s="86"/>
      <c r="I16" s="143"/>
      <c r="J16" s="86"/>
      <c r="K16" s="143"/>
      <c r="L16" s="86"/>
    </row>
    <row r="17" spans="1:12" s="85" customFormat="1" x14ac:dyDescent="0.2">
      <c r="A17" s="86" t="s">
        <v>840</v>
      </c>
      <c r="B17" s="86"/>
      <c r="C17" s="132"/>
      <c r="D17" s="86" t="s">
        <v>853</v>
      </c>
      <c r="E17" s="86">
        <v>1</v>
      </c>
      <c r="F17" s="86" t="s">
        <v>43</v>
      </c>
      <c r="H17" s="86">
        <v>4</v>
      </c>
      <c r="I17" s="143"/>
      <c r="J17" s="86"/>
      <c r="K17" s="143"/>
      <c r="L17" s="86"/>
    </row>
    <row r="18" spans="1:12" s="85" customFormat="1" x14ac:dyDescent="0.2">
      <c r="A18" s="86"/>
      <c r="B18" s="86"/>
      <c r="C18" s="132"/>
      <c r="D18" s="86" t="s">
        <v>854</v>
      </c>
      <c r="E18" s="86">
        <v>2</v>
      </c>
      <c r="F18" s="86" t="s">
        <v>43</v>
      </c>
      <c r="H18" s="86">
        <v>3</v>
      </c>
      <c r="I18" s="143" t="s">
        <v>943</v>
      </c>
      <c r="J18" s="86"/>
      <c r="K18" s="143" t="s">
        <v>894</v>
      </c>
      <c r="L18" s="86" t="s">
        <v>908</v>
      </c>
    </row>
    <row r="19" spans="1:12" s="85" customFormat="1" x14ac:dyDescent="0.2">
      <c r="A19" s="86"/>
      <c r="B19" s="86"/>
      <c r="C19" s="132"/>
      <c r="D19" s="86" t="s">
        <v>855</v>
      </c>
      <c r="E19" s="86">
        <v>3</v>
      </c>
      <c r="F19" s="86" t="s">
        <v>43</v>
      </c>
      <c r="H19" s="86" t="s">
        <v>43</v>
      </c>
      <c r="I19" s="143"/>
      <c r="J19" s="86"/>
      <c r="K19" s="143"/>
      <c r="L19" s="86"/>
    </row>
    <row r="20" spans="1:12" s="85" customFormat="1" x14ac:dyDescent="0.2">
      <c r="A20" s="86"/>
      <c r="B20" s="86"/>
      <c r="C20" s="132"/>
      <c r="D20" s="86" t="s">
        <v>856</v>
      </c>
      <c r="E20" s="86">
        <v>4</v>
      </c>
      <c r="F20" s="86" t="s">
        <v>43</v>
      </c>
      <c r="H20" s="86">
        <v>2</v>
      </c>
      <c r="I20" s="143" t="s">
        <v>945</v>
      </c>
      <c r="J20" s="86"/>
      <c r="K20" s="143" t="s">
        <v>895</v>
      </c>
      <c r="L20" s="86" t="s">
        <v>916</v>
      </c>
    </row>
    <row r="21" spans="1:12" s="85" customFormat="1" x14ac:dyDescent="0.2">
      <c r="A21" s="86"/>
      <c r="B21" s="86"/>
      <c r="C21" s="132"/>
      <c r="D21" s="86"/>
      <c r="E21" s="86"/>
      <c r="F21" s="86"/>
      <c r="H21" s="86"/>
      <c r="I21" s="143"/>
      <c r="J21" s="86"/>
      <c r="K21" s="143"/>
      <c r="L21" s="86"/>
    </row>
    <row r="22" spans="1:12" s="85" customFormat="1" x14ac:dyDescent="0.2">
      <c r="A22" s="86"/>
      <c r="B22" s="86"/>
      <c r="C22" s="132"/>
      <c r="D22" s="86" t="s">
        <v>857</v>
      </c>
      <c r="E22" s="86">
        <v>5</v>
      </c>
      <c r="F22" s="86" t="s">
        <v>43</v>
      </c>
      <c r="H22" s="86">
        <v>1</v>
      </c>
      <c r="I22" s="143"/>
      <c r="J22" s="86"/>
      <c r="K22" s="143"/>
      <c r="L22" s="86"/>
    </row>
    <row r="23" spans="1:12" s="85" customFormat="1" x14ac:dyDescent="0.2">
      <c r="A23" s="86"/>
      <c r="B23" s="86"/>
      <c r="C23" s="132"/>
      <c r="D23" s="86"/>
      <c r="E23" s="86"/>
      <c r="F23" s="86"/>
      <c r="H23" s="86"/>
      <c r="I23" s="143"/>
      <c r="J23" s="86"/>
      <c r="K23" s="143"/>
      <c r="L23" s="86"/>
    </row>
    <row r="24" spans="1:12" s="85" customFormat="1" x14ac:dyDescent="0.2">
      <c r="A24" s="86" t="s">
        <v>841</v>
      </c>
      <c r="B24" s="86"/>
      <c r="C24" s="132"/>
      <c r="D24" s="86" t="s">
        <v>853</v>
      </c>
      <c r="E24" s="86">
        <v>1</v>
      </c>
      <c r="F24" s="86" t="s">
        <v>43</v>
      </c>
      <c r="H24" s="86">
        <v>4</v>
      </c>
      <c r="I24" s="143"/>
      <c r="J24" s="86"/>
      <c r="K24" s="143"/>
      <c r="L24" s="86"/>
    </row>
    <row r="25" spans="1:12" s="85" customFormat="1" x14ac:dyDescent="0.2">
      <c r="A25" s="86"/>
      <c r="B25" s="86"/>
      <c r="C25" s="132"/>
      <c r="D25" s="86" t="s">
        <v>854</v>
      </c>
      <c r="E25" s="86">
        <v>2</v>
      </c>
      <c r="F25" s="86" t="s">
        <v>43</v>
      </c>
      <c r="H25" s="86">
        <v>3</v>
      </c>
      <c r="I25" s="143" t="s">
        <v>946</v>
      </c>
      <c r="J25" s="86"/>
      <c r="K25" s="143" t="s">
        <v>896</v>
      </c>
      <c r="L25" s="86" t="s">
        <v>909</v>
      </c>
    </row>
    <row r="26" spans="1:12" s="85" customFormat="1" x14ac:dyDescent="0.2">
      <c r="A26" s="86"/>
      <c r="B26" s="86"/>
      <c r="C26" s="132"/>
      <c r="D26" s="86" t="s">
        <v>855</v>
      </c>
      <c r="E26" s="86">
        <v>3</v>
      </c>
      <c r="F26" s="86" t="s">
        <v>43</v>
      </c>
      <c r="H26" s="86" t="s">
        <v>43</v>
      </c>
      <c r="I26" s="143"/>
      <c r="J26" s="86"/>
      <c r="K26" s="143"/>
      <c r="L26" s="86"/>
    </row>
    <row r="27" spans="1:12" s="85" customFormat="1" x14ac:dyDescent="0.2">
      <c r="A27" s="86"/>
      <c r="B27" s="86"/>
      <c r="C27" s="132"/>
      <c r="D27" s="86"/>
      <c r="E27" s="86"/>
      <c r="F27" s="86"/>
      <c r="H27" s="86"/>
      <c r="I27" s="143"/>
      <c r="J27" s="86"/>
      <c r="K27" s="143"/>
      <c r="L27" s="86"/>
    </row>
    <row r="28" spans="1:12" s="85" customFormat="1" x14ac:dyDescent="0.2">
      <c r="A28" s="86"/>
      <c r="B28" s="86"/>
      <c r="C28" s="132"/>
      <c r="D28" s="86" t="s">
        <v>856</v>
      </c>
      <c r="E28" s="86">
        <v>4</v>
      </c>
      <c r="F28" s="86" t="s">
        <v>43</v>
      </c>
      <c r="H28" s="86">
        <v>2</v>
      </c>
      <c r="I28" s="143" t="s">
        <v>947</v>
      </c>
      <c r="J28" s="86"/>
      <c r="K28" s="143" t="s">
        <v>897</v>
      </c>
      <c r="L28" s="86" t="s">
        <v>916</v>
      </c>
    </row>
    <row r="29" spans="1:12" s="85" customFormat="1" x14ac:dyDescent="0.2">
      <c r="A29" s="86"/>
      <c r="B29" s="86"/>
      <c r="C29" s="132"/>
      <c r="D29" s="86" t="s">
        <v>857</v>
      </c>
      <c r="E29" s="86">
        <v>5</v>
      </c>
      <c r="F29" s="86" t="s">
        <v>43</v>
      </c>
      <c r="H29" s="86">
        <v>1</v>
      </c>
      <c r="I29" s="143"/>
      <c r="J29" s="86"/>
      <c r="K29" s="143"/>
      <c r="L29" s="86"/>
    </row>
    <row r="30" spans="1:12" s="85" customFormat="1" x14ac:dyDescent="0.2">
      <c r="A30" s="86"/>
      <c r="B30" s="86"/>
      <c r="C30" s="132"/>
      <c r="D30" s="86"/>
      <c r="E30" s="86"/>
      <c r="F30" s="86"/>
      <c r="H30" s="86"/>
      <c r="I30" s="143"/>
      <c r="J30" s="86"/>
      <c r="K30" s="143"/>
      <c r="L30" s="86"/>
    </row>
    <row r="31" spans="1:12" s="85" customFormat="1" x14ac:dyDescent="0.2">
      <c r="A31" s="86" t="s">
        <v>842</v>
      </c>
      <c r="B31" s="86"/>
      <c r="C31" s="132"/>
      <c r="D31" s="86" t="s">
        <v>853</v>
      </c>
      <c r="E31" s="86">
        <v>1</v>
      </c>
      <c r="F31" s="86" t="s">
        <v>43</v>
      </c>
      <c r="H31" s="86">
        <v>4</v>
      </c>
      <c r="I31" s="143"/>
      <c r="J31" s="86"/>
      <c r="K31" s="143"/>
      <c r="L31" s="86"/>
    </row>
    <row r="32" spans="1:12" s="85" customFormat="1" x14ac:dyDescent="0.2">
      <c r="A32" s="86"/>
      <c r="B32" s="86"/>
      <c r="C32" s="132"/>
      <c r="D32" s="86" t="s">
        <v>854</v>
      </c>
      <c r="E32" s="86">
        <v>2</v>
      </c>
      <c r="F32" s="86" t="s">
        <v>43</v>
      </c>
      <c r="H32" s="86">
        <v>3</v>
      </c>
      <c r="I32" s="143" t="s">
        <v>948</v>
      </c>
      <c r="J32" s="86"/>
      <c r="K32" s="143" t="s">
        <v>898</v>
      </c>
      <c r="L32" s="86" t="s">
        <v>910</v>
      </c>
    </row>
    <row r="33" spans="1:12" s="85" customFormat="1" x14ac:dyDescent="0.2">
      <c r="A33" s="86"/>
      <c r="B33" s="86"/>
      <c r="C33" s="132"/>
      <c r="D33" s="86"/>
      <c r="E33" s="86"/>
      <c r="F33" s="86"/>
      <c r="H33" s="86"/>
      <c r="I33" s="143"/>
      <c r="J33" s="86"/>
      <c r="K33" s="143"/>
      <c r="L33" s="86"/>
    </row>
    <row r="34" spans="1:12" s="85" customFormat="1" x14ac:dyDescent="0.2">
      <c r="A34" s="86"/>
      <c r="B34" s="86"/>
      <c r="C34" s="132"/>
      <c r="D34" s="86" t="s">
        <v>855</v>
      </c>
      <c r="E34" s="86">
        <v>3</v>
      </c>
      <c r="F34" s="86" t="s">
        <v>43</v>
      </c>
      <c r="H34" s="86" t="s">
        <v>43</v>
      </c>
      <c r="I34" s="143"/>
      <c r="J34" s="86"/>
      <c r="K34" s="143"/>
      <c r="L34" s="86"/>
    </row>
    <row r="35" spans="1:12" s="85" customFormat="1" x14ac:dyDescent="0.2">
      <c r="A35" s="86"/>
      <c r="B35" s="86"/>
      <c r="C35" s="132"/>
      <c r="D35" s="86" t="s">
        <v>856</v>
      </c>
      <c r="E35" s="86">
        <v>4</v>
      </c>
      <c r="F35" s="86" t="s">
        <v>43</v>
      </c>
      <c r="H35" s="86">
        <v>2</v>
      </c>
      <c r="I35" s="143" t="s">
        <v>949</v>
      </c>
      <c r="J35" s="86"/>
      <c r="K35" s="143" t="s">
        <v>899</v>
      </c>
      <c r="L35" s="86" t="s">
        <v>916</v>
      </c>
    </row>
    <row r="36" spans="1:12" s="85" customFormat="1" x14ac:dyDescent="0.2">
      <c r="A36" s="86"/>
      <c r="B36" s="86"/>
      <c r="C36" s="132"/>
      <c r="D36" s="86" t="s">
        <v>857</v>
      </c>
      <c r="E36" s="86">
        <v>5</v>
      </c>
      <c r="F36" s="86" t="s">
        <v>43</v>
      </c>
      <c r="H36" s="86">
        <v>1</v>
      </c>
      <c r="I36" s="143"/>
      <c r="J36" s="86"/>
      <c r="K36" s="143"/>
      <c r="L36" s="86"/>
    </row>
    <row r="37" spans="1:12" s="85" customFormat="1" x14ac:dyDescent="0.2">
      <c r="A37" s="86"/>
      <c r="B37" s="86"/>
      <c r="C37" s="132"/>
      <c r="D37" s="86"/>
      <c r="E37" s="86"/>
      <c r="F37" s="86"/>
      <c r="H37" s="86"/>
      <c r="I37" s="143"/>
      <c r="J37" s="86"/>
      <c r="K37" s="143"/>
      <c r="L37" s="86"/>
    </row>
    <row r="38" spans="1:12" s="85" customFormat="1" x14ac:dyDescent="0.2">
      <c r="A38" s="86" t="s">
        <v>843</v>
      </c>
      <c r="B38" s="86"/>
      <c r="C38" s="132"/>
      <c r="D38" s="86" t="s">
        <v>853</v>
      </c>
      <c r="E38" s="86">
        <v>1</v>
      </c>
      <c r="F38" s="86" t="s">
        <v>43</v>
      </c>
      <c r="H38" s="86">
        <v>4</v>
      </c>
      <c r="I38" s="143"/>
      <c r="J38" s="86"/>
      <c r="K38" s="143"/>
      <c r="L38" s="86"/>
    </row>
    <row r="39" spans="1:12" s="85" customFormat="1" x14ac:dyDescent="0.2">
      <c r="A39" s="86"/>
      <c r="B39" s="86"/>
      <c r="C39" s="132"/>
      <c r="D39" s="86"/>
      <c r="E39" s="86"/>
      <c r="F39" s="86"/>
      <c r="H39" s="86"/>
      <c r="I39" s="143"/>
      <c r="J39" s="86"/>
      <c r="K39" s="143"/>
      <c r="L39" s="86"/>
    </row>
    <row r="40" spans="1:12" s="85" customFormat="1" x14ac:dyDescent="0.2">
      <c r="A40" s="86"/>
      <c r="B40" s="86"/>
      <c r="C40" s="132"/>
      <c r="D40" s="86" t="s">
        <v>854</v>
      </c>
      <c r="E40" s="86">
        <v>2</v>
      </c>
      <c r="F40" s="86" t="s">
        <v>43</v>
      </c>
      <c r="H40" s="86">
        <v>3</v>
      </c>
      <c r="I40" s="143" t="s">
        <v>950</v>
      </c>
      <c r="J40" s="86"/>
      <c r="K40" s="143" t="s">
        <v>900</v>
      </c>
      <c r="L40" s="86" t="s">
        <v>911</v>
      </c>
    </row>
    <row r="41" spans="1:12" s="85" customFormat="1" x14ac:dyDescent="0.2">
      <c r="A41" s="86"/>
      <c r="B41" s="86"/>
      <c r="C41" s="132"/>
      <c r="D41" s="86" t="s">
        <v>855</v>
      </c>
      <c r="E41" s="86">
        <v>3</v>
      </c>
      <c r="F41" s="86" t="s">
        <v>43</v>
      </c>
      <c r="H41" s="86" t="s">
        <v>43</v>
      </c>
      <c r="I41" s="143"/>
      <c r="J41" s="86"/>
      <c r="K41" s="143"/>
      <c r="L41" s="86"/>
    </row>
    <row r="42" spans="1:12" s="85" customFormat="1" x14ac:dyDescent="0.2">
      <c r="A42" s="86"/>
      <c r="B42" s="86"/>
      <c r="C42" s="132"/>
      <c r="D42" s="86" t="s">
        <v>856</v>
      </c>
      <c r="E42" s="86">
        <v>4</v>
      </c>
      <c r="F42" s="86" t="s">
        <v>43</v>
      </c>
      <c r="H42" s="86">
        <v>2</v>
      </c>
      <c r="I42" s="143" t="s">
        <v>951</v>
      </c>
      <c r="J42" s="86"/>
      <c r="K42" s="143" t="s">
        <v>901</v>
      </c>
      <c r="L42" s="86" t="s">
        <v>916</v>
      </c>
    </row>
    <row r="43" spans="1:12" s="85" customFormat="1" x14ac:dyDescent="0.2">
      <c r="A43" s="86"/>
      <c r="B43" s="86"/>
      <c r="C43" s="132"/>
      <c r="D43" s="86" t="s">
        <v>857</v>
      </c>
      <c r="E43" s="86">
        <v>5</v>
      </c>
      <c r="F43" s="86" t="s">
        <v>43</v>
      </c>
      <c r="H43" s="86">
        <v>1</v>
      </c>
      <c r="I43" s="143"/>
      <c r="J43" s="86"/>
      <c r="K43" s="143"/>
      <c r="L43" s="86"/>
    </row>
    <row r="44" spans="1:12" s="85" customFormat="1" x14ac:dyDescent="0.2">
      <c r="A44" s="86"/>
      <c r="B44" s="86"/>
      <c r="C44" s="132"/>
      <c r="D44" s="86"/>
      <c r="E44" s="86"/>
      <c r="F44" s="86"/>
      <c r="H44" s="86"/>
      <c r="I44" s="143"/>
      <c r="J44" s="86"/>
      <c r="K44" s="143"/>
      <c r="L44" s="86"/>
    </row>
    <row r="45" spans="1:12" s="85" customFormat="1" x14ac:dyDescent="0.2">
      <c r="A45" s="86"/>
      <c r="B45" s="86"/>
      <c r="C45" s="132"/>
      <c r="D45" s="86"/>
      <c r="E45" s="86"/>
      <c r="F45" s="86"/>
      <c r="H45" s="86"/>
      <c r="I45" s="143"/>
      <c r="J45" s="86"/>
      <c r="K45" s="143"/>
      <c r="L45" s="86"/>
    </row>
    <row r="46" spans="1:12" s="85" customFormat="1" x14ac:dyDescent="0.2">
      <c r="A46" s="86" t="s">
        <v>530</v>
      </c>
      <c r="B46" s="86"/>
      <c r="C46" s="132"/>
      <c r="D46" s="86" t="s">
        <v>853</v>
      </c>
      <c r="E46" s="86">
        <v>1</v>
      </c>
      <c r="F46" s="86" t="s">
        <v>43</v>
      </c>
      <c r="H46" s="86">
        <v>4</v>
      </c>
      <c r="I46" s="143"/>
      <c r="J46" s="86"/>
      <c r="K46" s="143"/>
      <c r="L46" s="86"/>
    </row>
    <row r="47" spans="1:12" s="85" customFormat="1" x14ac:dyDescent="0.2">
      <c r="A47" s="86"/>
      <c r="B47" s="86"/>
      <c r="C47" s="132"/>
      <c r="D47" s="86" t="s">
        <v>854</v>
      </c>
      <c r="E47" s="86">
        <v>2</v>
      </c>
      <c r="F47" s="86" t="s">
        <v>43</v>
      </c>
      <c r="H47" s="86">
        <v>3</v>
      </c>
      <c r="I47" s="143" t="s">
        <v>952</v>
      </c>
      <c r="J47" s="86"/>
      <c r="K47" s="143" t="s">
        <v>902</v>
      </c>
      <c r="L47" s="86" t="s">
        <v>912</v>
      </c>
    </row>
    <row r="48" spans="1:12" s="85" customFormat="1" x14ac:dyDescent="0.2">
      <c r="A48" s="86"/>
      <c r="B48" s="86"/>
      <c r="C48" s="132"/>
      <c r="D48" s="86" t="s">
        <v>855</v>
      </c>
      <c r="E48" s="86">
        <v>3</v>
      </c>
      <c r="F48" s="86" t="s">
        <v>43</v>
      </c>
      <c r="H48" s="86" t="s">
        <v>43</v>
      </c>
      <c r="I48" s="143"/>
      <c r="J48" s="86"/>
      <c r="K48" s="143"/>
      <c r="L48" s="86"/>
    </row>
    <row r="49" spans="1:12" s="85" customFormat="1" x14ac:dyDescent="0.2">
      <c r="A49" s="86"/>
      <c r="B49" s="86"/>
      <c r="C49" s="132"/>
      <c r="D49" s="86" t="s">
        <v>856</v>
      </c>
      <c r="E49" s="86">
        <v>4</v>
      </c>
      <c r="F49" s="86" t="s">
        <v>43</v>
      </c>
      <c r="H49" s="86">
        <v>2</v>
      </c>
      <c r="I49" s="143" t="s">
        <v>953</v>
      </c>
      <c r="J49" s="86"/>
      <c r="K49" s="143" t="s">
        <v>903</v>
      </c>
      <c r="L49" s="86" t="s">
        <v>916</v>
      </c>
    </row>
    <row r="50" spans="1:12" s="85" customFormat="1" x14ac:dyDescent="0.2">
      <c r="A50" s="86"/>
      <c r="B50" s="86"/>
      <c r="C50" s="132"/>
      <c r="D50" s="86" t="s">
        <v>857</v>
      </c>
      <c r="E50" s="86">
        <v>5</v>
      </c>
      <c r="F50" s="86" t="s">
        <v>43</v>
      </c>
      <c r="H50" s="86">
        <v>1</v>
      </c>
      <c r="I50" s="143"/>
      <c r="J50" s="86"/>
      <c r="K50" s="143"/>
      <c r="L50" s="86"/>
    </row>
    <row r="51" spans="1:12" s="85" customFormat="1" x14ac:dyDescent="0.2">
      <c r="A51" s="86"/>
      <c r="B51" s="86"/>
      <c r="C51" s="132"/>
      <c r="D51" s="86"/>
      <c r="E51" s="86"/>
      <c r="F51" s="86"/>
      <c r="H51" s="86"/>
      <c r="I51" s="143"/>
      <c r="J51" s="86"/>
      <c r="K51" s="143"/>
      <c r="L51" s="86"/>
    </row>
    <row r="52" spans="1:12" s="85" customFormat="1" x14ac:dyDescent="0.2">
      <c r="A52" s="86"/>
      <c r="B52" s="86"/>
      <c r="C52" s="132"/>
      <c r="D52" s="86"/>
      <c r="E52" s="86"/>
      <c r="F52" s="86"/>
      <c r="H52" s="86"/>
      <c r="I52" s="143"/>
      <c r="J52" s="86"/>
      <c r="K52" s="143"/>
      <c r="L52" s="86"/>
    </row>
    <row r="53" spans="1:12" s="85" customFormat="1" x14ac:dyDescent="0.2">
      <c r="A53" s="86" t="s">
        <v>844</v>
      </c>
      <c r="B53" s="86"/>
      <c r="C53" s="132"/>
      <c r="D53" s="86" t="s">
        <v>853</v>
      </c>
      <c r="E53" s="86">
        <v>1</v>
      </c>
      <c r="F53" s="86" t="s">
        <v>43</v>
      </c>
      <c r="H53" s="86">
        <v>4</v>
      </c>
      <c r="I53" s="143"/>
      <c r="J53" s="86"/>
      <c r="K53" s="143"/>
      <c r="L53" s="86"/>
    </row>
    <row r="54" spans="1:12" s="85" customFormat="1" x14ac:dyDescent="0.2">
      <c r="A54" s="86"/>
      <c r="B54" s="86"/>
      <c r="C54" s="132"/>
      <c r="D54" s="86" t="s">
        <v>854</v>
      </c>
      <c r="E54" s="86">
        <v>2</v>
      </c>
      <c r="F54" s="86" t="s">
        <v>43</v>
      </c>
      <c r="H54" s="86">
        <v>3</v>
      </c>
      <c r="I54" s="143" t="s">
        <v>954</v>
      </c>
      <c r="J54" s="86"/>
      <c r="K54" s="143" t="s">
        <v>904</v>
      </c>
      <c r="L54" s="86" t="s">
        <v>913</v>
      </c>
    </row>
    <row r="55" spans="1:12" s="85" customFormat="1" x14ac:dyDescent="0.2">
      <c r="A55" s="86"/>
      <c r="B55" s="86"/>
      <c r="C55" s="132"/>
      <c r="D55" s="86" t="s">
        <v>855</v>
      </c>
      <c r="E55" s="86">
        <v>3</v>
      </c>
      <c r="F55" s="86" t="s">
        <v>43</v>
      </c>
      <c r="H55" s="86" t="s">
        <v>43</v>
      </c>
      <c r="I55" s="143"/>
      <c r="J55" s="86"/>
      <c r="K55" s="143"/>
      <c r="L55" s="86"/>
    </row>
    <row r="56" spans="1:12" s="85" customFormat="1" x14ac:dyDescent="0.2">
      <c r="A56" s="86"/>
      <c r="B56" s="86"/>
      <c r="C56" s="132"/>
      <c r="D56" s="86" t="s">
        <v>856</v>
      </c>
      <c r="E56" s="86">
        <v>4</v>
      </c>
      <c r="F56" s="86" t="s">
        <v>43</v>
      </c>
      <c r="H56" s="86">
        <v>2</v>
      </c>
      <c r="I56" s="143" t="s">
        <v>955</v>
      </c>
      <c r="J56" s="86"/>
      <c r="K56" s="143" t="s">
        <v>905</v>
      </c>
      <c r="L56" s="86" t="s">
        <v>916</v>
      </c>
    </row>
    <row r="57" spans="1:12" s="85" customFormat="1" x14ac:dyDescent="0.2">
      <c r="A57" s="86"/>
      <c r="B57" s="86"/>
      <c r="C57" s="132"/>
      <c r="D57" s="86" t="s">
        <v>857</v>
      </c>
      <c r="E57" s="86">
        <v>5</v>
      </c>
      <c r="F57" s="86" t="s">
        <v>43</v>
      </c>
      <c r="H57" s="86">
        <v>1</v>
      </c>
      <c r="I57" s="143"/>
      <c r="J57" s="86"/>
      <c r="K57" s="143"/>
      <c r="L57" s="86"/>
    </row>
    <row r="58" spans="1:12" s="85" customFormat="1" x14ac:dyDescent="0.2">
      <c r="A58" s="86"/>
      <c r="B58" s="86"/>
      <c r="C58" s="132"/>
      <c r="D58" s="86"/>
      <c r="E58" s="86"/>
      <c r="F58" s="86"/>
      <c r="H58" s="86"/>
      <c r="I58" s="143"/>
      <c r="J58" s="86"/>
      <c r="K58" s="143"/>
      <c r="L58" s="86"/>
    </row>
    <row r="59" spans="1:12" s="85" customFormat="1" x14ac:dyDescent="0.2">
      <c r="A59" s="86" t="s">
        <v>845</v>
      </c>
      <c r="B59" s="86"/>
      <c r="C59" s="132"/>
      <c r="D59" s="86" t="s">
        <v>853</v>
      </c>
      <c r="E59" s="86">
        <v>1</v>
      </c>
      <c r="F59" s="86" t="s">
        <v>43</v>
      </c>
      <c r="H59" s="86">
        <v>4</v>
      </c>
      <c r="I59" s="143"/>
      <c r="J59" s="86"/>
    </row>
    <row r="60" spans="1:12" s="85" customFormat="1" x14ac:dyDescent="0.2">
      <c r="A60" s="86"/>
      <c r="B60" s="86"/>
      <c r="C60" s="132"/>
      <c r="D60" s="86" t="s">
        <v>854</v>
      </c>
      <c r="E60" s="86">
        <v>2</v>
      </c>
      <c r="F60" s="86" t="s">
        <v>43</v>
      </c>
      <c r="H60" s="86">
        <v>3</v>
      </c>
      <c r="I60" s="143" t="s">
        <v>956</v>
      </c>
      <c r="J60" s="86"/>
      <c r="K60" s="143" t="s">
        <v>906</v>
      </c>
      <c r="L60" s="86" t="s">
        <v>914</v>
      </c>
    </row>
    <row r="61" spans="1:12" s="85" customFormat="1" x14ac:dyDescent="0.2">
      <c r="A61" s="86"/>
      <c r="B61" s="86"/>
      <c r="C61" s="132"/>
      <c r="D61" s="86" t="s">
        <v>855</v>
      </c>
      <c r="E61" s="86">
        <v>3</v>
      </c>
      <c r="F61" s="86" t="s">
        <v>43</v>
      </c>
      <c r="H61" s="86" t="s">
        <v>43</v>
      </c>
      <c r="I61" s="143"/>
      <c r="J61" s="86"/>
    </row>
    <row r="62" spans="1:12" s="85" customFormat="1" x14ac:dyDescent="0.2">
      <c r="A62" s="86"/>
      <c r="B62" s="86"/>
      <c r="C62" s="132"/>
      <c r="D62" s="86" t="s">
        <v>856</v>
      </c>
      <c r="E62" s="86">
        <v>4</v>
      </c>
      <c r="F62" s="86" t="s">
        <v>43</v>
      </c>
      <c r="H62" s="86">
        <v>2</v>
      </c>
      <c r="I62" s="143" t="s">
        <v>957</v>
      </c>
      <c r="J62" s="86"/>
      <c r="K62" s="143" t="s">
        <v>907</v>
      </c>
      <c r="L62" s="86" t="s">
        <v>916</v>
      </c>
    </row>
    <row r="63" spans="1:12" s="85" customFormat="1" x14ac:dyDescent="0.2">
      <c r="A63" s="86"/>
      <c r="B63" s="86"/>
      <c r="C63" s="132"/>
      <c r="D63" s="86" t="s">
        <v>857</v>
      </c>
      <c r="E63" s="86">
        <v>5</v>
      </c>
      <c r="F63" s="86" t="s">
        <v>43</v>
      </c>
      <c r="H63" s="86">
        <v>1</v>
      </c>
      <c r="I63" s="143"/>
      <c r="J63" s="86"/>
    </row>
    <row r="64" spans="1:12" s="85" customFormat="1" x14ac:dyDescent="0.2">
      <c r="A64" s="86"/>
      <c r="B64" s="86"/>
      <c r="C64" s="132"/>
      <c r="D64" s="86"/>
      <c r="E64" s="86"/>
      <c r="F64" s="86"/>
      <c r="H64" s="86"/>
      <c r="I64" s="143"/>
      <c r="J64" s="86"/>
    </row>
    <row r="65" spans="1:12" s="85" customFormat="1" x14ac:dyDescent="0.2">
      <c r="A65" s="86" t="s">
        <v>618</v>
      </c>
      <c r="B65" s="86"/>
      <c r="C65" s="132"/>
      <c r="D65" s="86" t="s">
        <v>853</v>
      </c>
      <c r="E65" s="86">
        <v>1</v>
      </c>
      <c r="F65" s="86" t="s">
        <v>43</v>
      </c>
      <c r="H65" s="86">
        <v>4</v>
      </c>
      <c r="I65" s="143"/>
      <c r="J65" s="86"/>
      <c r="K65" s="143"/>
      <c r="L65" s="86"/>
    </row>
    <row r="66" spans="1:12" s="85" customFormat="1" x14ac:dyDescent="0.2">
      <c r="A66" s="86"/>
      <c r="B66" s="86"/>
      <c r="C66" s="132"/>
      <c r="D66" s="86" t="s">
        <v>854</v>
      </c>
      <c r="E66" s="86">
        <v>2</v>
      </c>
      <c r="F66" s="86" t="s">
        <v>43</v>
      </c>
      <c r="H66" s="86">
        <v>3</v>
      </c>
      <c r="I66" s="143" t="s">
        <v>958</v>
      </c>
      <c r="J66" s="86"/>
      <c r="K66" s="143" t="s">
        <v>924</v>
      </c>
      <c r="L66" s="86" t="s">
        <v>915</v>
      </c>
    </row>
    <row r="67" spans="1:12" s="85" customFormat="1" x14ac:dyDescent="0.2">
      <c r="A67" s="86"/>
      <c r="B67" s="86"/>
      <c r="C67" s="132"/>
      <c r="D67" s="86" t="s">
        <v>855</v>
      </c>
      <c r="E67" s="86">
        <v>3</v>
      </c>
      <c r="F67" s="86" t="s">
        <v>43</v>
      </c>
      <c r="H67" s="86" t="s">
        <v>43</v>
      </c>
      <c r="I67" s="143"/>
      <c r="J67" s="86"/>
      <c r="K67" s="143"/>
      <c r="L67" s="86"/>
    </row>
    <row r="68" spans="1:12" s="85" customFormat="1" x14ac:dyDescent="0.2">
      <c r="A68" s="86"/>
      <c r="B68" s="86"/>
      <c r="C68" s="132"/>
      <c r="D68" s="86" t="s">
        <v>856</v>
      </c>
      <c r="E68" s="86">
        <v>4</v>
      </c>
      <c r="F68" s="86" t="s">
        <v>43</v>
      </c>
      <c r="H68" s="86">
        <v>2</v>
      </c>
      <c r="I68" s="143" t="s">
        <v>959</v>
      </c>
      <c r="J68" s="86"/>
      <c r="K68" s="143" t="s">
        <v>925</v>
      </c>
      <c r="L68" s="86" t="s">
        <v>917</v>
      </c>
    </row>
    <row r="69" spans="1:12" s="85" customFormat="1" x14ac:dyDescent="0.2">
      <c r="A69" s="86"/>
      <c r="B69" s="86"/>
      <c r="C69" s="132"/>
      <c r="D69" s="86" t="s">
        <v>857</v>
      </c>
      <c r="E69" s="86">
        <v>5</v>
      </c>
      <c r="F69" s="86" t="s">
        <v>43</v>
      </c>
      <c r="H69" s="86">
        <v>1</v>
      </c>
      <c r="I69" s="143"/>
      <c r="J69" s="86"/>
      <c r="K69" s="143"/>
      <c r="L69" s="86"/>
    </row>
    <row r="70" spans="1:12" s="85" customFormat="1" x14ac:dyDescent="0.2">
      <c r="A70" s="86"/>
      <c r="B70" s="86"/>
      <c r="C70" s="132"/>
      <c r="D70" s="86"/>
      <c r="E70" s="86"/>
      <c r="F70" s="86"/>
      <c r="H70" s="86"/>
      <c r="I70" s="143"/>
      <c r="J70" s="86"/>
      <c r="K70" s="143"/>
      <c r="L70" s="86"/>
    </row>
    <row r="71" spans="1:12" s="85" customFormat="1" x14ac:dyDescent="0.2">
      <c r="A71" s="86" t="s">
        <v>846</v>
      </c>
      <c r="B71" s="86"/>
      <c r="C71" s="132"/>
      <c r="D71" s="86" t="s">
        <v>853</v>
      </c>
      <c r="E71" s="86">
        <v>1</v>
      </c>
      <c r="F71" s="86" t="s">
        <v>43</v>
      </c>
      <c r="H71" s="86">
        <v>4</v>
      </c>
      <c r="I71" s="143"/>
      <c r="J71" s="86"/>
      <c r="K71" s="143"/>
      <c r="L71" s="86"/>
    </row>
    <row r="72" spans="1:12" s="85" customFormat="1" x14ac:dyDescent="0.2">
      <c r="A72" s="86"/>
      <c r="B72" s="86"/>
      <c r="C72" s="132"/>
      <c r="D72" s="86" t="s">
        <v>854</v>
      </c>
      <c r="E72" s="86">
        <v>2</v>
      </c>
      <c r="F72" s="86" t="s">
        <v>43</v>
      </c>
      <c r="H72" s="86">
        <v>3</v>
      </c>
      <c r="I72" s="143" t="s">
        <v>960</v>
      </c>
      <c r="J72" s="86"/>
      <c r="K72" s="143" t="s">
        <v>926</v>
      </c>
      <c r="L72" s="86" t="s">
        <v>918</v>
      </c>
    </row>
    <row r="73" spans="1:12" s="85" customFormat="1" x14ac:dyDescent="0.2">
      <c r="A73" s="86"/>
      <c r="B73" s="86"/>
      <c r="C73" s="132"/>
      <c r="D73" s="86" t="s">
        <v>855</v>
      </c>
      <c r="E73" s="86">
        <v>3</v>
      </c>
      <c r="F73" s="86" t="s">
        <v>43</v>
      </c>
      <c r="H73" s="86" t="s">
        <v>43</v>
      </c>
      <c r="I73" s="143"/>
      <c r="J73" s="86"/>
      <c r="K73" s="143"/>
      <c r="L73" s="86"/>
    </row>
    <row r="74" spans="1:12" s="85" customFormat="1" x14ac:dyDescent="0.2">
      <c r="A74" s="86"/>
      <c r="B74" s="86"/>
      <c r="C74" s="132"/>
      <c r="D74" s="86" t="s">
        <v>856</v>
      </c>
      <c r="E74" s="86">
        <v>4</v>
      </c>
      <c r="F74" s="86" t="s">
        <v>43</v>
      </c>
      <c r="H74" s="86">
        <v>2</v>
      </c>
      <c r="I74" s="143" t="s">
        <v>961</v>
      </c>
      <c r="J74" s="86"/>
      <c r="K74" s="143" t="s">
        <v>927</v>
      </c>
      <c r="L74" s="86" t="s">
        <v>917</v>
      </c>
    </row>
    <row r="75" spans="1:12" s="85" customFormat="1" x14ac:dyDescent="0.2">
      <c r="A75" s="86"/>
      <c r="B75" s="86"/>
      <c r="C75" s="132"/>
      <c r="D75" s="86" t="s">
        <v>857</v>
      </c>
      <c r="E75" s="86">
        <v>5</v>
      </c>
      <c r="F75" s="86" t="s">
        <v>43</v>
      </c>
      <c r="H75" s="86">
        <v>1</v>
      </c>
      <c r="I75" s="143"/>
      <c r="J75" s="86"/>
      <c r="K75" s="143"/>
      <c r="L75" s="86"/>
    </row>
    <row r="76" spans="1:12" s="85" customFormat="1" x14ac:dyDescent="0.2">
      <c r="A76" s="86"/>
      <c r="B76" s="86"/>
      <c r="C76" s="132"/>
      <c r="D76" s="86"/>
      <c r="E76" s="86"/>
      <c r="F76" s="86"/>
      <c r="H76" s="86"/>
      <c r="I76" s="143"/>
      <c r="J76" s="86"/>
      <c r="K76" s="143"/>
      <c r="L76" s="86"/>
    </row>
    <row r="77" spans="1:12" s="85" customFormat="1" x14ac:dyDescent="0.2">
      <c r="A77" s="86" t="s">
        <v>847</v>
      </c>
      <c r="B77" s="86"/>
      <c r="C77" s="132"/>
      <c r="D77" s="86" t="s">
        <v>853</v>
      </c>
      <c r="E77" s="86">
        <v>1</v>
      </c>
      <c r="F77" s="86" t="s">
        <v>43</v>
      </c>
      <c r="H77" s="86">
        <v>4</v>
      </c>
      <c r="I77" s="143"/>
      <c r="J77" s="86"/>
      <c r="K77" s="143"/>
      <c r="L77" s="86"/>
    </row>
    <row r="78" spans="1:12" s="85" customFormat="1" x14ac:dyDescent="0.2">
      <c r="A78" s="86"/>
      <c r="B78" s="86"/>
      <c r="C78" s="132"/>
      <c r="D78" s="86" t="s">
        <v>854</v>
      </c>
      <c r="E78" s="86">
        <v>2</v>
      </c>
      <c r="F78" s="86" t="s">
        <v>43</v>
      </c>
      <c r="H78" s="86">
        <v>3</v>
      </c>
      <c r="I78" s="143" t="s">
        <v>962</v>
      </c>
      <c r="J78" s="86"/>
      <c r="K78" s="143" t="s">
        <v>928</v>
      </c>
      <c r="L78" s="86" t="s">
        <v>919</v>
      </c>
    </row>
    <row r="79" spans="1:12" s="85" customFormat="1" x14ac:dyDescent="0.2">
      <c r="A79" s="86"/>
      <c r="B79" s="86"/>
      <c r="C79" s="132"/>
      <c r="D79" s="86" t="s">
        <v>855</v>
      </c>
      <c r="E79" s="86">
        <v>3</v>
      </c>
      <c r="F79" s="86" t="s">
        <v>43</v>
      </c>
      <c r="H79" s="86" t="s">
        <v>43</v>
      </c>
      <c r="I79" s="143"/>
      <c r="J79" s="86"/>
      <c r="K79" s="143"/>
      <c r="L79" s="86"/>
    </row>
    <row r="80" spans="1:12" s="85" customFormat="1" x14ac:dyDescent="0.2">
      <c r="A80" s="86"/>
      <c r="B80" s="86"/>
      <c r="C80" s="132"/>
      <c r="D80" s="86" t="s">
        <v>856</v>
      </c>
      <c r="E80" s="86">
        <v>4</v>
      </c>
      <c r="F80" s="86" t="s">
        <v>43</v>
      </c>
      <c r="H80" s="86">
        <v>2</v>
      </c>
      <c r="I80" s="143" t="s">
        <v>963</v>
      </c>
      <c r="J80" s="86"/>
      <c r="K80" s="143" t="s">
        <v>929</v>
      </c>
      <c r="L80" s="86" t="s">
        <v>917</v>
      </c>
    </row>
    <row r="81" spans="1:12" s="85" customFormat="1" x14ac:dyDescent="0.2">
      <c r="A81" s="86"/>
      <c r="B81" s="86"/>
      <c r="C81" s="132"/>
      <c r="D81" s="86" t="s">
        <v>857</v>
      </c>
      <c r="E81" s="86">
        <v>5</v>
      </c>
      <c r="F81" s="86" t="s">
        <v>43</v>
      </c>
      <c r="H81" s="86">
        <v>1</v>
      </c>
      <c r="I81" s="143"/>
      <c r="J81" s="86"/>
      <c r="K81" s="143"/>
      <c r="L81" s="86"/>
    </row>
    <row r="82" spans="1:12" s="85" customFormat="1" x14ac:dyDescent="0.2">
      <c r="A82" s="86"/>
      <c r="B82" s="86"/>
      <c r="C82" s="132"/>
      <c r="D82" s="86"/>
      <c r="E82" s="86"/>
      <c r="F82" s="86"/>
      <c r="H82" s="86"/>
      <c r="I82" s="143"/>
      <c r="J82" s="86"/>
      <c r="K82" s="143"/>
      <c r="L82" s="86"/>
    </row>
    <row r="83" spans="1:12" s="85" customFormat="1" x14ac:dyDescent="0.2">
      <c r="A83" s="86" t="s">
        <v>848</v>
      </c>
      <c r="B83" s="86"/>
      <c r="C83" s="132"/>
      <c r="D83" s="86" t="s">
        <v>853</v>
      </c>
      <c r="E83" s="86">
        <v>1</v>
      </c>
      <c r="F83" s="86" t="s">
        <v>43</v>
      </c>
      <c r="H83" s="86">
        <v>4</v>
      </c>
      <c r="I83" s="143"/>
      <c r="J83" s="86"/>
      <c r="K83" s="143"/>
      <c r="L83" s="86"/>
    </row>
    <row r="84" spans="1:12" s="85" customFormat="1" x14ac:dyDescent="0.2">
      <c r="A84" s="86"/>
      <c r="B84" s="86"/>
      <c r="C84" s="132"/>
      <c r="D84" s="86" t="s">
        <v>854</v>
      </c>
      <c r="E84" s="86">
        <v>2</v>
      </c>
      <c r="F84" s="86" t="s">
        <v>43</v>
      </c>
      <c r="H84" s="86">
        <v>3</v>
      </c>
      <c r="I84" s="143" t="s">
        <v>964</v>
      </c>
      <c r="J84" s="86"/>
      <c r="K84" s="143" t="s">
        <v>930</v>
      </c>
      <c r="L84" s="86" t="s">
        <v>920</v>
      </c>
    </row>
    <row r="85" spans="1:12" s="85" customFormat="1" x14ac:dyDescent="0.2">
      <c r="A85" s="86"/>
      <c r="B85" s="86"/>
      <c r="C85" s="132"/>
      <c r="D85" s="86" t="s">
        <v>855</v>
      </c>
      <c r="E85" s="86">
        <v>3</v>
      </c>
      <c r="F85" s="86" t="s">
        <v>43</v>
      </c>
      <c r="H85" s="86" t="s">
        <v>43</v>
      </c>
      <c r="I85" s="143"/>
      <c r="J85" s="86"/>
      <c r="K85" s="143"/>
      <c r="L85" s="86"/>
    </row>
    <row r="86" spans="1:12" s="85" customFormat="1" x14ac:dyDescent="0.2">
      <c r="A86" s="86"/>
      <c r="B86" s="86"/>
      <c r="C86" s="132"/>
      <c r="D86" s="86" t="s">
        <v>856</v>
      </c>
      <c r="E86" s="86">
        <v>4</v>
      </c>
      <c r="F86" s="86" t="s">
        <v>43</v>
      </c>
      <c r="H86" s="86">
        <v>2</v>
      </c>
      <c r="I86" s="143" t="s">
        <v>965</v>
      </c>
      <c r="J86" s="86"/>
      <c r="K86" s="143" t="s">
        <v>931</v>
      </c>
      <c r="L86" s="86" t="s">
        <v>917</v>
      </c>
    </row>
    <row r="87" spans="1:12" s="85" customFormat="1" x14ac:dyDescent="0.2">
      <c r="A87" s="86"/>
      <c r="B87" s="86"/>
      <c r="C87" s="132"/>
      <c r="D87" s="86" t="s">
        <v>857</v>
      </c>
      <c r="E87" s="86">
        <v>5</v>
      </c>
      <c r="F87" s="86" t="s">
        <v>43</v>
      </c>
      <c r="H87" s="86">
        <v>1</v>
      </c>
      <c r="I87" s="143"/>
      <c r="J87" s="86"/>
      <c r="K87" s="143"/>
      <c r="L87" s="86"/>
    </row>
    <row r="88" spans="1:12" s="85" customFormat="1" x14ac:dyDescent="0.2">
      <c r="A88" s="86"/>
      <c r="B88" s="86"/>
      <c r="C88" s="132"/>
      <c r="D88" s="86"/>
      <c r="E88" s="86"/>
      <c r="F88" s="86"/>
      <c r="H88" s="86"/>
      <c r="I88" s="143"/>
      <c r="J88" s="86"/>
      <c r="K88" s="143"/>
      <c r="L88" s="86"/>
    </row>
    <row r="89" spans="1:12" s="85" customFormat="1" x14ac:dyDescent="0.2">
      <c r="A89" s="86" t="s">
        <v>849</v>
      </c>
      <c r="B89" s="86"/>
      <c r="C89" s="132"/>
      <c r="D89" s="86" t="s">
        <v>853</v>
      </c>
      <c r="E89" s="86">
        <v>1</v>
      </c>
      <c r="F89" s="86" t="s">
        <v>43</v>
      </c>
      <c r="H89" s="86">
        <v>4</v>
      </c>
      <c r="I89" s="143"/>
      <c r="J89" s="86"/>
      <c r="K89" s="143"/>
      <c r="L89" s="86"/>
    </row>
    <row r="90" spans="1:12" s="85" customFormat="1" x14ac:dyDescent="0.2">
      <c r="A90" s="86"/>
      <c r="B90" s="86"/>
      <c r="C90" s="132"/>
      <c r="D90" s="86" t="s">
        <v>854</v>
      </c>
      <c r="E90" s="86">
        <v>2</v>
      </c>
      <c r="F90" s="86" t="s">
        <v>43</v>
      </c>
      <c r="H90" s="86">
        <v>3</v>
      </c>
      <c r="I90" s="143" t="s">
        <v>966</v>
      </c>
      <c r="J90" s="86"/>
      <c r="K90" s="143" t="s">
        <v>932</v>
      </c>
      <c r="L90" s="86" t="s">
        <v>921</v>
      </c>
    </row>
    <row r="91" spans="1:12" s="85" customFormat="1" x14ac:dyDescent="0.2">
      <c r="A91" s="86"/>
      <c r="B91" s="86"/>
      <c r="C91" s="132"/>
      <c r="D91" s="86" t="s">
        <v>855</v>
      </c>
      <c r="E91" s="86">
        <v>3</v>
      </c>
      <c r="F91" s="86" t="s">
        <v>43</v>
      </c>
      <c r="H91" s="86" t="s">
        <v>43</v>
      </c>
      <c r="I91" s="143"/>
      <c r="J91" s="86"/>
      <c r="K91" s="143"/>
      <c r="L91" s="86"/>
    </row>
    <row r="92" spans="1:12" s="85" customFormat="1" x14ac:dyDescent="0.2">
      <c r="A92" s="86"/>
      <c r="B92" s="86"/>
      <c r="C92" s="132"/>
      <c r="D92" s="86" t="s">
        <v>856</v>
      </c>
      <c r="E92" s="86">
        <v>4</v>
      </c>
      <c r="F92" s="86" t="s">
        <v>43</v>
      </c>
      <c r="H92" s="86">
        <v>2</v>
      </c>
      <c r="I92" s="143" t="s">
        <v>967</v>
      </c>
      <c r="J92" s="86"/>
      <c r="K92" s="143" t="s">
        <v>933</v>
      </c>
      <c r="L92" s="86" t="s">
        <v>917</v>
      </c>
    </row>
    <row r="93" spans="1:12" s="85" customFormat="1" x14ac:dyDescent="0.2">
      <c r="A93" s="86"/>
      <c r="B93" s="86"/>
      <c r="C93" s="132"/>
      <c r="D93" s="86" t="s">
        <v>857</v>
      </c>
      <c r="E93" s="86">
        <v>5</v>
      </c>
      <c r="F93" s="86" t="s">
        <v>43</v>
      </c>
      <c r="H93" s="86">
        <v>1</v>
      </c>
      <c r="I93" s="143"/>
      <c r="J93" s="86"/>
      <c r="K93" s="143"/>
      <c r="L93" s="86"/>
    </row>
    <row r="94" spans="1:12" s="85" customFormat="1" x14ac:dyDescent="0.2">
      <c r="A94" s="86"/>
      <c r="B94" s="86"/>
      <c r="C94" s="132"/>
      <c r="D94" s="86"/>
      <c r="E94" s="86"/>
      <c r="F94" s="86"/>
      <c r="H94" s="86"/>
      <c r="I94" s="143"/>
      <c r="J94" s="86"/>
      <c r="K94" s="143"/>
      <c r="L94" s="86"/>
    </row>
    <row r="95" spans="1:12" s="85" customFormat="1" x14ac:dyDescent="0.2">
      <c r="A95" s="86" t="s">
        <v>506</v>
      </c>
      <c r="B95" s="86"/>
      <c r="C95" s="132"/>
      <c r="D95" s="86" t="s">
        <v>853</v>
      </c>
      <c r="E95" s="86">
        <v>1</v>
      </c>
      <c r="F95" s="86" t="s">
        <v>43</v>
      </c>
      <c r="H95" s="86">
        <v>4</v>
      </c>
      <c r="I95" s="143"/>
      <c r="J95" s="86"/>
      <c r="K95" s="143"/>
      <c r="L95" s="86"/>
    </row>
    <row r="96" spans="1:12" s="85" customFormat="1" x14ac:dyDescent="0.2">
      <c r="A96" s="86"/>
      <c r="B96" s="86"/>
      <c r="C96" s="132"/>
      <c r="D96" s="86" t="s">
        <v>854</v>
      </c>
      <c r="E96" s="86">
        <v>2</v>
      </c>
      <c r="F96" s="86" t="s">
        <v>43</v>
      </c>
      <c r="H96" s="86">
        <v>3</v>
      </c>
      <c r="I96" s="143" t="s">
        <v>968</v>
      </c>
      <c r="J96" s="86"/>
      <c r="K96" s="143" t="s">
        <v>934</v>
      </c>
      <c r="L96" s="86" t="s">
        <v>922</v>
      </c>
    </row>
    <row r="97" spans="1:12" s="85" customFormat="1" x14ac:dyDescent="0.2">
      <c r="A97" s="86"/>
      <c r="B97" s="86"/>
      <c r="C97" s="132"/>
      <c r="D97" s="86" t="s">
        <v>855</v>
      </c>
      <c r="E97" s="86">
        <v>3</v>
      </c>
      <c r="F97" s="86" t="s">
        <v>43</v>
      </c>
      <c r="H97" s="86" t="s">
        <v>43</v>
      </c>
      <c r="I97" s="143"/>
      <c r="J97" s="86"/>
      <c r="K97" s="143"/>
      <c r="L97" s="86"/>
    </row>
    <row r="98" spans="1:12" s="85" customFormat="1" x14ac:dyDescent="0.2">
      <c r="A98" s="86"/>
      <c r="B98" s="86"/>
      <c r="C98" s="132"/>
      <c r="D98" s="86" t="s">
        <v>856</v>
      </c>
      <c r="E98" s="86">
        <v>4</v>
      </c>
      <c r="F98" s="86" t="s">
        <v>43</v>
      </c>
      <c r="H98" s="86">
        <v>2</v>
      </c>
      <c r="I98" s="143" t="s">
        <v>969</v>
      </c>
      <c r="J98" s="86"/>
      <c r="K98" s="143" t="s">
        <v>935</v>
      </c>
      <c r="L98" s="86" t="s">
        <v>917</v>
      </c>
    </row>
    <row r="99" spans="1:12" s="85" customFormat="1" x14ac:dyDescent="0.2">
      <c r="A99" s="86"/>
      <c r="B99" s="86"/>
      <c r="C99" s="132"/>
      <c r="D99" s="86" t="s">
        <v>857</v>
      </c>
      <c r="E99" s="86">
        <v>5</v>
      </c>
      <c r="F99" s="86" t="s">
        <v>43</v>
      </c>
      <c r="H99" s="86">
        <v>1</v>
      </c>
      <c r="I99" s="143"/>
      <c r="J99" s="86"/>
      <c r="K99" s="143"/>
      <c r="L99" s="86"/>
    </row>
    <row r="100" spans="1:12" s="85" customFormat="1" x14ac:dyDescent="0.2">
      <c r="A100" s="86"/>
      <c r="B100" s="86"/>
      <c r="C100" s="132"/>
      <c r="D100" s="86"/>
      <c r="E100" s="86"/>
      <c r="F100" s="86"/>
      <c r="H100" s="86"/>
      <c r="I100" s="143"/>
      <c r="J100" s="86"/>
      <c r="K100" s="143"/>
      <c r="L100" s="86"/>
    </row>
    <row r="101" spans="1:12" s="85" customFormat="1" x14ac:dyDescent="0.2">
      <c r="A101" s="86" t="s">
        <v>850</v>
      </c>
      <c r="B101" s="86"/>
      <c r="C101" s="132"/>
      <c r="D101" s="86" t="s">
        <v>853</v>
      </c>
      <c r="E101" s="86">
        <v>1</v>
      </c>
      <c r="F101" s="86" t="s">
        <v>43</v>
      </c>
      <c r="H101" s="86">
        <v>4</v>
      </c>
      <c r="I101" s="143"/>
      <c r="J101" s="86"/>
      <c r="K101" s="143"/>
      <c r="L101" s="86"/>
    </row>
    <row r="102" spans="1:12" s="85" customFormat="1" x14ac:dyDescent="0.2">
      <c r="A102" s="86"/>
      <c r="B102" s="86"/>
      <c r="C102" s="132"/>
      <c r="D102" s="86" t="s">
        <v>854</v>
      </c>
      <c r="E102" s="86">
        <v>2</v>
      </c>
      <c r="F102" s="86" t="s">
        <v>43</v>
      </c>
      <c r="H102" s="86">
        <v>3</v>
      </c>
      <c r="I102" s="143" t="s">
        <v>970</v>
      </c>
      <c r="J102" s="86"/>
      <c r="K102" s="143" t="s">
        <v>936</v>
      </c>
      <c r="L102" s="86" t="s">
        <v>923</v>
      </c>
    </row>
    <row r="103" spans="1:12" s="85" customFormat="1" x14ac:dyDescent="0.2">
      <c r="A103" s="86"/>
      <c r="B103" s="86"/>
      <c r="C103" s="132"/>
      <c r="D103" s="86" t="s">
        <v>855</v>
      </c>
      <c r="E103" s="86">
        <v>3</v>
      </c>
      <c r="F103" s="86" t="s">
        <v>43</v>
      </c>
      <c r="H103" s="86" t="s">
        <v>43</v>
      </c>
      <c r="I103" s="143"/>
      <c r="J103" s="86"/>
      <c r="K103" s="143"/>
      <c r="L103" s="86"/>
    </row>
    <row r="104" spans="1:12" s="85" customFormat="1" x14ac:dyDescent="0.2">
      <c r="A104" s="86"/>
      <c r="B104" s="86"/>
      <c r="C104" s="132"/>
      <c r="D104" s="86" t="s">
        <v>856</v>
      </c>
      <c r="E104" s="86">
        <v>4</v>
      </c>
      <c r="F104" s="86" t="s">
        <v>43</v>
      </c>
      <c r="H104" s="86">
        <v>2</v>
      </c>
      <c r="I104" s="143" t="s">
        <v>971</v>
      </c>
      <c r="J104" s="86"/>
      <c r="K104" s="143" t="s">
        <v>937</v>
      </c>
      <c r="L104" s="86" t="s">
        <v>917</v>
      </c>
    </row>
    <row r="105" spans="1:12" s="85" customFormat="1" x14ac:dyDescent="0.2">
      <c r="A105" s="86"/>
      <c r="B105" s="86"/>
      <c r="C105" s="132"/>
      <c r="D105" s="86" t="s">
        <v>857</v>
      </c>
      <c r="E105" s="86">
        <v>5</v>
      </c>
      <c r="F105" s="86" t="s">
        <v>43</v>
      </c>
      <c r="H105" s="86">
        <v>1</v>
      </c>
      <c r="I105" s="143"/>
      <c r="J105" s="86"/>
      <c r="K105" s="143"/>
      <c r="L105" s="86"/>
    </row>
    <row r="106" spans="1:12" s="85" customFormat="1" x14ac:dyDescent="0.2">
      <c r="A106" s="86"/>
      <c r="B106" s="86"/>
      <c r="C106" s="132"/>
      <c r="D106" s="86"/>
      <c r="E106" s="86"/>
      <c r="F106" s="86"/>
      <c r="H106" s="86"/>
      <c r="I106" s="143"/>
      <c r="J106" s="86"/>
      <c r="K106" s="143"/>
      <c r="L106" s="86"/>
    </row>
    <row r="107" spans="1:12" s="85" customFormat="1" x14ac:dyDescent="0.2">
      <c r="A107" s="86"/>
      <c r="B107" s="86"/>
      <c r="C107" s="132"/>
      <c r="D107" s="86"/>
      <c r="E107" s="86"/>
      <c r="F107" s="86"/>
      <c r="H107" s="86"/>
      <c r="I107" s="143"/>
      <c r="J107" s="86"/>
      <c r="K107" s="143"/>
      <c r="L107" s="86"/>
    </row>
    <row r="108" spans="1:12" s="85" customFormat="1" ht="38.25" x14ac:dyDescent="0.2">
      <c r="A108" s="86" t="s">
        <v>341</v>
      </c>
      <c r="B108" s="86" t="s">
        <v>337</v>
      </c>
      <c r="C108" s="132" t="s">
        <v>342</v>
      </c>
      <c r="D108" s="132" t="s">
        <v>339</v>
      </c>
      <c r="E108" s="86" t="s">
        <v>340</v>
      </c>
      <c r="F108" s="86" t="s">
        <v>43</v>
      </c>
      <c r="H108" s="132" t="s">
        <v>985</v>
      </c>
      <c r="I108" s="143" t="s">
        <v>939</v>
      </c>
      <c r="J108" s="143" t="s">
        <v>43</v>
      </c>
      <c r="K108" s="143" t="s">
        <v>982</v>
      </c>
      <c r="L108" s="86" t="s">
        <v>986</v>
      </c>
    </row>
    <row r="109" spans="1:12" s="85" customFormat="1" x14ac:dyDescent="0.2">
      <c r="A109" s="86"/>
      <c r="B109" s="86"/>
      <c r="C109" s="132"/>
      <c r="D109" s="86"/>
      <c r="E109" s="86"/>
      <c r="F109" s="86"/>
      <c r="H109" s="86"/>
      <c r="I109" s="143"/>
      <c r="J109" s="86"/>
      <c r="K109" s="143"/>
      <c r="L109" s="86"/>
    </row>
    <row r="110" spans="1:12" s="85" customFormat="1" x14ac:dyDescent="0.2">
      <c r="A110" s="86" t="s">
        <v>851</v>
      </c>
      <c r="B110" s="86"/>
      <c r="C110" s="132"/>
      <c r="D110" s="86" t="s">
        <v>853</v>
      </c>
      <c r="E110" s="86">
        <v>1</v>
      </c>
      <c r="F110" s="86" t="s">
        <v>43</v>
      </c>
      <c r="H110" s="86">
        <v>4</v>
      </c>
      <c r="I110" s="143"/>
      <c r="J110" s="86"/>
      <c r="K110" s="143"/>
      <c r="L110" s="86"/>
    </row>
    <row r="111" spans="1:12" s="85" customFormat="1" x14ac:dyDescent="0.2">
      <c r="A111" s="86"/>
      <c r="B111" s="86"/>
      <c r="C111" s="132"/>
      <c r="D111" s="86" t="s">
        <v>854</v>
      </c>
      <c r="E111" s="86">
        <v>2</v>
      </c>
      <c r="F111" s="86" t="s">
        <v>43</v>
      </c>
      <c r="H111" s="86">
        <v>3</v>
      </c>
      <c r="I111" s="143" t="s">
        <v>979</v>
      </c>
      <c r="J111" s="86"/>
      <c r="K111" s="143" t="s">
        <v>888</v>
      </c>
      <c r="L111" s="86" t="s">
        <v>980</v>
      </c>
    </row>
    <row r="112" spans="1:12" s="85" customFormat="1" x14ac:dyDescent="0.2">
      <c r="A112" s="86"/>
      <c r="B112" s="86"/>
      <c r="C112" s="132"/>
      <c r="D112" s="86" t="s">
        <v>855</v>
      </c>
      <c r="E112" s="86">
        <v>3</v>
      </c>
      <c r="F112" s="86" t="s">
        <v>43</v>
      </c>
      <c r="H112" s="86" t="s">
        <v>43</v>
      </c>
      <c r="I112" s="143"/>
      <c r="J112" s="86"/>
      <c r="K112" s="143"/>
      <c r="L112" s="86"/>
    </row>
    <row r="113" spans="1:12" s="85" customFormat="1" x14ac:dyDescent="0.2">
      <c r="A113" s="86"/>
      <c r="B113" s="86"/>
      <c r="C113" s="132"/>
      <c r="D113" s="86" t="s">
        <v>856</v>
      </c>
      <c r="E113" s="86">
        <v>4</v>
      </c>
      <c r="F113" s="86" t="s">
        <v>43</v>
      </c>
      <c r="H113" s="86">
        <v>2</v>
      </c>
      <c r="I113" s="143" t="s">
        <v>972</v>
      </c>
      <c r="J113" s="86"/>
      <c r="K113" s="143" t="s">
        <v>889</v>
      </c>
      <c r="L113" s="86" t="s">
        <v>916</v>
      </c>
    </row>
    <row r="114" spans="1:12" s="85" customFormat="1" x14ac:dyDescent="0.2">
      <c r="A114" s="86"/>
      <c r="B114" s="86"/>
      <c r="C114" s="132"/>
      <c r="D114" s="86" t="s">
        <v>857</v>
      </c>
      <c r="E114" s="86">
        <v>5</v>
      </c>
      <c r="F114" s="86" t="s">
        <v>43</v>
      </c>
      <c r="H114" s="86">
        <v>1</v>
      </c>
      <c r="I114" s="143"/>
      <c r="J114" s="86"/>
      <c r="K114" s="143"/>
      <c r="L114" s="86"/>
    </row>
    <row r="115" spans="1:12" s="85" customFormat="1" x14ac:dyDescent="0.2">
      <c r="A115" s="86"/>
      <c r="B115" s="86"/>
      <c r="C115" s="132"/>
      <c r="D115" s="86"/>
      <c r="E115" s="86"/>
      <c r="F115" s="86"/>
      <c r="H115" s="86"/>
      <c r="I115" s="143"/>
      <c r="J115" s="86"/>
      <c r="K115" s="143"/>
      <c r="L115" s="86"/>
    </row>
    <row r="116" spans="1:12" s="85" customFormat="1" x14ac:dyDescent="0.2">
      <c r="A116" s="86" t="s">
        <v>534</v>
      </c>
      <c r="B116" s="86"/>
      <c r="C116" s="132"/>
      <c r="D116" s="86" t="s">
        <v>853</v>
      </c>
      <c r="E116" s="86">
        <v>1</v>
      </c>
      <c r="F116" s="86" t="s">
        <v>43</v>
      </c>
      <c r="H116" s="86">
        <v>4</v>
      </c>
      <c r="I116" s="143"/>
      <c r="J116" s="86"/>
      <c r="K116" s="143"/>
      <c r="L116" s="86"/>
    </row>
    <row r="117" spans="1:12" s="85" customFormat="1" x14ac:dyDescent="0.2">
      <c r="A117" s="86" t="s">
        <v>43</v>
      </c>
      <c r="B117" s="86"/>
      <c r="C117" s="132"/>
      <c r="D117" s="86" t="s">
        <v>854</v>
      </c>
      <c r="E117" s="86">
        <v>2</v>
      </c>
      <c r="F117" s="86" t="s">
        <v>43</v>
      </c>
      <c r="H117" s="86">
        <v>3</v>
      </c>
      <c r="I117" s="143" t="s">
        <v>973</v>
      </c>
      <c r="J117" s="86"/>
      <c r="K117" s="143" t="s">
        <v>892</v>
      </c>
      <c r="L117" s="86" t="s">
        <v>981</v>
      </c>
    </row>
    <row r="118" spans="1:12" s="85" customFormat="1" x14ac:dyDescent="0.2">
      <c r="A118" s="86"/>
      <c r="B118" s="86"/>
      <c r="C118" s="132"/>
      <c r="D118" s="86" t="s">
        <v>855</v>
      </c>
      <c r="E118" s="86">
        <v>3</v>
      </c>
      <c r="F118" s="86" t="s">
        <v>43</v>
      </c>
      <c r="H118" s="86" t="s">
        <v>43</v>
      </c>
      <c r="I118" s="143"/>
      <c r="J118" s="86"/>
      <c r="K118" s="143"/>
      <c r="L118" s="86"/>
    </row>
    <row r="119" spans="1:12" s="85" customFormat="1" x14ac:dyDescent="0.2">
      <c r="A119" s="86"/>
      <c r="B119" s="86"/>
      <c r="C119" s="132"/>
      <c r="D119" s="86" t="s">
        <v>856</v>
      </c>
      <c r="E119" s="86">
        <v>4</v>
      </c>
      <c r="F119" s="86" t="s">
        <v>43</v>
      </c>
      <c r="H119" s="86">
        <v>2</v>
      </c>
      <c r="I119" s="143" t="s">
        <v>974</v>
      </c>
      <c r="J119" s="86"/>
      <c r="K119" s="143" t="s">
        <v>893</v>
      </c>
      <c r="L119" s="86" t="s">
        <v>916</v>
      </c>
    </row>
    <row r="120" spans="1:12" s="85" customFormat="1" x14ac:dyDescent="0.2">
      <c r="A120" s="86"/>
      <c r="B120" s="86"/>
      <c r="C120" s="132"/>
      <c r="D120" s="86" t="s">
        <v>857</v>
      </c>
      <c r="E120" s="86">
        <v>5</v>
      </c>
      <c r="F120" s="86" t="s">
        <v>43</v>
      </c>
      <c r="H120" s="86">
        <v>1</v>
      </c>
      <c r="I120" s="143"/>
      <c r="J120" s="86"/>
      <c r="K120" s="143"/>
      <c r="L120" s="86"/>
    </row>
    <row r="121" spans="1:12" s="85" customFormat="1" x14ac:dyDescent="0.2">
      <c r="A121" s="86"/>
      <c r="B121" s="86"/>
      <c r="C121" s="132"/>
      <c r="D121" s="86"/>
      <c r="E121" s="86"/>
      <c r="F121" s="86"/>
      <c r="H121" s="86"/>
      <c r="I121" s="143"/>
      <c r="J121" s="86"/>
      <c r="K121" s="143"/>
      <c r="L121" s="86"/>
    </row>
    <row r="122" spans="1:12" s="85" customFormat="1" x14ac:dyDescent="0.2">
      <c r="A122" s="86" t="s">
        <v>533</v>
      </c>
      <c r="B122" s="86"/>
      <c r="C122" s="132"/>
      <c r="D122" s="86" t="s">
        <v>853</v>
      </c>
      <c r="E122" s="86">
        <v>1</v>
      </c>
      <c r="F122" s="86" t="s">
        <v>43</v>
      </c>
      <c r="H122" s="86">
        <v>4</v>
      </c>
      <c r="I122" s="143"/>
      <c r="J122" s="86"/>
      <c r="K122" s="143"/>
      <c r="L122" s="86"/>
    </row>
    <row r="123" spans="1:12" s="85" customFormat="1" x14ac:dyDescent="0.2">
      <c r="A123" s="86"/>
      <c r="B123" s="86"/>
      <c r="C123" s="132"/>
      <c r="D123" s="86" t="s">
        <v>854</v>
      </c>
      <c r="E123" s="86">
        <v>2</v>
      </c>
      <c r="F123" s="86" t="s">
        <v>43</v>
      </c>
      <c r="H123" s="86">
        <v>3</v>
      </c>
      <c r="I123" s="143" t="s">
        <v>975</v>
      </c>
      <c r="J123" s="86"/>
      <c r="K123" s="143" t="s">
        <v>894</v>
      </c>
      <c r="L123" s="86" t="s">
        <v>983</v>
      </c>
    </row>
    <row r="124" spans="1:12" s="85" customFormat="1" x14ac:dyDescent="0.2">
      <c r="A124" s="86"/>
      <c r="B124" s="86"/>
      <c r="C124" s="132"/>
      <c r="D124" s="86" t="s">
        <v>855</v>
      </c>
      <c r="E124" s="86">
        <v>3</v>
      </c>
      <c r="F124" s="86" t="s">
        <v>43</v>
      </c>
      <c r="H124" s="86" t="s">
        <v>43</v>
      </c>
      <c r="I124" s="143"/>
      <c r="J124" s="86"/>
      <c r="K124" s="143"/>
      <c r="L124" s="86"/>
    </row>
    <row r="125" spans="1:12" s="85" customFormat="1" x14ac:dyDescent="0.2">
      <c r="A125" s="86"/>
      <c r="B125" s="86"/>
      <c r="C125" s="132"/>
      <c r="D125" s="86" t="s">
        <v>856</v>
      </c>
      <c r="E125" s="86">
        <v>4</v>
      </c>
      <c r="F125" s="86" t="s">
        <v>43</v>
      </c>
      <c r="H125" s="86">
        <v>2</v>
      </c>
      <c r="I125" s="143" t="s">
        <v>976</v>
      </c>
      <c r="J125" s="86"/>
      <c r="K125" s="143" t="s">
        <v>895</v>
      </c>
      <c r="L125" s="86" t="s">
        <v>916</v>
      </c>
    </row>
    <row r="126" spans="1:12" s="85" customFormat="1" x14ac:dyDescent="0.2">
      <c r="A126" s="86"/>
      <c r="B126" s="86"/>
      <c r="C126" s="132"/>
      <c r="D126" s="86" t="s">
        <v>857</v>
      </c>
      <c r="E126" s="86">
        <v>5</v>
      </c>
      <c r="F126" s="86" t="s">
        <v>43</v>
      </c>
      <c r="H126" s="86">
        <v>1</v>
      </c>
      <c r="I126" s="143"/>
      <c r="J126" s="86"/>
      <c r="K126" s="143"/>
      <c r="L126" s="86"/>
    </row>
    <row r="127" spans="1:12" s="85" customFormat="1" x14ac:dyDescent="0.2">
      <c r="A127" s="86"/>
      <c r="B127" s="86"/>
      <c r="C127" s="132"/>
      <c r="D127" s="86"/>
      <c r="E127" s="86"/>
      <c r="F127" s="86"/>
      <c r="H127" s="86"/>
      <c r="I127" s="143"/>
      <c r="J127" s="86"/>
      <c r="K127" s="143"/>
      <c r="L127" s="86"/>
    </row>
    <row r="128" spans="1:12" s="85" customFormat="1" x14ac:dyDescent="0.2">
      <c r="A128" s="86" t="s">
        <v>852</v>
      </c>
      <c r="B128" s="86"/>
      <c r="C128" s="132"/>
      <c r="D128" s="86" t="s">
        <v>853</v>
      </c>
      <c r="E128" s="86">
        <v>1</v>
      </c>
      <c r="F128" s="86" t="s">
        <v>43</v>
      </c>
      <c r="H128" s="86">
        <v>4</v>
      </c>
      <c r="I128" s="143"/>
      <c r="J128" s="86"/>
      <c r="K128" s="143"/>
      <c r="L128" s="86"/>
    </row>
    <row r="129" spans="1:12" s="85" customFormat="1" x14ac:dyDescent="0.2">
      <c r="A129" s="86"/>
      <c r="B129" s="86"/>
      <c r="C129" s="132"/>
      <c r="D129" s="86" t="s">
        <v>854</v>
      </c>
      <c r="E129" s="86">
        <v>2</v>
      </c>
      <c r="F129" s="86" t="s">
        <v>43</v>
      </c>
      <c r="H129" s="86">
        <v>3</v>
      </c>
      <c r="I129" s="143" t="s">
        <v>977</v>
      </c>
      <c r="J129" s="86"/>
      <c r="K129" s="143" t="s">
        <v>896</v>
      </c>
      <c r="L129" s="86" t="s">
        <v>984</v>
      </c>
    </row>
    <row r="130" spans="1:12" s="85" customFormat="1" x14ac:dyDescent="0.2">
      <c r="A130" s="86"/>
      <c r="B130" s="86"/>
      <c r="C130" s="132"/>
      <c r="D130" s="86" t="s">
        <v>855</v>
      </c>
      <c r="E130" s="86">
        <v>3</v>
      </c>
      <c r="F130" s="86" t="s">
        <v>43</v>
      </c>
      <c r="H130" s="86" t="s">
        <v>43</v>
      </c>
      <c r="I130" s="143"/>
      <c r="J130" s="86"/>
      <c r="K130" s="143"/>
      <c r="L130" s="86"/>
    </row>
    <row r="131" spans="1:12" s="85" customFormat="1" x14ac:dyDescent="0.2">
      <c r="A131" s="86"/>
      <c r="B131" s="86"/>
      <c r="C131" s="132"/>
      <c r="D131" s="86" t="s">
        <v>856</v>
      </c>
      <c r="E131" s="86">
        <v>4</v>
      </c>
      <c r="F131" s="86" t="s">
        <v>43</v>
      </c>
      <c r="H131" s="86">
        <v>2</v>
      </c>
      <c r="I131" s="143" t="s">
        <v>978</v>
      </c>
      <c r="J131" s="86"/>
      <c r="K131" s="143" t="s">
        <v>897</v>
      </c>
      <c r="L131" s="86" t="s">
        <v>916</v>
      </c>
    </row>
    <row r="132" spans="1:12" s="85" customFormat="1" x14ac:dyDescent="0.2">
      <c r="A132" s="86"/>
      <c r="B132" s="86"/>
      <c r="C132" s="132"/>
      <c r="D132" s="86" t="s">
        <v>857</v>
      </c>
      <c r="E132" s="86">
        <v>5</v>
      </c>
      <c r="F132" s="86" t="s">
        <v>43</v>
      </c>
      <c r="H132" s="86">
        <v>1</v>
      </c>
      <c r="I132" s="143"/>
      <c r="J132" s="86"/>
      <c r="K132" s="143"/>
      <c r="L132" s="86"/>
    </row>
  </sheetData>
  <printOptions gridLines="1"/>
  <pageMargins left="0.25" right="0.25" top="0.75" bottom="0.75" header="0.3" footer="0.3"/>
  <pageSetup paperSize="17" orientation="landscape" r:id="rId1"/>
  <headerFooter>
    <oddFooter>&amp;L&amp;Z&amp;F&amp;C&amp;A&amp;R&amp;P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95"/>
  <sheetViews>
    <sheetView zoomScaleNormal="100" zoomScalePageLayoutView="120" workbookViewId="0">
      <pane ySplit="3675" topLeftCell="A67" activePane="bottomLeft"/>
      <selection activeCell="Q4" sqref="Q4"/>
      <selection pane="bottomLeft" activeCell="A66" sqref="A66:XFD74"/>
    </sheetView>
  </sheetViews>
  <sheetFormatPr defaultRowHeight="12.75" x14ac:dyDescent="0.2"/>
  <cols>
    <col min="1" max="1" width="27.42578125" style="190" customWidth="1"/>
    <col min="2" max="2" width="14.42578125" style="215" customWidth="1"/>
    <col min="3" max="3" width="23.140625" style="198" customWidth="1"/>
    <col min="4" max="4" width="15.5703125" style="198" customWidth="1"/>
    <col min="5" max="5" width="13" style="190" customWidth="1"/>
    <col min="6" max="6" width="6.85546875" style="196" customWidth="1"/>
    <col min="7" max="7" width="11.28515625" style="196" customWidth="1"/>
    <col min="8" max="8" width="9.140625" style="198" customWidth="1"/>
    <col min="9" max="10" width="13" style="198" customWidth="1"/>
    <col min="11" max="12" width="13" style="212" customWidth="1"/>
    <col min="13" max="13" width="13.42578125" style="198" customWidth="1"/>
    <col min="14" max="14" width="8.28515625" style="215" customWidth="1"/>
    <col min="15" max="15" width="10.28515625" style="215" customWidth="1"/>
    <col min="16" max="16" width="15.85546875" style="215" customWidth="1"/>
    <col min="17" max="17" width="8.5703125" style="198" customWidth="1"/>
    <col min="18" max="18" width="12.28515625" style="197" customWidth="1"/>
    <col min="19" max="19" width="16.7109375" style="215" customWidth="1"/>
    <col min="20" max="20" width="10" style="228" customWidth="1"/>
    <col min="21" max="21" width="15.7109375" style="198" customWidth="1"/>
    <col min="22" max="22" width="8.7109375" style="215" customWidth="1"/>
    <col min="23" max="23" width="12.28515625" style="197" customWidth="1"/>
    <col min="24" max="24" width="15.28515625" style="198" customWidth="1"/>
    <col min="25" max="25" width="2.42578125" style="215" customWidth="1"/>
    <col min="26" max="26" width="14.5703125" style="198" customWidth="1"/>
    <col min="27" max="28" width="9.140625" style="198"/>
    <col min="29" max="29" width="12" style="214" bestFit="1" customWidth="1"/>
    <col min="30" max="30" width="9.140625" style="198"/>
    <col min="31" max="31" width="14.7109375" style="225" customWidth="1"/>
    <col min="32" max="32" width="13.28515625" style="225" customWidth="1"/>
    <col min="33" max="33" width="15.28515625" style="225" customWidth="1"/>
    <col min="34" max="16384" width="9.140625" style="215"/>
  </cols>
  <sheetData>
    <row r="1" spans="1:33" s="170" customFormat="1" ht="44.25" customHeight="1" x14ac:dyDescent="0.2">
      <c r="A1" s="265" t="s">
        <v>316</v>
      </c>
      <c r="B1" s="266" t="s">
        <v>317</v>
      </c>
      <c r="C1" s="266" t="s">
        <v>1378</v>
      </c>
      <c r="D1" s="267" t="s">
        <v>1377</v>
      </c>
      <c r="E1" s="170" t="s">
        <v>2</v>
      </c>
      <c r="G1" s="170" t="s">
        <v>483</v>
      </c>
      <c r="H1" s="170" t="s">
        <v>476</v>
      </c>
      <c r="I1" s="170" t="s">
        <v>478</v>
      </c>
      <c r="J1" s="287" t="s">
        <v>1249</v>
      </c>
      <c r="K1" s="287"/>
      <c r="L1" s="287"/>
      <c r="M1" s="287"/>
      <c r="N1" s="170" t="s">
        <v>483</v>
      </c>
      <c r="O1" s="170" t="s">
        <v>489</v>
      </c>
      <c r="P1" s="170" t="s">
        <v>1155</v>
      </c>
      <c r="Q1" s="170" t="s">
        <v>476</v>
      </c>
      <c r="R1" s="172" t="s">
        <v>886</v>
      </c>
      <c r="S1" s="170" t="s">
        <v>1349</v>
      </c>
      <c r="T1" s="172" t="s">
        <v>938</v>
      </c>
      <c r="U1" s="170" t="s">
        <v>803</v>
      </c>
      <c r="V1" s="170" t="s">
        <v>489</v>
      </c>
      <c r="W1" s="172" t="s">
        <v>886</v>
      </c>
      <c r="X1" s="170" t="s">
        <v>885</v>
      </c>
      <c r="Z1" s="173" t="s">
        <v>318</v>
      </c>
      <c r="AA1" s="173" t="s">
        <v>1250</v>
      </c>
      <c r="AB1" s="173" t="s">
        <v>621</v>
      </c>
      <c r="AC1" s="174" t="s">
        <v>739</v>
      </c>
      <c r="AD1" s="173" t="s">
        <v>625</v>
      </c>
      <c r="AE1" s="288" t="s">
        <v>1243</v>
      </c>
      <c r="AF1" s="288"/>
      <c r="AG1" s="288"/>
    </row>
    <row r="2" spans="1:33" s="170" customFormat="1" ht="30" customHeight="1" x14ac:dyDescent="0.2">
      <c r="C2" s="171"/>
      <c r="E2" s="170" t="s">
        <v>43</v>
      </c>
      <c r="F2" s="170" t="s">
        <v>43</v>
      </c>
      <c r="I2" s="170" t="s">
        <v>743</v>
      </c>
      <c r="J2" s="287" t="s">
        <v>1273</v>
      </c>
      <c r="K2" s="287"/>
      <c r="L2" s="287"/>
      <c r="M2" s="287"/>
      <c r="P2" s="170" t="s">
        <v>742</v>
      </c>
      <c r="R2" s="172"/>
      <c r="S2" s="175" t="s">
        <v>802</v>
      </c>
      <c r="T2" s="176"/>
      <c r="U2" s="170" t="s">
        <v>804</v>
      </c>
      <c r="V2" s="177"/>
      <c r="W2" s="172"/>
      <c r="X2" s="177"/>
      <c r="Z2" s="173"/>
      <c r="AA2" s="173"/>
      <c r="AB2" s="173"/>
      <c r="AC2" s="173" t="s">
        <v>738</v>
      </c>
      <c r="AD2" s="173" t="s">
        <v>801</v>
      </c>
      <c r="AE2" s="289" t="s">
        <v>1247</v>
      </c>
      <c r="AF2" s="289"/>
      <c r="AG2" s="289"/>
    </row>
    <row r="3" spans="1:33" s="179" customFormat="1" ht="51" x14ac:dyDescent="0.2">
      <c r="A3" s="175" t="s">
        <v>318</v>
      </c>
      <c r="B3" s="178" t="s">
        <v>43</v>
      </c>
      <c r="C3" s="178" t="s">
        <v>43</v>
      </c>
      <c r="D3" s="178" t="s">
        <v>43</v>
      </c>
      <c r="E3" s="175" t="s">
        <v>314</v>
      </c>
      <c r="H3" s="175"/>
      <c r="I3" s="175">
        <v>5</v>
      </c>
      <c r="J3" s="175" t="s">
        <v>1242</v>
      </c>
      <c r="K3" s="180" t="s">
        <v>1275</v>
      </c>
      <c r="L3" s="180"/>
      <c r="M3" s="175" t="s">
        <v>1239</v>
      </c>
      <c r="Q3" s="170" t="s">
        <v>43</v>
      </c>
      <c r="S3" s="181" t="s">
        <v>985</v>
      </c>
      <c r="T3" s="182" t="s">
        <v>939</v>
      </c>
      <c r="U3" s="183" t="s">
        <v>805</v>
      </c>
      <c r="V3" s="182" t="s">
        <v>43</v>
      </c>
      <c r="Z3" s="175" t="s">
        <v>618</v>
      </c>
      <c r="AA3" s="175" t="s">
        <v>506</v>
      </c>
      <c r="AB3" s="175"/>
      <c r="AC3" s="184">
        <v>1E-4</v>
      </c>
      <c r="AD3" s="175"/>
      <c r="AE3" s="289" t="s">
        <v>1248</v>
      </c>
      <c r="AF3" s="289"/>
      <c r="AG3" s="289"/>
    </row>
    <row r="4" spans="1:33" s="186" customFormat="1" ht="45.75" x14ac:dyDescent="0.3">
      <c r="A4" s="185" t="s">
        <v>471</v>
      </c>
      <c r="B4" s="185" t="s">
        <v>493</v>
      </c>
      <c r="C4" s="185" t="s">
        <v>43</v>
      </c>
      <c r="D4" s="185" t="s">
        <v>43</v>
      </c>
      <c r="E4" s="185"/>
      <c r="H4" s="185"/>
      <c r="I4" s="185"/>
      <c r="J4" s="185" t="s">
        <v>1242</v>
      </c>
      <c r="K4" s="187" t="s">
        <v>1274</v>
      </c>
      <c r="L4" s="187" t="s">
        <v>1251</v>
      </c>
      <c r="M4" s="185" t="s">
        <v>1252</v>
      </c>
      <c r="Q4" s="188"/>
      <c r="R4" s="189" t="s">
        <v>994</v>
      </c>
      <c r="S4" s="190"/>
      <c r="T4" s="191"/>
      <c r="U4" s="192" t="s">
        <v>987</v>
      </c>
      <c r="V4" s="191"/>
      <c r="W4" s="189" t="s">
        <v>992</v>
      </c>
      <c r="X4" s="193" t="s">
        <v>1212</v>
      </c>
      <c r="AE4" s="194" t="s">
        <v>1244</v>
      </c>
      <c r="AF4" s="194" t="s">
        <v>1245</v>
      </c>
      <c r="AG4" s="194" t="s">
        <v>1246</v>
      </c>
    </row>
    <row r="5" spans="1:33" s="195" customFormat="1" x14ac:dyDescent="0.2">
      <c r="A5" s="190" t="s">
        <v>617</v>
      </c>
      <c r="B5" s="77"/>
      <c r="C5" s="77"/>
      <c r="D5" s="77"/>
      <c r="E5" s="185"/>
      <c r="H5" s="77"/>
      <c r="I5" s="77"/>
      <c r="J5" s="77"/>
      <c r="K5" s="169"/>
      <c r="L5" s="169"/>
      <c r="M5" s="77"/>
      <c r="Q5" s="196"/>
      <c r="R5" s="197"/>
      <c r="S5" s="190"/>
      <c r="T5" s="197"/>
      <c r="U5" s="185"/>
      <c r="V5" s="197"/>
      <c r="W5" s="197"/>
      <c r="X5" s="198"/>
      <c r="AE5" s="199"/>
      <c r="AF5" s="199"/>
      <c r="AG5" s="199"/>
    </row>
    <row r="6" spans="1:33" s="195" customFormat="1" x14ac:dyDescent="0.2">
      <c r="A6" s="185" t="s">
        <v>622</v>
      </c>
      <c r="B6" s="77"/>
      <c r="C6" s="77">
        <v>1</v>
      </c>
      <c r="D6" s="77">
        <v>1552</v>
      </c>
      <c r="E6" s="190" t="s">
        <v>472</v>
      </c>
      <c r="F6" s="77" t="s">
        <v>800</v>
      </c>
      <c r="G6" s="77">
        <v>13</v>
      </c>
      <c r="H6" s="77" t="s">
        <v>477</v>
      </c>
      <c r="I6" s="77" t="s">
        <v>479</v>
      </c>
      <c r="J6" s="200" t="s">
        <v>1240</v>
      </c>
      <c r="K6" s="169">
        <v>2.34</v>
      </c>
      <c r="L6" s="169">
        <v>32.54</v>
      </c>
      <c r="M6" s="169">
        <f>L6-K6</f>
        <v>30.2</v>
      </c>
      <c r="N6" s="77">
        <v>50</v>
      </c>
      <c r="O6" s="77" t="s">
        <v>477</v>
      </c>
      <c r="P6" s="77" t="s">
        <v>485</v>
      </c>
      <c r="Q6" s="196"/>
      <c r="R6" s="197" t="s">
        <v>888</v>
      </c>
      <c r="S6" s="198">
        <v>3</v>
      </c>
      <c r="T6" s="197" t="s">
        <v>990</v>
      </c>
      <c r="U6" s="77"/>
      <c r="V6" s="198"/>
      <c r="W6" s="197" t="s">
        <v>1071</v>
      </c>
      <c r="X6" s="198" t="s">
        <v>993</v>
      </c>
      <c r="Z6" s="77" t="s">
        <v>619</v>
      </c>
      <c r="AA6" s="77"/>
      <c r="AB6" s="77"/>
      <c r="AC6" s="201"/>
      <c r="AD6" s="77"/>
      <c r="AE6" s="202">
        <v>-0.21782539057966299</v>
      </c>
      <c r="AF6" s="202">
        <v>16.970272120362605</v>
      </c>
      <c r="AG6" s="202">
        <v>-26.233875881676347</v>
      </c>
    </row>
    <row r="7" spans="1:33" s="195" customFormat="1" x14ac:dyDescent="0.2">
      <c r="A7" s="185"/>
      <c r="B7" s="77"/>
      <c r="C7" s="77"/>
      <c r="D7" s="77"/>
      <c r="E7" s="190" t="s">
        <v>43</v>
      </c>
      <c r="F7" s="77" t="s">
        <v>799</v>
      </c>
      <c r="G7" s="77">
        <v>13</v>
      </c>
      <c r="H7" s="77" t="s">
        <v>532</v>
      </c>
      <c r="I7" s="77" t="s">
        <v>480</v>
      </c>
      <c r="J7" s="200" t="s">
        <v>1241</v>
      </c>
      <c r="K7" s="169">
        <v>2.4300000000000002</v>
      </c>
      <c r="L7" s="169">
        <v>32.590000000000003</v>
      </c>
      <c r="M7" s="169">
        <f t="shared" ref="M7:M29" si="0">L7-K7</f>
        <v>30.160000000000004</v>
      </c>
      <c r="N7" s="77">
        <v>50</v>
      </c>
      <c r="O7" s="77" t="s">
        <v>532</v>
      </c>
      <c r="P7" s="77" t="s">
        <v>486</v>
      </c>
      <c r="Q7" s="196"/>
      <c r="R7" s="197" t="s">
        <v>892</v>
      </c>
      <c r="S7" s="198" t="s">
        <v>43</v>
      </c>
      <c r="T7" s="197" t="s">
        <v>43</v>
      </c>
      <c r="U7" s="77" t="s">
        <v>988</v>
      </c>
      <c r="V7" s="198"/>
      <c r="W7" s="197" t="s">
        <v>43</v>
      </c>
      <c r="X7" s="198" t="s">
        <v>43</v>
      </c>
      <c r="Z7" s="77">
        <v>4.22</v>
      </c>
      <c r="AA7" s="77">
        <v>1.8379000000000001</v>
      </c>
      <c r="AB7" s="77">
        <v>-1.15E-2</v>
      </c>
      <c r="AC7" s="201">
        <f>AA7*$AC$3*1000</f>
        <v>0.18379000000000004</v>
      </c>
      <c r="AD7" s="169">
        <f>0.0001^2*AA7*1000000</f>
        <v>1.8379000000000003E-2</v>
      </c>
      <c r="AE7" s="199"/>
      <c r="AF7" s="199"/>
      <c r="AG7" s="199"/>
    </row>
    <row r="8" spans="1:33" s="195" customFormat="1" x14ac:dyDescent="0.2">
      <c r="A8" s="185" t="s">
        <v>838</v>
      </c>
      <c r="B8" s="77"/>
      <c r="C8" s="77"/>
      <c r="D8" s="77"/>
      <c r="E8" s="190"/>
      <c r="F8" s="77" t="s">
        <v>798</v>
      </c>
      <c r="G8" s="77">
        <v>13</v>
      </c>
      <c r="H8" s="77" t="s">
        <v>477</v>
      </c>
      <c r="I8" s="77" t="s">
        <v>481</v>
      </c>
      <c r="J8" s="77" t="s">
        <v>1255</v>
      </c>
      <c r="K8" s="169">
        <v>2.35</v>
      </c>
      <c r="L8" s="169">
        <v>32.6</v>
      </c>
      <c r="M8" s="169">
        <f>L8-K8</f>
        <v>30.25</v>
      </c>
      <c r="N8" s="77">
        <v>50</v>
      </c>
      <c r="O8" s="77" t="s">
        <v>477</v>
      </c>
      <c r="P8" s="77" t="s">
        <v>487</v>
      </c>
      <c r="Q8" s="196"/>
      <c r="R8" s="197" t="s">
        <v>889</v>
      </c>
      <c r="S8" s="198">
        <v>2</v>
      </c>
      <c r="T8" s="197" t="s">
        <v>991</v>
      </c>
      <c r="U8" s="77"/>
      <c r="V8" s="198"/>
      <c r="W8" s="197" t="s">
        <v>1070</v>
      </c>
      <c r="X8" s="198" t="s">
        <v>916</v>
      </c>
      <c r="Z8" s="77">
        <v>77.349999999999994</v>
      </c>
      <c r="AA8" s="77">
        <v>6.6759000000000004</v>
      </c>
      <c r="AB8" s="77">
        <v>-2.4E-2</v>
      </c>
      <c r="AC8" s="201">
        <f>AA8*$AC$3*1000</f>
        <v>0.66759000000000002</v>
      </c>
      <c r="AD8" s="169">
        <f t="shared" ref="AD8:AD69" si="1">0.0001^2*AA8*1000000</f>
        <v>6.6759000000000013E-2</v>
      </c>
      <c r="AE8" s="199"/>
      <c r="AF8" s="199"/>
      <c r="AG8" s="199"/>
    </row>
    <row r="9" spans="1:33" s="195" customFormat="1" x14ac:dyDescent="0.2">
      <c r="A9" s="185"/>
      <c r="B9" s="77"/>
      <c r="C9" s="77"/>
      <c r="D9" s="77"/>
      <c r="E9" s="190"/>
      <c r="F9" s="77" t="s">
        <v>797</v>
      </c>
      <c r="G9" s="77">
        <v>13</v>
      </c>
      <c r="H9" s="77" t="s">
        <v>532</v>
      </c>
      <c r="I9" s="77" t="s">
        <v>482</v>
      </c>
      <c r="J9" s="77" t="s">
        <v>1256</v>
      </c>
      <c r="K9" s="169">
        <v>2.4700000000000002</v>
      </c>
      <c r="L9" s="169">
        <v>32.619999999999997</v>
      </c>
      <c r="M9" s="169">
        <f t="shared" si="0"/>
        <v>30.15</v>
      </c>
      <c r="N9" s="77">
        <v>50</v>
      </c>
      <c r="O9" s="77" t="s">
        <v>532</v>
      </c>
      <c r="P9" s="77" t="s">
        <v>488</v>
      </c>
      <c r="Q9" s="196"/>
      <c r="R9" s="197" t="s">
        <v>893</v>
      </c>
      <c r="S9" s="198" t="s">
        <v>43</v>
      </c>
      <c r="T9" s="197" t="s">
        <v>43</v>
      </c>
      <c r="U9" s="77" t="s">
        <v>989</v>
      </c>
      <c r="V9" s="198"/>
      <c r="W9" s="197" t="s">
        <v>43</v>
      </c>
      <c r="Z9" s="77">
        <v>273.2</v>
      </c>
      <c r="AA9" s="77">
        <v>27.006</v>
      </c>
      <c r="AB9" s="77"/>
      <c r="AC9" s="201">
        <f>AA9*$AC$3*1000</f>
        <v>2.7006000000000001</v>
      </c>
      <c r="AD9" s="169">
        <f t="shared" si="1"/>
        <v>0.27006000000000002</v>
      </c>
      <c r="AE9" s="199"/>
      <c r="AF9" s="199"/>
      <c r="AG9" s="199"/>
    </row>
    <row r="10" spans="1:33" s="195" customFormat="1" x14ac:dyDescent="0.2">
      <c r="A10" s="185"/>
      <c r="B10" s="77"/>
      <c r="C10" s="77"/>
      <c r="D10" s="77"/>
      <c r="E10" s="190"/>
      <c r="H10" s="77"/>
      <c r="I10" s="77"/>
      <c r="J10" s="77"/>
      <c r="K10" s="169" t="s">
        <v>43</v>
      </c>
      <c r="L10" s="169"/>
      <c r="M10" s="77" t="s">
        <v>43</v>
      </c>
      <c r="Q10" s="198" t="s">
        <v>43</v>
      </c>
      <c r="R10" s="197"/>
      <c r="S10" s="198" t="s">
        <v>43</v>
      </c>
      <c r="T10" s="197"/>
      <c r="U10" s="77"/>
      <c r="V10" s="198"/>
      <c r="W10" s="197"/>
      <c r="X10" s="198"/>
      <c r="Z10" s="77"/>
      <c r="AA10" s="77"/>
      <c r="AB10" s="77"/>
      <c r="AC10" s="201"/>
      <c r="AD10" s="169" t="s">
        <v>43</v>
      </c>
      <c r="AE10" s="199"/>
      <c r="AF10" s="199"/>
      <c r="AG10" s="199"/>
    </row>
    <row r="11" spans="1:33" s="195" customFormat="1" x14ac:dyDescent="0.2">
      <c r="A11" s="185" t="s">
        <v>622</v>
      </c>
      <c r="B11" s="77"/>
      <c r="C11" s="77">
        <v>2</v>
      </c>
      <c r="D11" s="77">
        <v>1553</v>
      </c>
      <c r="E11" s="190" t="s">
        <v>490</v>
      </c>
      <c r="F11" s="77" t="s">
        <v>800</v>
      </c>
      <c r="G11" s="77">
        <v>14</v>
      </c>
      <c r="H11" s="77" t="s">
        <v>477</v>
      </c>
      <c r="I11" s="77" t="s">
        <v>494</v>
      </c>
      <c r="J11" s="77" t="s">
        <v>1253</v>
      </c>
      <c r="K11" s="169">
        <v>2.37</v>
      </c>
      <c r="L11" s="169">
        <v>32.159999999999997</v>
      </c>
      <c r="M11" s="169">
        <f t="shared" si="0"/>
        <v>29.789999999999996</v>
      </c>
      <c r="N11" s="77">
        <v>51</v>
      </c>
      <c r="O11" s="77" t="s">
        <v>477</v>
      </c>
      <c r="P11" s="77" t="s">
        <v>509</v>
      </c>
      <c r="Q11" s="198" t="s">
        <v>43</v>
      </c>
      <c r="R11" s="197" t="s">
        <v>894</v>
      </c>
      <c r="S11" s="198">
        <v>3</v>
      </c>
      <c r="T11" s="197" t="s">
        <v>1007</v>
      </c>
      <c r="U11" s="77"/>
      <c r="V11" s="198"/>
      <c r="W11" s="197" t="s">
        <v>1072</v>
      </c>
      <c r="X11" s="198" t="s">
        <v>1102</v>
      </c>
      <c r="Z11" s="77" t="s">
        <v>619</v>
      </c>
      <c r="AA11" s="77"/>
      <c r="AB11" s="77"/>
      <c r="AC11" s="201"/>
      <c r="AD11" s="169" t="s">
        <v>43</v>
      </c>
      <c r="AE11" s="202">
        <v>-0.21712653767000992</v>
      </c>
      <c r="AF11" s="202">
        <v>16.945963453914967</v>
      </c>
      <c r="AG11" s="202">
        <v>-26.102739880794957</v>
      </c>
    </row>
    <row r="12" spans="1:33" s="195" customFormat="1" x14ac:dyDescent="0.2">
      <c r="A12" s="185"/>
      <c r="B12" s="77"/>
      <c r="C12" s="77"/>
      <c r="D12" s="77"/>
      <c r="E12" s="190" t="s">
        <v>43</v>
      </c>
      <c r="F12" s="77" t="s">
        <v>799</v>
      </c>
      <c r="G12" s="77">
        <v>14</v>
      </c>
      <c r="H12" s="77" t="s">
        <v>506</v>
      </c>
      <c r="I12" s="77" t="s">
        <v>495</v>
      </c>
      <c r="J12" s="77" t="s">
        <v>1254</v>
      </c>
      <c r="K12" s="169">
        <v>2.35</v>
      </c>
      <c r="L12" s="169">
        <v>32.1</v>
      </c>
      <c r="M12" s="169">
        <f t="shared" si="0"/>
        <v>29.75</v>
      </c>
      <c r="N12" s="77">
        <v>51</v>
      </c>
      <c r="O12" s="77" t="s">
        <v>506</v>
      </c>
      <c r="P12" s="77" t="s">
        <v>510</v>
      </c>
      <c r="Q12" s="198" t="s">
        <v>43</v>
      </c>
      <c r="R12" s="197" t="s">
        <v>896</v>
      </c>
      <c r="S12" s="198" t="s">
        <v>43</v>
      </c>
      <c r="T12" s="197" t="s">
        <v>43</v>
      </c>
      <c r="U12" s="77" t="s">
        <v>1053</v>
      </c>
      <c r="V12" s="198"/>
      <c r="W12" s="197" t="s">
        <v>43</v>
      </c>
      <c r="X12" s="198" t="s">
        <v>43</v>
      </c>
      <c r="Z12" s="77">
        <v>4.22</v>
      </c>
      <c r="AA12" s="77">
        <v>1.8324</v>
      </c>
      <c r="AB12" s="77">
        <v>-5.3999999999999999E-2</v>
      </c>
      <c r="AC12" s="201">
        <f>AA12*$AC$3*1000</f>
        <v>0.18324000000000001</v>
      </c>
      <c r="AD12" s="169">
        <f t="shared" si="1"/>
        <v>1.8324E-2</v>
      </c>
      <c r="AE12" s="199"/>
      <c r="AF12" s="199"/>
      <c r="AG12" s="199"/>
    </row>
    <row r="13" spans="1:33" s="195" customFormat="1" x14ac:dyDescent="0.2">
      <c r="A13" s="185"/>
      <c r="B13" s="77"/>
      <c r="C13" s="77"/>
      <c r="D13" s="77"/>
      <c r="E13" s="190"/>
      <c r="F13" s="77" t="s">
        <v>798</v>
      </c>
      <c r="G13" s="77">
        <v>14</v>
      </c>
      <c r="H13" s="77" t="s">
        <v>477</v>
      </c>
      <c r="I13" s="77" t="s">
        <v>496</v>
      </c>
      <c r="J13" s="77" t="s">
        <v>1257</v>
      </c>
      <c r="K13" s="169">
        <v>2.37</v>
      </c>
      <c r="L13" s="169">
        <v>32.11</v>
      </c>
      <c r="M13" s="169">
        <f t="shared" si="0"/>
        <v>29.74</v>
      </c>
      <c r="N13" s="77">
        <v>51</v>
      </c>
      <c r="O13" s="77" t="s">
        <v>477</v>
      </c>
      <c r="P13" s="77" t="s">
        <v>511</v>
      </c>
      <c r="Q13" s="198" t="s">
        <v>43</v>
      </c>
      <c r="R13" s="197" t="s">
        <v>895</v>
      </c>
      <c r="S13" s="198">
        <v>2</v>
      </c>
      <c r="T13" s="197" t="s">
        <v>1008</v>
      </c>
      <c r="U13" s="77"/>
      <c r="V13" s="198"/>
      <c r="W13" s="197" t="s">
        <v>1073</v>
      </c>
      <c r="X13" s="198" t="s">
        <v>916</v>
      </c>
      <c r="Z13" s="77">
        <v>77.349999999999994</v>
      </c>
      <c r="AA13" s="77">
        <v>6.6759000000000004</v>
      </c>
      <c r="AB13" s="77">
        <v>-2.5000000000000001E-2</v>
      </c>
      <c r="AC13" s="201">
        <f>AA13*$AC$3*1000</f>
        <v>0.66759000000000002</v>
      </c>
      <c r="AD13" s="169">
        <f t="shared" si="1"/>
        <v>6.6759000000000013E-2</v>
      </c>
      <c r="AE13" s="199"/>
      <c r="AF13" s="199"/>
      <c r="AG13" s="199"/>
    </row>
    <row r="14" spans="1:33" s="195" customFormat="1" x14ac:dyDescent="0.2">
      <c r="A14" s="185"/>
      <c r="B14" s="77"/>
      <c r="C14" s="77"/>
      <c r="D14" s="77"/>
      <c r="E14" s="190"/>
      <c r="F14" s="77" t="s">
        <v>797</v>
      </c>
      <c r="G14" s="77">
        <v>14</v>
      </c>
      <c r="H14" s="77" t="s">
        <v>506</v>
      </c>
      <c r="I14" s="77" t="s">
        <v>497</v>
      </c>
      <c r="J14" s="77" t="s">
        <v>1258</v>
      </c>
      <c r="K14" s="169">
        <v>2.38</v>
      </c>
      <c r="L14" s="169">
        <v>32.14</v>
      </c>
      <c r="M14" s="169">
        <f t="shared" si="0"/>
        <v>29.76</v>
      </c>
      <c r="N14" s="77">
        <v>51</v>
      </c>
      <c r="O14" s="77" t="s">
        <v>506</v>
      </c>
      <c r="P14" s="77" t="s">
        <v>512</v>
      </c>
      <c r="Q14" s="198" t="s">
        <v>43</v>
      </c>
      <c r="R14" s="197" t="s">
        <v>897</v>
      </c>
      <c r="S14" s="198" t="s">
        <v>43</v>
      </c>
      <c r="T14" s="197" t="s">
        <v>43</v>
      </c>
      <c r="U14" s="77" t="s">
        <v>1054</v>
      </c>
      <c r="V14" s="198"/>
      <c r="W14" s="197" t="s">
        <v>43</v>
      </c>
      <c r="Z14" s="77">
        <v>273.2</v>
      </c>
      <c r="AA14" s="77">
        <v>27.009</v>
      </c>
      <c r="AB14" s="77"/>
      <c r="AC14" s="201">
        <f>AA14*$AC$3*1000</f>
        <v>2.7008999999999999</v>
      </c>
      <c r="AD14" s="169">
        <f t="shared" si="1"/>
        <v>0.27009</v>
      </c>
      <c r="AE14" s="199"/>
      <c r="AF14" s="199"/>
      <c r="AG14" s="199"/>
    </row>
    <row r="15" spans="1:33" s="195" customFormat="1" x14ac:dyDescent="0.2">
      <c r="A15" s="185"/>
      <c r="B15" s="77"/>
      <c r="C15" s="77"/>
      <c r="D15" s="77"/>
      <c r="E15" s="190"/>
      <c r="H15" s="77"/>
      <c r="I15" s="77"/>
      <c r="J15" s="77"/>
      <c r="K15" s="169" t="s">
        <v>43</v>
      </c>
      <c r="L15" s="169"/>
      <c r="M15" s="77" t="s">
        <v>43</v>
      </c>
      <c r="O15" s="77"/>
      <c r="Q15" s="198"/>
      <c r="R15" s="197"/>
      <c r="S15" s="198" t="s">
        <v>43</v>
      </c>
      <c r="T15" s="197" t="s">
        <v>43</v>
      </c>
      <c r="U15" s="77"/>
      <c r="V15" s="198"/>
      <c r="W15" s="197" t="s">
        <v>43</v>
      </c>
      <c r="X15" s="198" t="s">
        <v>43</v>
      </c>
      <c r="Z15" s="77"/>
      <c r="AA15" s="77"/>
      <c r="AB15" s="77"/>
      <c r="AC15" s="201"/>
      <c r="AD15" s="169" t="s">
        <v>43</v>
      </c>
      <c r="AE15" s="199"/>
      <c r="AF15" s="199"/>
      <c r="AG15" s="199"/>
    </row>
    <row r="16" spans="1:33" s="195" customFormat="1" x14ac:dyDescent="0.2">
      <c r="A16" s="185" t="s">
        <v>622</v>
      </c>
      <c r="B16" s="77"/>
      <c r="C16" s="77">
        <v>3</v>
      </c>
      <c r="D16" s="77">
        <v>1554</v>
      </c>
      <c r="E16" s="190" t="s">
        <v>491</v>
      </c>
      <c r="F16" s="77" t="s">
        <v>800</v>
      </c>
      <c r="G16" s="77">
        <v>15</v>
      </c>
      <c r="H16" s="77" t="s">
        <v>477</v>
      </c>
      <c r="I16" s="77" t="s">
        <v>498</v>
      </c>
      <c r="J16" s="77" t="s">
        <v>1259</v>
      </c>
      <c r="K16" s="169">
        <v>2.39</v>
      </c>
      <c r="L16" s="169">
        <v>32.01</v>
      </c>
      <c r="M16" s="169">
        <f t="shared" si="0"/>
        <v>29.619999999999997</v>
      </c>
      <c r="N16" s="77">
        <v>52</v>
      </c>
      <c r="O16" s="77" t="s">
        <v>477</v>
      </c>
      <c r="P16" s="77" t="s">
        <v>513</v>
      </c>
      <c r="Q16" s="198"/>
      <c r="R16" s="197" t="s">
        <v>898</v>
      </c>
      <c r="S16" s="198">
        <v>3</v>
      </c>
      <c r="T16" s="197" t="s">
        <v>1009</v>
      </c>
      <c r="U16" s="77"/>
      <c r="V16" s="198"/>
      <c r="W16" s="197" t="s">
        <v>1074</v>
      </c>
      <c r="X16" s="198" t="s">
        <v>1103</v>
      </c>
      <c r="Z16" s="77" t="s">
        <v>619</v>
      </c>
      <c r="AA16" s="77"/>
      <c r="AB16" s="77"/>
      <c r="AC16" s="201"/>
      <c r="AD16" s="169" t="s">
        <v>43</v>
      </c>
      <c r="AE16" s="202">
        <v>-0.21672842733420072</v>
      </c>
      <c r="AF16" s="202">
        <v>16.938721294633847</v>
      </c>
      <c r="AG16" s="202">
        <v>-26.260298961835474</v>
      </c>
    </row>
    <row r="17" spans="1:33" s="195" customFormat="1" x14ac:dyDescent="0.2">
      <c r="A17" s="185"/>
      <c r="B17" s="77"/>
      <c r="C17" s="77"/>
      <c r="D17" s="77"/>
      <c r="E17" s="190" t="s">
        <v>43</v>
      </c>
      <c r="F17" s="77" t="s">
        <v>799</v>
      </c>
      <c r="G17" s="77">
        <v>15</v>
      </c>
      <c r="H17" s="77" t="s">
        <v>507</v>
      </c>
      <c r="I17" s="77" t="s">
        <v>499</v>
      </c>
      <c r="J17" s="77" t="s">
        <v>1260</v>
      </c>
      <c r="K17" s="169">
        <v>2.34</v>
      </c>
      <c r="L17" s="169">
        <v>31.96</v>
      </c>
      <c r="M17" s="169">
        <f t="shared" si="0"/>
        <v>29.62</v>
      </c>
      <c r="N17" s="77">
        <v>52</v>
      </c>
      <c r="O17" s="77" t="s">
        <v>507</v>
      </c>
      <c r="P17" s="77" t="s">
        <v>514</v>
      </c>
      <c r="Q17" s="198" t="s">
        <v>43</v>
      </c>
      <c r="R17" s="197" t="s">
        <v>900</v>
      </c>
      <c r="S17" s="198" t="s">
        <v>43</v>
      </c>
      <c r="T17" s="197" t="s">
        <v>43</v>
      </c>
      <c r="U17" s="77" t="s">
        <v>1055</v>
      </c>
      <c r="V17" s="198"/>
      <c r="W17" s="197" t="s">
        <v>43</v>
      </c>
      <c r="X17" s="198" t="s">
        <v>43</v>
      </c>
      <c r="Z17" s="77">
        <v>4.22</v>
      </c>
      <c r="AA17" s="77">
        <v>1.8429</v>
      </c>
      <c r="AB17" s="77">
        <v>2.7E-2</v>
      </c>
      <c r="AC17" s="201">
        <f>AA17*$AC$3*1000</f>
        <v>0.18429000000000001</v>
      </c>
      <c r="AD17" s="169">
        <f t="shared" si="1"/>
        <v>1.8428999999999997E-2</v>
      </c>
      <c r="AE17" s="199"/>
      <c r="AF17" s="199"/>
      <c r="AG17" s="199"/>
    </row>
    <row r="18" spans="1:33" s="195" customFormat="1" x14ac:dyDescent="0.2">
      <c r="A18" s="185"/>
      <c r="B18" s="77"/>
      <c r="C18" s="77"/>
      <c r="D18" s="77"/>
      <c r="E18" s="190"/>
      <c r="F18" s="77" t="s">
        <v>798</v>
      </c>
      <c r="G18" s="77">
        <v>15</v>
      </c>
      <c r="H18" s="77" t="s">
        <v>477</v>
      </c>
      <c r="I18" s="77" t="s">
        <v>500</v>
      </c>
      <c r="J18" s="77" t="s">
        <v>1261</v>
      </c>
      <c r="K18" s="169">
        <v>2.39</v>
      </c>
      <c r="L18" s="169">
        <v>32.01</v>
      </c>
      <c r="M18" s="169">
        <f t="shared" si="0"/>
        <v>29.619999999999997</v>
      </c>
      <c r="N18" s="77">
        <v>52</v>
      </c>
      <c r="O18" s="77" t="s">
        <v>477</v>
      </c>
      <c r="P18" s="77" t="s">
        <v>515</v>
      </c>
      <c r="Q18" s="198" t="s">
        <v>43</v>
      </c>
      <c r="R18" s="197" t="s">
        <v>899</v>
      </c>
      <c r="S18" s="198">
        <v>2</v>
      </c>
      <c r="T18" s="197" t="s">
        <v>1010</v>
      </c>
      <c r="U18" s="77"/>
      <c r="V18" s="198"/>
      <c r="W18" s="197" t="s">
        <v>1075</v>
      </c>
      <c r="X18" s="198" t="s">
        <v>916</v>
      </c>
      <c r="Z18" s="77">
        <v>77.349999999999994</v>
      </c>
      <c r="AA18" s="77">
        <v>6.6893000000000002</v>
      </c>
      <c r="AB18" s="77">
        <v>0.114</v>
      </c>
      <c r="AC18" s="201">
        <f>AA18*$AC$3*1000</f>
        <v>0.66893000000000014</v>
      </c>
      <c r="AD18" s="169">
        <f t="shared" si="1"/>
        <v>6.6893000000000008E-2</v>
      </c>
      <c r="AE18" s="199"/>
      <c r="AF18" s="199"/>
      <c r="AG18" s="199"/>
    </row>
    <row r="19" spans="1:33" s="195" customFormat="1" x14ac:dyDescent="0.2">
      <c r="A19" s="185"/>
      <c r="B19" s="77"/>
      <c r="C19" s="77"/>
      <c r="D19" s="77"/>
      <c r="E19" s="190"/>
      <c r="F19" s="77" t="s">
        <v>797</v>
      </c>
      <c r="G19" s="77">
        <v>15</v>
      </c>
      <c r="H19" s="77" t="s">
        <v>507</v>
      </c>
      <c r="I19" s="77" t="s">
        <v>501</v>
      </c>
      <c r="J19" s="77" t="s">
        <v>1262</v>
      </c>
      <c r="K19" s="169">
        <v>2.35</v>
      </c>
      <c r="L19" s="169">
        <v>31.97</v>
      </c>
      <c r="M19" s="169">
        <f t="shared" si="0"/>
        <v>29.619999999999997</v>
      </c>
      <c r="N19" s="77">
        <v>52</v>
      </c>
      <c r="O19" s="77" t="s">
        <v>507</v>
      </c>
      <c r="P19" s="77" t="s">
        <v>516</v>
      </c>
      <c r="Q19" s="198" t="s">
        <v>43</v>
      </c>
      <c r="R19" s="197" t="s">
        <v>901</v>
      </c>
      <c r="S19" s="198" t="s">
        <v>43</v>
      </c>
      <c r="T19" s="197" t="s">
        <v>43</v>
      </c>
      <c r="U19" s="77" t="s">
        <v>1056</v>
      </c>
      <c r="V19" s="198"/>
      <c r="W19" s="197" t="s">
        <v>43</v>
      </c>
      <c r="Z19" s="77">
        <v>273.2</v>
      </c>
      <c r="AA19" s="77">
        <v>27.021000000000001</v>
      </c>
      <c r="AB19" s="77"/>
      <c r="AC19" s="201">
        <f>AA19*$AC$3*1000</f>
        <v>2.7021000000000002</v>
      </c>
      <c r="AD19" s="169">
        <f t="shared" si="1"/>
        <v>0.27021000000000006</v>
      </c>
      <c r="AE19" s="199"/>
      <c r="AF19" s="199"/>
      <c r="AG19" s="199"/>
    </row>
    <row r="20" spans="1:33" s="195" customFormat="1" x14ac:dyDescent="0.2">
      <c r="A20" s="185"/>
      <c r="B20" s="77"/>
      <c r="C20" s="77"/>
      <c r="D20" s="77"/>
      <c r="E20" s="190"/>
      <c r="H20" s="77"/>
      <c r="I20" s="77"/>
      <c r="J20" s="77"/>
      <c r="K20" s="169" t="s">
        <v>43</v>
      </c>
      <c r="L20" s="169"/>
      <c r="M20" s="77" t="s">
        <v>43</v>
      </c>
      <c r="O20" s="77"/>
      <c r="Q20" s="198" t="s">
        <v>43</v>
      </c>
      <c r="R20" s="197"/>
      <c r="S20" s="198" t="s">
        <v>43</v>
      </c>
      <c r="T20" s="197" t="s">
        <v>43</v>
      </c>
      <c r="U20" s="77"/>
      <c r="V20" s="198"/>
      <c r="W20" s="197" t="s">
        <v>43</v>
      </c>
      <c r="X20" s="198" t="s">
        <v>43</v>
      </c>
      <c r="Z20" s="77"/>
      <c r="AA20" s="77"/>
      <c r="AB20" s="77"/>
      <c r="AC20" s="201"/>
      <c r="AD20" s="169" t="s">
        <v>43</v>
      </c>
      <c r="AE20" s="199"/>
      <c r="AF20" s="199"/>
      <c r="AG20" s="199"/>
    </row>
    <row r="21" spans="1:33" s="195" customFormat="1" x14ac:dyDescent="0.2">
      <c r="A21" s="185" t="s">
        <v>622</v>
      </c>
      <c r="B21" s="77"/>
      <c r="C21" s="77">
        <v>4</v>
      </c>
      <c r="D21" s="77">
        <v>1556</v>
      </c>
      <c r="E21" s="190" t="s">
        <v>492</v>
      </c>
      <c r="F21" s="77" t="s">
        <v>800</v>
      </c>
      <c r="G21" s="77">
        <v>16</v>
      </c>
      <c r="H21" s="77" t="s">
        <v>477</v>
      </c>
      <c r="I21" s="77" t="s">
        <v>503</v>
      </c>
      <c r="J21" s="77" t="s">
        <v>1263</v>
      </c>
      <c r="K21" s="169">
        <v>2.36</v>
      </c>
      <c r="L21" s="169">
        <v>32.36</v>
      </c>
      <c r="M21" s="169">
        <f t="shared" si="0"/>
        <v>30</v>
      </c>
      <c r="N21" s="77">
        <v>53</v>
      </c>
      <c r="O21" s="77" t="s">
        <v>477</v>
      </c>
      <c r="P21" s="77" t="s">
        <v>582</v>
      </c>
      <c r="Q21" s="198"/>
      <c r="R21" s="197" t="s">
        <v>902</v>
      </c>
      <c r="S21" s="198">
        <v>3</v>
      </c>
      <c r="T21" s="197" t="s">
        <v>1011</v>
      </c>
      <c r="U21" s="77"/>
      <c r="V21" s="198"/>
      <c r="W21" s="197" t="s">
        <v>1076</v>
      </c>
      <c r="X21" s="198" t="s">
        <v>1104</v>
      </c>
      <c r="Z21" s="77" t="s">
        <v>619</v>
      </c>
      <c r="AA21" s="77"/>
      <c r="AB21" s="77"/>
      <c r="AC21" s="201"/>
      <c r="AD21" s="169" t="s">
        <v>43</v>
      </c>
      <c r="AE21" s="202">
        <v>-0.21718864186169101</v>
      </c>
      <c r="AF21" s="202">
        <v>16.944247153705408</v>
      </c>
      <c r="AG21" s="202">
        <v>-26.026714683626963</v>
      </c>
    </row>
    <row r="22" spans="1:33" s="195" customFormat="1" x14ac:dyDescent="0.2">
      <c r="A22" s="185"/>
      <c r="B22" s="77"/>
      <c r="C22" s="77"/>
      <c r="D22" s="77"/>
      <c r="E22" s="190" t="s">
        <v>43</v>
      </c>
      <c r="F22" s="77" t="s">
        <v>799</v>
      </c>
      <c r="G22" s="77">
        <v>16</v>
      </c>
      <c r="H22" s="77" t="s">
        <v>508</v>
      </c>
      <c r="I22" s="77" t="s">
        <v>502</v>
      </c>
      <c r="J22" s="77" t="s">
        <v>1264</v>
      </c>
      <c r="K22" s="169">
        <v>2.38</v>
      </c>
      <c r="L22" s="169">
        <v>32.33</v>
      </c>
      <c r="M22" s="169">
        <f t="shared" si="0"/>
        <v>29.95</v>
      </c>
      <c r="N22" s="77">
        <v>53</v>
      </c>
      <c r="O22" s="77" t="s">
        <v>508</v>
      </c>
      <c r="P22" s="77" t="s">
        <v>517</v>
      </c>
      <c r="Q22" s="198" t="s">
        <v>43</v>
      </c>
      <c r="R22" s="197" t="s">
        <v>904</v>
      </c>
      <c r="S22" s="198" t="s">
        <v>43</v>
      </c>
      <c r="T22" s="197" t="s">
        <v>43</v>
      </c>
      <c r="U22" s="77" t="s">
        <v>1057</v>
      </c>
      <c r="V22" s="198"/>
      <c r="W22" s="197" t="s">
        <v>43</v>
      </c>
      <c r="X22" s="198" t="s">
        <v>43</v>
      </c>
      <c r="Z22" s="77">
        <v>4.22</v>
      </c>
      <c r="AA22" s="77">
        <v>1.8279000000000001</v>
      </c>
      <c r="AB22" s="77">
        <v>-1.15E-2</v>
      </c>
      <c r="AC22" s="201">
        <f>AA22*$AC$3*1000</f>
        <v>0.18279000000000001</v>
      </c>
      <c r="AD22" s="169">
        <f t="shared" si="1"/>
        <v>1.8279E-2</v>
      </c>
      <c r="AE22" s="199"/>
      <c r="AF22" s="199"/>
      <c r="AG22" s="199"/>
    </row>
    <row r="23" spans="1:33" s="195" customFormat="1" x14ac:dyDescent="0.2">
      <c r="A23" s="185"/>
      <c r="B23" s="77"/>
      <c r="C23" s="77"/>
      <c r="D23" s="77"/>
      <c r="E23" s="190"/>
      <c r="F23" s="77" t="s">
        <v>798</v>
      </c>
      <c r="G23" s="77">
        <v>16</v>
      </c>
      <c r="H23" s="77" t="s">
        <v>477</v>
      </c>
      <c r="I23" s="77" t="s">
        <v>504</v>
      </c>
      <c r="J23" s="77" t="s">
        <v>1265</v>
      </c>
      <c r="K23" s="169">
        <v>2.35</v>
      </c>
      <c r="L23" s="169">
        <v>32.369999999999997</v>
      </c>
      <c r="M23" s="169">
        <f t="shared" si="0"/>
        <v>30.019999999999996</v>
      </c>
      <c r="N23" s="77">
        <v>53</v>
      </c>
      <c r="O23" s="77" t="s">
        <v>477</v>
      </c>
      <c r="P23" s="77" t="s">
        <v>518</v>
      </c>
      <c r="Q23" s="198"/>
      <c r="R23" s="197" t="s">
        <v>903</v>
      </c>
      <c r="S23" s="198">
        <v>2</v>
      </c>
      <c r="T23" s="197" t="s">
        <v>1012</v>
      </c>
      <c r="U23" s="77"/>
      <c r="V23" s="198"/>
      <c r="W23" s="197" t="s">
        <v>1077</v>
      </c>
      <c r="X23" s="198" t="s">
        <v>916</v>
      </c>
      <c r="Z23" s="77">
        <v>77.349999999999994</v>
      </c>
      <c r="AA23" s="77">
        <v>6.6715</v>
      </c>
      <c r="AB23" s="77">
        <v>-7.0000000000000007E-2</v>
      </c>
      <c r="AC23" s="201">
        <f>AA23*$AC$3*1000</f>
        <v>0.66715000000000002</v>
      </c>
      <c r="AD23" s="169">
        <f t="shared" si="1"/>
        <v>6.6714999999999997E-2</v>
      </c>
      <c r="AE23" s="199"/>
      <c r="AF23" s="199"/>
      <c r="AG23" s="199"/>
    </row>
    <row r="24" spans="1:33" s="195" customFormat="1" x14ac:dyDescent="0.2">
      <c r="A24" s="185"/>
      <c r="B24" s="77"/>
      <c r="C24" s="77"/>
      <c r="D24" s="77"/>
      <c r="E24" s="190"/>
      <c r="F24" s="77" t="s">
        <v>797</v>
      </c>
      <c r="G24" s="77">
        <v>16</v>
      </c>
      <c r="H24" s="77" t="s">
        <v>508</v>
      </c>
      <c r="I24" s="77" t="s">
        <v>505</v>
      </c>
      <c r="J24" s="77" t="s">
        <v>1266</v>
      </c>
      <c r="K24" s="169">
        <v>2.4</v>
      </c>
      <c r="L24" s="169">
        <v>32.369999999999997</v>
      </c>
      <c r="M24" s="169">
        <f t="shared" si="0"/>
        <v>29.97</v>
      </c>
      <c r="N24" s="77">
        <v>53</v>
      </c>
      <c r="O24" s="77" t="s">
        <v>508</v>
      </c>
      <c r="P24" s="77" t="s">
        <v>519</v>
      </c>
      <c r="Q24" s="198" t="s">
        <v>43</v>
      </c>
      <c r="R24" s="197" t="s">
        <v>905</v>
      </c>
      <c r="S24" s="198" t="s">
        <v>43</v>
      </c>
      <c r="T24" s="197" t="s">
        <v>43</v>
      </c>
      <c r="U24" s="77" t="s">
        <v>1058</v>
      </c>
      <c r="V24" s="198"/>
      <c r="W24" s="197" t="s">
        <v>43</v>
      </c>
      <c r="Z24" s="77">
        <v>273.2</v>
      </c>
      <c r="AA24" s="77">
        <v>27.012</v>
      </c>
      <c r="AB24" s="77"/>
      <c r="AC24" s="201">
        <f>AA24*$AC$3*1000</f>
        <v>2.7012000000000005</v>
      </c>
      <c r="AD24" s="169">
        <f t="shared" si="1"/>
        <v>0.27011999999999997</v>
      </c>
      <c r="AE24" s="199"/>
      <c r="AF24" s="199"/>
      <c r="AG24" s="199"/>
    </row>
    <row r="25" spans="1:33" s="195" customFormat="1" x14ac:dyDescent="0.2">
      <c r="A25" s="185"/>
      <c r="B25" s="77"/>
      <c r="C25" s="77"/>
      <c r="D25" s="77"/>
      <c r="E25" s="190"/>
      <c r="H25" s="77"/>
      <c r="I25" s="77"/>
      <c r="J25" s="77"/>
      <c r="K25" s="169" t="s">
        <v>43</v>
      </c>
      <c r="L25" s="169"/>
      <c r="M25" s="77" t="s">
        <v>43</v>
      </c>
      <c r="Q25" s="198" t="s">
        <v>43</v>
      </c>
      <c r="R25" s="197"/>
      <c r="S25" s="198"/>
      <c r="T25" s="197"/>
      <c r="U25" s="77"/>
      <c r="V25" s="198"/>
      <c r="W25" s="197"/>
      <c r="X25" s="198"/>
      <c r="Z25" s="77"/>
      <c r="AA25" s="77"/>
      <c r="AB25" s="77"/>
      <c r="AC25" s="201"/>
      <c r="AD25" s="169" t="s">
        <v>43</v>
      </c>
      <c r="AE25" s="199"/>
      <c r="AF25" s="199"/>
      <c r="AG25" s="199"/>
    </row>
    <row r="26" spans="1:33" s="195" customFormat="1" x14ac:dyDescent="0.2">
      <c r="A26" s="185" t="s">
        <v>622</v>
      </c>
      <c r="B26" s="77"/>
      <c r="C26" s="77">
        <v>5</v>
      </c>
      <c r="D26" s="77">
        <v>1557</v>
      </c>
      <c r="E26" s="190" t="s">
        <v>520</v>
      </c>
      <c r="F26" s="77" t="s">
        <v>800</v>
      </c>
      <c r="G26" s="77">
        <v>17</v>
      </c>
      <c r="H26" s="77" t="s">
        <v>477</v>
      </c>
      <c r="I26" s="77" t="s">
        <v>537</v>
      </c>
      <c r="J26" s="77" t="s">
        <v>1269</v>
      </c>
      <c r="K26" s="169">
        <v>2.39</v>
      </c>
      <c r="L26" s="169">
        <v>32.61</v>
      </c>
      <c r="M26" s="169">
        <f t="shared" si="0"/>
        <v>30.22</v>
      </c>
      <c r="N26" s="77">
        <v>54</v>
      </c>
      <c r="O26" s="77" t="s">
        <v>477</v>
      </c>
      <c r="P26" s="77" t="s">
        <v>583</v>
      </c>
      <c r="Q26" s="198" t="s">
        <v>43</v>
      </c>
      <c r="R26" s="197" t="s">
        <v>906</v>
      </c>
      <c r="S26" s="198">
        <v>3</v>
      </c>
      <c r="T26" s="197" t="s">
        <v>1014</v>
      </c>
      <c r="U26" s="77"/>
      <c r="V26" s="198"/>
      <c r="W26" s="197" t="s">
        <v>1078</v>
      </c>
      <c r="X26" s="198" t="s">
        <v>1105</v>
      </c>
      <c r="Z26" s="77" t="s">
        <v>619</v>
      </c>
      <c r="AA26" s="77"/>
      <c r="AB26" s="77"/>
      <c r="AC26" s="201"/>
      <c r="AD26" s="169" t="s">
        <v>43</v>
      </c>
      <c r="AE26" s="202">
        <v>-0.21686670478527953</v>
      </c>
      <c r="AF26" s="202">
        <v>16.936584265929582</v>
      </c>
      <c r="AG26" s="202">
        <v>-25.981494959748112</v>
      </c>
    </row>
    <row r="27" spans="1:33" s="195" customFormat="1" x14ac:dyDescent="0.2">
      <c r="A27" s="185"/>
      <c r="B27" s="77"/>
      <c r="C27" s="77"/>
      <c r="D27" s="77"/>
      <c r="E27" s="190" t="s">
        <v>43</v>
      </c>
      <c r="F27" s="77" t="s">
        <v>799</v>
      </c>
      <c r="G27" s="77">
        <v>17</v>
      </c>
      <c r="H27" s="77" t="s">
        <v>530</v>
      </c>
      <c r="I27" s="77" t="s">
        <v>538</v>
      </c>
      <c r="J27" s="77" t="s">
        <v>1270</v>
      </c>
      <c r="K27" s="169">
        <v>2.38</v>
      </c>
      <c r="L27" s="169">
        <v>32.54</v>
      </c>
      <c r="M27" s="169">
        <f t="shared" si="0"/>
        <v>30.16</v>
      </c>
      <c r="N27" s="77">
        <v>54</v>
      </c>
      <c r="O27" s="77" t="s">
        <v>530</v>
      </c>
      <c r="P27" s="77" t="s">
        <v>584</v>
      </c>
      <c r="Q27" s="198"/>
      <c r="R27" s="197" t="s">
        <v>924</v>
      </c>
      <c r="S27" s="198" t="s">
        <v>43</v>
      </c>
      <c r="T27" s="197" t="s">
        <v>43</v>
      </c>
      <c r="U27" s="77" t="s">
        <v>1059</v>
      </c>
      <c r="V27" s="198"/>
      <c r="W27" s="197" t="s">
        <v>43</v>
      </c>
      <c r="X27" s="198" t="s">
        <v>43</v>
      </c>
      <c r="Z27" s="77">
        <v>4.22</v>
      </c>
      <c r="AA27" s="77">
        <v>1.8259000000000001</v>
      </c>
      <c r="AB27" s="77">
        <v>-0.1048</v>
      </c>
      <c r="AC27" s="201">
        <f>AA27*$AC$3*1000</f>
        <v>0.18259000000000003</v>
      </c>
      <c r="AD27" s="169">
        <f t="shared" si="1"/>
        <v>1.8259000000000001E-2</v>
      </c>
      <c r="AE27" s="199"/>
      <c r="AF27" s="199"/>
      <c r="AG27" s="199"/>
    </row>
    <row r="28" spans="1:33" s="195" customFormat="1" x14ac:dyDescent="0.2">
      <c r="A28" s="185"/>
      <c r="B28" s="77"/>
      <c r="C28" s="77"/>
      <c r="D28" s="77"/>
      <c r="E28" s="190"/>
      <c r="F28" s="77" t="s">
        <v>798</v>
      </c>
      <c r="G28" s="77">
        <v>17</v>
      </c>
      <c r="H28" s="77" t="s">
        <v>477</v>
      </c>
      <c r="I28" s="77" t="s">
        <v>1267</v>
      </c>
      <c r="J28" s="77" t="s">
        <v>1271</v>
      </c>
      <c r="K28" s="169">
        <v>2.38</v>
      </c>
      <c r="L28" s="169">
        <v>32.58</v>
      </c>
      <c r="M28" s="169">
        <f t="shared" si="0"/>
        <v>30.2</v>
      </c>
      <c r="N28" s="77">
        <v>54</v>
      </c>
      <c r="O28" s="77" t="s">
        <v>477</v>
      </c>
      <c r="P28" s="77" t="s">
        <v>585</v>
      </c>
      <c r="Q28" s="198" t="s">
        <v>43</v>
      </c>
      <c r="R28" s="197" t="s">
        <v>907</v>
      </c>
      <c r="S28" s="198">
        <v>2</v>
      </c>
      <c r="T28" s="197" t="s">
        <v>1013</v>
      </c>
      <c r="U28" s="77"/>
      <c r="V28" s="198"/>
      <c r="W28" s="197" t="s">
        <v>1079</v>
      </c>
      <c r="X28" s="198" t="s">
        <v>916</v>
      </c>
      <c r="Z28" s="77">
        <v>77.349999999999994</v>
      </c>
      <c r="AA28" s="77">
        <v>6.6708999999999996</v>
      </c>
      <c r="AB28" s="77">
        <v>-7.5999999999999998E-2</v>
      </c>
      <c r="AC28" s="201">
        <f>AA28*$AC$3*1000</f>
        <v>0.66708999999999996</v>
      </c>
      <c r="AD28" s="169">
        <f t="shared" si="1"/>
        <v>6.6708999999999991E-2</v>
      </c>
      <c r="AE28" s="199"/>
      <c r="AF28" s="199"/>
      <c r="AG28" s="199"/>
    </row>
    <row r="29" spans="1:33" s="195" customFormat="1" x14ac:dyDescent="0.2">
      <c r="A29" s="185"/>
      <c r="B29" s="77"/>
      <c r="C29" s="77"/>
      <c r="D29" s="77"/>
      <c r="E29" s="190"/>
      <c r="F29" s="77" t="s">
        <v>797</v>
      </c>
      <c r="G29" s="77">
        <v>17</v>
      </c>
      <c r="H29" s="77" t="s">
        <v>530</v>
      </c>
      <c r="I29" s="77" t="s">
        <v>1268</v>
      </c>
      <c r="J29" s="77" t="s">
        <v>1272</v>
      </c>
      <c r="K29" s="169">
        <v>2.36</v>
      </c>
      <c r="L29" s="169">
        <v>32.58</v>
      </c>
      <c r="M29" s="169">
        <f t="shared" si="0"/>
        <v>30.22</v>
      </c>
      <c r="N29" s="77">
        <v>54</v>
      </c>
      <c r="O29" s="77" t="s">
        <v>530</v>
      </c>
      <c r="P29" s="77" t="s">
        <v>576</v>
      </c>
      <c r="Q29" s="198" t="s">
        <v>43</v>
      </c>
      <c r="R29" s="197" t="s">
        <v>925</v>
      </c>
      <c r="S29" s="198" t="s">
        <v>43</v>
      </c>
      <c r="T29" s="197" t="s">
        <v>43</v>
      </c>
      <c r="U29" s="77" t="s">
        <v>1060</v>
      </c>
      <c r="V29" s="198"/>
      <c r="W29" s="197" t="s">
        <v>43</v>
      </c>
      <c r="Z29" s="77">
        <v>273.2</v>
      </c>
      <c r="AA29" s="77">
        <v>26.998000000000001</v>
      </c>
      <c r="AB29" s="77"/>
      <c r="AC29" s="201">
        <f>AA29*$AC$3*1000</f>
        <v>2.6998000000000002</v>
      </c>
      <c r="AD29" s="169">
        <f t="shared" si="1"/>
        <v>0.26998000000000005</v>
      </c>
      <c r="AE29" s="199"/>
      <c r="AF29" s="199"/>
      <c r="AG29" s="199"/>
    </row>
    <row r="30" spans="1:33" s="195" customFormat="1" x14ac:dyDescent="0.2">
      <c r="A30" s="185"/>
      <c r="B30" s="77"/>
      <c r="C30" s="77"/>
      <c r="D30" s="77"/>
      <c r="E30" s="190"/>
      <c r="H30" s="77"/>
      <c r="I30" s="77"/>
      <c r="J30" s="77"/>
      <c r="K30" s="169" t="s">
        <v>43</v>
      </c>
      <c r="L30" s="169"/>
      <c r="M30" s="77" t="s">
        <v>43</v>
      </c>
      <c r="O30" s="77"/>
      <c r="Q30" s="198"/>
      <c r="R30" s="197"/>
      <c r="S30" s="198" t="s">
        <v>43</v>
      </c>
      <c r="T30" s="197" t="s">
        <v>43</v>
      </c>
      <c r="U30" s="77"/>
      <c r="V30" s="198"/>
      <c r="W30" s="197" t="s">
        <v>43</v>
      </c>
      <c r="X30" s="198" t="s">
        <v>43</v>
      </c>
      <c r="Z30" s="77"/>
      <c r="AA30" s="77"/>
      <c r="AB30" s="77"/>
      <c r="AC30" s="201"/>
      <c r="AD30" s="169" t="s">
        <v>43</v>
      </c>
      <c r="AE30" s="199"/>
      <c r="AF30" s="199"/>
      <c r="AG30" s="199"/>
    </row>
    <row r="31" spans="1:33" s="195" customFormat="1" x14ac:dyDescent="0.2">
      <c r="A31" s="185" t="s">
        <v>622</v>
      </c>
      <c r="B31" s="77"/>
      <c r="C31" s="77">
        <v>6</v>
      </c>
      <c r="D31" s="77">
        <v>1558</v>
      </c>
      <c r="E31" s="190" t="s">
        <v>521</v>
      </c>
      <c r="F31" s="77" t="s">
        <v>800</v>
      </c>
      <c r="G31" s="77">
        <v>18</v>
      </c>
      <c r="H31" s="77" t="s">
        <v>477</v>
      </c>
      <c r="I31" s="77" t="s">
        <v>539</v>
      </c>
      <c r="J31" s="200" t="s">
        <v>1240</v>
      </c>
      <c r="K31" s="169">
        <v>2.34</v>
      </c>
      <c r="L31" s="169">
        <v>32.270000000000003</v>
      </c>
      <c r="M31" s="169">
        <f>L31-K31</f>
        <v>29.930000000000003</v>
      </c>
      <c r="N31" s="77">
        <v>55</v>
      </c>
      <c r="O31" s="77" t="s">
        <v>477</v>
      </c>
      <c r="P31" s="77" t="s">
        <v>577</v>
      </c>
      <c r="Q31" s="198" t="s">
        <v>43</v>
      </c>
      <c r="R31" s="197" t="s">
        <v>926</v>
      </c>
      <c r="S31" s="198">
        <v>3</v>
      </c>
      <c r="T31" s="197" t="s">
        <v>1015</v>
      </c>
      <c r="U31" s="77"/>
      <c r="V31" s="198"/>
      <c r="W31" s="197" t="s">
        <v>1080</v>
      </c>
      <c r="X31" s="198" t="s">
        <v>1106</v>
      </c>
      <c r="Z31" s="77" t="s">
        <v>619</v>
      </c>
      <c r="AA31" s="77"/>
      <c r="AB31" s="77"/>
      <c r="AC31" s="201"/>
      <c r="AD31" s="169" t="s">
        <v>43</v>
      </c>
      <c r="AE31" s="202">
        <v>-0.21754560881115839</v>
      </c>
      <c r="AF31" s="202">
        <v>16.959148710416105</v>
      </c>
      <c r="AG31" s="202">
        <v>-26.127109620509131</v>
      </c>
    </row>
    <row r="32" spans="1:33" s="195" customFormat="1" x14ac:dyDescent="0.2">
      <c r="A32" s="185"/>
      <c r="B32" s="77"/>
      <c r="C32" s="77"/>
      <c r="D32" s="77"/>
      <c r="E32" s="190" t="s">
        <v>43</v>
      </c>
      <c r="F32" s="77" t="s">
        <v>799</v>
      </c>
      <c r="G32" s="77">
        <v>18</v>
      </c>
      <c r="H32" s="77" t="s">
        <v>531</v>
      </c>
      <c r="I32" s="77" t="s">
        <v>540</v>
      </c>
      <c r="J32" s="200" t="s">
        <v>1241</v>
      </c>
      <c r="K32" s="169">
        <v>2.4300000000000002</v>
      </c>
      <c r="L32" s="169">
        <v>32.33</v>
      </c>
      <c r="M32" s="169">
        <f t="shared" ref="M32" si="2">L32-K32</f>
        <v>29.9</v>
      </c>
      <c r="N32" s="77">
        <v>55</v>
      </c>
      <c r="O32" s="77" t="s">
        <v>531</v>
      </c>
      <c r="P32" s="77" t="s">
        <v>586</v>
      </c>
      <c r="Q32" s="198" t="s">
        <v>43</v>
      </c>
      <c r="R32" s="197" t="s">
        <v>928</v>
      </c>
      <c r="S32" s="198" t="s">
        <v>43</v>
      </c>
      <c r="T32" s="197" t="s">
        <v>43</v>
      </c>
      <c r="U32" s="77" t="s">
        <v>1061</v>
      </c>
      <c r="V32" s="198"/>
      <c r="W32" s="197" t="s">
        <v>43</v>
      </c>
      <c r="X32" s="198" t="s">
        <v>43</v>
      </c>
      <c r="Z32" s="77">
        <v>4.22</v>
      </c>
      <c r="AA32" s="77">
        <v>1.8325</v>
      </c>
      <c r="AB32" s="77">
        <v>-5.2999999999999999E-2</v>
      </c>
      <c r="AC32" s="201">
        <f>AA32*$AC$3*1000</f>
        <v>0.18325</v>
      </c>
      <c r="AD32" s="169">
        <f t="shared" si="1"/>
        <v>1.8325000000000001E-2</v>
      </c>
      <c r="AE32" s="199"/>
      <c r="AF32" s="199"/>
      <c r="AG32" s="199"/>
    </row>
    <row r="33" spans="1:33" s="195" customFormat="1" x14ac:dyDescent="0.2">
      <c r="A33" s="185"/>
      <c r="B33" s="77"/>
      <c r="C33" s="77"/>
      <c r="D33" s="77"/>
      <c r="E33" s="190"/>
      <c r="F33" s="77" t="s">
        <v>798</v>
      </c>
      <c r="G33" s="77">
        <v>18</v>
      </c>
      <c r="H33" s="77" t="s">
        <v>477</v>
      </c>
      <c r="I33" s="77" t="s">
        <v>541</v>
      </c>
      <c r="J33" s="77" t="s">
        <v>1255</v>
      </c>
      <c r="K33" s="169">
        <v>2.35</v>
      </c>
      <c r="L33" s="169">
        <v>32.229999999999997</v>
      </c>
      <c r="M33" s="169">
        <f>L33-K33</f>
        <v>29.879999999999995</v>
      </c>
      <c r="N33" s="77">
        <v>55</v>
      </c>
      <c r="O33" s="77" t="s">
        <v>477</v>
      </c>
      <c r="P33" s="77" t="s">
        <v>587</v>
      </c>
      <c r="Q33" s="198"/>
      <c r="R33" s="197" t="s">
        <v>927</v>
      </c>
      <c r="S33" s="198">
        <v>2</v>
      </c>
      <c r="T33" s="197" t="s">
        <v>1016</v>
      </c>
      <c r="U33" s="77"/>
      <c r="V33" s="198"/>
      <c r="W33" s="197" t="s">
        <v>1081</v>
      </c>
      <c r="X33" s="198" t="s">
        <v>916</v>
      </c>
      <c r="Z33" s="77">
        <v>77.349999999999994</v>
      </c>
      <c r="AA33" s="77">
        <v>6.6726999999999999</v>
      </c>
      <c r="AB33" s="77">
        <v>-5.8000000000000003E-2</v>
      </c>
      <c r="AC33" s="201">
        <f>AA33*$AC$3*1000</f>
        <v>0.66726999999999992</v>
      </c>
      <c r="AD33" s="169">
        <f t="shared" si="1"/>
        <v>6.6726999999999995E-2</v>
      </c>
      <c r="AE33" s="199"/>
      <c r="AF33" s="199"/>
      <c r="AG33" s="199"/>
    </row>
    <row r="34" spans="1:33" s="195" customFormat="1" x14ac:dyDescent="0.2">
      <c r="A34" s="185"/>
      <c r="B34" s="77"/>
      <c r="C34" s="77"/>
      <c r="D34" s="77"/>
      <c r="E34" s="190"/>
      <c r="F34" s="77" t="s">
        <v>797</v>
      </c>
      <c r="G34" s="77">
        <v>18</v>
      </c>
      <c r="H34" s="77" t="s">
        <v>531</v>
      </c>
      <c r="I34" s="77" t="s">
        <v>542</v>
      </c>
      <c r="J34" s="77" t="s">
        <v>1256</v>
      </c>
      <c r="K34" s="169">
        <v>2.4700000000000002</v>
      </c>
      <c r="L34" s="169">
        <v>32.33</v>
      </c>
      <c r="M34" s="169">
        <f t="shared" ref="M34" si="3">L34-K34</f>
        <v>29.86</v>
      </c>
      <c r="N34" s="77">
        <v>55</v>
      </c>
      <c r="O34" s="77" t="s">
        <v>531</v>
      </c>
      <c r="P34" s="77" t="s">
        <v>575</v>
      </c>
      <c r="Q34" s="198" t="s">
        <v>43</v>
      </c>
      <c r="R34" s="197" t="s">
        <v>929</v>
      </c>
      <c r="S34" s="198" t="s">
        <v>43</v>
      </c>
      <c r="T34" s="197" t="s">
        <v>43</v>
      </c>
      <c r="U34" s="77" t="s">
        <v>1062</v>
      </c>
      <c r="V34" s="198"/>
      <c r="W34" s="197" t="s">
        <v>43</v>
      </c>
      <c r="Z34" s="77">
        <v>273.2</v>
      </c>
      <c r="AA34" s="77">
        <v>27.004000000000001</v>
      </c>
      <c r="AB34" s="77"/>
      <c r="AC34" s="201">
        <f>AA34*$AC$3*1000</f>
        <v>2.7004000000000006</v>
      </c>
      <c r="AD34" s="169">
        <f t="shared" si="1"/>
        <v>0.27004</v>
      </c>
      <c r="AE34" s="199"/>
      <c r="AF34" s="199"/>
      <c r="AG34" s="199"/>
    </row>
    <row r="35" spans="1:33" s="195" customFormat="1" x14ac:dyDescent="0.2">
      <c r="A35" s="185"/>
      <c r="B35" s="77"/>
      <c r="C35" s="77"/>
      <c r="D35" s="77"/>
      <c r="E35" s="190"/>
      <c r="H35" s="77"/>
      <c r="I35" s="77"/>
      <c r="J35" s="77"/>
      <c r="K35" s="169" t="s">
        <v>43</v>
      </c>
      <c r="L35" s="169"/>
      <c r="M35" s="77"/>
      <c r="O35" s="77"/>
      <c r="Q35" s="198" t="s">
        <v>43</v>
      </c>
      <c r="R35" s="197"/>
      <c r="S35" s="198"/>
      <c r="T35" s="197"/>
      <c r="U35" s="77"/>
      <c r="V35" s="198"/>
      <c r="W35" s="197"/>
      <c r="X35" s="198"/>
      <c r="Z35" s="77"/>
      <c r="AA35" s="77"/>
      <c r="AB35" s="77"/>
      <c r="AC35" s="201"/>
      <c r="AD35" s="169" t="s">
        <v>43</v>
      </c>
      <c r="AE35" s="199"/>
      <c r="AF35" s="199"/>
      <c r="AG35" s="199"/>
    </row>
    <row r="36" spans="1:33" s="195" customFormat="1" x14ac:dyDescent="0.2">
      <c r="A36" s="185" t="s">
        <v>622</v>
      </c>
      <c r="B36" s="77"/>
      <c r="C36" s="77">
        <v>7</v>
      </c>
      <c r="D36" s="77">
        <v>1559</v>
      </c>
      <c r="E36" s="190" t="s">
        <v>522</v>
      </c>
      <c r="F36" s="77" t="s">
        <v>800</v>
      </c>
      <c r="G36" s="77">
        <v>19</v>
      </c>
      <c r="H36" s="77" t="s">
        <v>506</v>
      </c>
      <c r="I36" s="77" t="s">
        <v>543</v>
      </c>
      <c r="J36" s="77" t="s">
        <v>1253</v>
      </c>
      <c r="K36" s="169">
        <v>2.37</v>
      </c>
      <c r="L36" s="169">
        <v>32.07</v>
      </c>
      <c r="M36" s="169">
        <f t="shared" ref="M36:M39" si="4">L36-K36</f>
        <v>29.7</v>
      </c>
      <c r="N36" s="77">
        <v>63</v>
      </c>
      <c r="O36" s="77" t="s">
        <v>506</v>
      </c>
      <c r="P36" s="77" t="s">
        <v>578</v>
      </c>
      <c r="Q36" s="198" t="s">
        <v>43</v>
      </c>
      <c r="R36" s="197" t="s">
        <v>930</v>
      </c>
      <c r="S36" s="198">
        <v>3</v>
      </c>
      <c r="T36" s="197" t="s">
        <v>1017</v>
      </c>
      <c r="U36" s="77"/>
      <c r="V36" s="198"/>
      <c r="W36" s="197" t="s">
        <v>1082</v>
      </c>
      <c r="X36" s="198" t="s">
        <v>1107</v>
      </c>
      <c r="Z36" s="77" t="s">
        <v>619</v>
      </c>
      <c r="AA36" s="77"/>
      <c r="AB36" s="77"/>
      <c r="AC36" s="201"/>
      <c r="AD36" s="169" t="s">
        <v>43</v>
      </c>
      <c r="AE36" s="202">
        <v>-0.2179275137706369</v>
      </c>
      <c r="AF36" s="202">
        <v>16.969602398769375</v>
      </c>
      <c r="AG36" s="202">
        <v>-26.099703322958462</v>
      </c>
    </row>
    <row r="37" spans="1:33" s="195" customFormat="1" x14ac:dyDescent="0.2">
      <c r="A37" s="185"/>
      <c r="B37" s="77"/>
      <c r="E37" s="190" t="s">
        <v>43</v>
      </c>
      <c r="F37" s="77" t="s">
        <v>799</v>
      </c>
      <c r="G37" s="77">
        <v>19</v>
      </c>
      <c r="H37" s="77" t="s">
        <v>532</v>
      </c>
      <c r="I37" s="77" t="s">
        <v>544</v>
      </c>
      <c r="J37" s="77" t="s">
        <v>1254</v>
      </c>
      <c r="K37" s="169">
        <v>2.35</v>
      </c>
      <c r="L37" s="169">
        <v>32.07</v>
      </c>
      <c r="M37" s="169">
        <f t="shared" si="4"/>
        <v>29.72</v>
      </c>
      <c r="N37" s="77">
        <v>63</v>
      </c>
      <c r="O37" s="77" t="s">
        <v>532</v>
      </c>
      <c r="P37" s="77" t="s">
        <v>588</v>
      </c>
      <c r="Q37" s="198"/>
      <c r="R37" s="197" t="s">
        <v>932</v>
      </c>
      <c r="S37" s="198" t="s">
        <v>43</v>
      </c>
      <c r="T37" s="197" t="s">
        <v>43</v>
      </c>
      <c r="U37" s="77" t="s">
        <v>1063</v>
      </c>
      <c r="V37" s="198"/>
      <c r="W37" s="197" t="s">
        <v>43</v>
      </c>
      <c r="X37" s="198" t="s">
        <v>43</v>
      </c>
      <c r="Z37" s="77">
        <v>4.22</v>
      </c>
      <c r="AA37" s="77">
        <v>1.8297000000000001</v>
      </c>
      <c r="AB37" s="77">
        <v>-7.4999999999999997E-2</v>
      </c>
      <c r="AC37" s="201">
        <f>AA37*$AC$3*1000</f>
        <v>0.18297000000000002</v>
      </c>
      <c r="AD37" s="169">
        <f t="shared" si="1"/>
        <v>1.8297000000000001E-2</v>
      </c>
      <c r="AE37" s="199"/>
      <c r="AF37" s="199"/>
      <c r="AG37" s="199"/>
    </row>
    <row r="38" spans="1:33" s="195" customFormat="1" x14ac:dyDescent="0.2">
      <c r="A38" s="185"/>
      <c r="B38" s="77"/>
      <c r="C38" s="77"/>
      <c r="D38" s="77"/>
      <c r="E38" s="190"/>
      <c r="F38" s="77" t="s">
        <v>798</v>
      </c>
      <c r="G38" s="77">
        <v>19</v>
      </c>
      <c r="H38" s="77" t="s">
        <v>506</v>
      </c>
      <c r="I38" s="77" t="s">
        <v>545</v>
      </c>
      <c r="J38" s="77" t="s">
        <v>1257</v>
      </c>
      <c r="K38" s="169">
        <v>2.37</v>
      </c>
      <c r="L38" s="169">
        <v>32.06</v>
      </c>
      <c r="M38" s="169">
        <f t="shared" si="4"/>
        <v>29.69</v>
      </c>
      <c r="N38" s="77">
        <v>63</v>
      </c>
      <c r="O38" s="77" t="s">
        <v>506</v>
      </c>
      <c r="P38" s="77" t="s">
        <v>589</v>
      </c>
      <c r="Q38" s="198" t="s">
        <v>43</v>
      </c>
      <c r="R38" s="197" t="s">
        <v>931</v>
      </c>
      <c r="S38" s="198">
        <v>2</v>
      </c>
      <c r="T38" s="197" t="s">
        <v>1018</v>
      </c>
      <c r="U38" s="77"/>
      <c r="V38" s="198"/>
      <c r="W38" s="197" t="s">
        <v>1083</v>
      </c>
      <c r="X38" s="198" t="s">
        <v>916</v>
      </c>
      <c r="Z38" s="77">
        <v>77.349999999999994</v>
      </c>
      <c r="AA38" s="77">
        <v>6.6669999999999998</v>
      </c>
      <c r="AB38" s="77">
        <v>-0.11600000000000001</v>
      </c>
      <c r="AC38" s="201">
        <f>AA38*$AC$3*1000</f>
        <v>0.66669999999999996</v>
      </c>
      <c r="AD38" s="169">
        <f t="shared" si="1"/>
        <v>6.6670000000000007E-2</v>
      </c>
      <c r="AE38" s="199"/>
      <c r="AF38" s="199"/>
      <c r="AG38" s="199"/>
    </row>
    <row r="39" spans="1:33" s="195" customFormat="1" x14ac:dyDescent="0.2">
      <c r="A39" s="185"/>
      <c r="B39" s="77"/>
      <c r="C39" s="77"/>
      <c r="D39" s="77"/>
      <c r="E39" s="190"/>
      <c r="F39" s="77" t="s">
        <v>797</v>
      </c>
      <c r="G39" s="77">
        <v>19</v>
      </c>
      <c r="H39" s="77" t="s">
        <v>532</v>
      </c>
      <c r="I39" s="77" t="s">
        <v>546</v>
      </c>
      <c r="J39" s="77" t="s">
        <v>1258</v>
      </c>
      <c r="K39" s="169">
        <v>2.38</v>
      </c>
      <c r="L39" s="169">
        <v>32.08</v>
      </c>
      <c r="M39" s="169">
        <f t="shared" si="4"/>
        <v>29.7</v>
      </c>
      <c r="N39" s="77">
        <v>63</v>
      </c>
      <c r="O39" s="77" t="s">
        <v>532</v>
      </c>
      <c r="P39" s="77" t="s">
        <v>590</v>
      </c>
      <c r="Q39" s="198"/>
      <c r="R39" s="197" t="s">
        <v>933</v>
      </c>
      <c r="S39" s="198" t="s">
        <v>43</v>
      </c>
      <c r="T39" s="197" t="s">
        <v>43</v>
      </c>
      <c r="U39" s="77" t="s">
        <v>1064</v>
      </c>
      <c r="V39" s="198"/>
      <c r="W39" s="197" t="s">
        <v>43</v>
      </c>
      <c r="Z39" s="77">
        <v>273.2</v>
      </c>
      <c r="AA39" s="77">
        <v>26.998000000000001</v>
      </c>
      <c r="AB39" s="77"/>
      <c r="AC39" s="201">
        <f>AA39*$AC$3*1000</f>
        <v>2.6998000000000002</v>
      </c>
      <c r="AD39" s="169">
        <f t="shared" si="1"/>
        <v>0.26998000000000005</v>
      </c>
      <c r="AE39" s="199"/>
      <c r="AF39" s="199"/>
      <c r="AG39" s="199"/>
    </row>
    <row r="40" spans="1:33" s="195" customFormat="1" x14ac:dyDescent="0.2">
      <c r="A40" s="185"/>
      <c r="B40" s="77"/>
      <c r="C40" s="77"/>
      <c r="D40" s="77"/>
      <c r="E40" s="190"/>
      <c r="H40" s="77"/>
      <c r="I40" s="77"/>
      <c r="J40" s="77"/>
      <c r="K40" s="169" t="s">
        <v>43</v>
      </c>
      <c r="L40" s="169"/>
      <c r="M40" s="77"/>
      <c r="O40" s="77"/>
      <c r="Q40" s="198" t="s">
        <v>43</v>
      </c>
      <c r="R40" s="197"/>
      <c r="S40" s="198" t="s">
        <v>43</v>
      </c>
      <c r="T40" s="197"/>
      <c r="U40" s="77"/>
      <c r="V40" s="198"/>
      <c r="W40" s="197"/>
      <c r="X40" s="198"/>
      <c r="Z40" s="77"/>
      <c r="AA40" s="77"/>
      <c r="AB40" s="77"/>
      <c r="AC40" s="201"/>
      <c r="AD40" s="169" t="s">
        <v>43</v>
      </c>
      <c r="AE40" s="199"/>
      <c r="AF40" s="199"/>
      <c r="AG40" s="199"/>
    </row>
    <row r="41" spans="1:33" s="195" customFormat="1" x14ac:dyDescent="0.2">
      <c r="A41" s="185" t="s">
        <v>622</v>
      </c>
      <c r="B41" s="77"/>
      <c r="C41" s="77">
        <v>8</v>
      </c>
      <c r="D41" s="77">
        <v>1562</v>
      </c>
      <c r="E41" s="190" t="s">
        <v>523</v>
      </c>
      <c r="F41" s="77" t="s">
        <v>800</v>
      </c>
      <c r="G41" s="77">
        <v>20</v>
      </c>
      <c r="H41" s="77" t="s">
        <v>506</v>
      </c>
      <c r="I41" s="77" t="s">
        <v>551</v>
      </c>
      <c r="J41" s="77" t="s">
        <v>1259</v>
      </c>
      <c r="K41" s="169">
        <v>2.39</v>
      </c>
      <c r="L41" s="169">
        <v>32.409999999999997</v>
      </c>
      <c r="M41" s="169">
        <f t="shared" ref="M41:M44" si="5">L41-K41</f>
        <v>30.019999999999996</v>
      </c>
      <c r="N41" s="77">
        <v>64</v>
      </c>
      <c r="O41" s="77" t="s">
        <v>506</v>
      </c>
      <c r="P41" s="77" t="s">
        <v>591</v>
      </c>
      <c r="Q41" s="198" t="s">
        <v>43</v>
      </c>
      <c r="R41" s="197" t="s">
        <v>934</v>
      </c>
      <c r="S41" s="198">
        <v>3</v>
      </c>
      <c r="T41" s="197" t="s">
        <v>1019</v>
      </c>
      <c r="U41" s="77"/>
      <c r="V41" s="198"/>
      <c r="W41" s="197" t="s">
        <v>1084</v>
      </c>
      <c r="X41" s="198" t="s">
        <v>1108</v>
      </c>
      <c r="Z41" s="77" t="s">
        <v>619</v>
      </c>
      <c r="AA41" s="77"/>
      <c r="AB41" s="77"/>
      <c r="AC41" s="201"/>
      <c r="AD41" s="169" t="s">
        <v>43</v>
      </c>
      <c r="AE41" s="202">
        <v>-0.21749675130064361</v>
      </c>
      <c r="AF41" s="202">
        <v>16.958299458148012</v>
      </c>
      <c r="AG41" s="202">
        <v>-26.077231952931754</v>
      </c>
    </row>
    <row r="42" spans="1:33" s="195" customFormat="1" x14ac:dyDescent="0.2">
      <c r="A42" s="185"/>
      <c r="B42" s="77"/>
      <c r="C42" s="77"/>
      <c r="E42" s="190" t="s">
        <v>43</v>
      </c>
      <c r="F42" s="77" t="s">
        <v>799</v>
      </c>
      <c r="G42" s="77">
        <v>20</v>
      </c>
      <c r="H42" s="77" t="s">
        <v>533</v>
      </c>
      <c r="I42" s="77" t="s">
        <v>552</v>
      </c>
      <c r="J42" s="77" t="s">
        <v>1260</v>
      </c>
      <c r="K42" s="169">
        <v>2.34</v>
      </c>
      <c r="L42" s="169">
        <v>32.409999999999997</v>
      </c>
      <c r="M42" s="169">
        <f t="shared" si="5"/>
        <v>30.069999999999997</v>
      </c>
      <c r="N42" s="77">
        <v>64</v>
      </c>
      <c r="O42" s="77" t="s">
        <v>533</v>
      </c>
      <c r="P42" s="77" t="s">
        <v>592</v>
      </c>
      <c r="Q42" s="198" t="s">
        <v>43</v>
      </c>
      <c r="R42" s="197" t="s">
        <v>936</v>
      </c>
      <c r="S42" s="198" t="s">
        <v>43</v>
      </c>
      <c r="T42" s="197" t="s">
        <v>43</v>
      </c>
      <c r="U42" s="77" t="s">
        <v>1065</v>
      </c>
      <c r="V42" s="198"/>
      <c r="W42" s="197" t="s">
        <v>43</v>
      </c>
      <c r="X42" s="198" t="s">
        <v>43</v>
      </c>
      <c r="Z42" s="77">
        <v>4.22</v>
      </c>
      <c r="AA42" s="77">
        <v>1.8294999999999999</v>
      </c>
      <c r="AB42" s="77">
        <v>-7.5999999999999998E-2</v>
      </c>
      <c r="AC42" s="201">
        <f>AA42*$AC$3*1000</f>
        <v>0.18295</v>
      </c>
      <c r="AD42" s="169">
        <f t="shared" si="1"/>
        <v>1.8294999999999999E-2</v>
      </c>
      <c r="AE42" s="199"/>
      <c r="AF42" s="199"/>
      <c r="AG42" s="199"/>
    </row>
    <row r="43" spans="1:33" s="195" customFormat="1" x14ac:dyDescent="0.2">
      <c r="A43" s="185"/>
      <c r="B43" s="77"/>
      <c r="C43" s="77"/>
      <c r="E43" s="190"/>
      <c r="F43" s="77" t="s">
        <v>798</v>
      </c>
      <c r="G43" s="77">
        <v>20</v>
      </c>
      <c r="H43" s="77" t="s">
        <v>506</v>
      </c>
      <c r="I43" s="77" t="s">
        <v>553</v>
      </c>
      <c r="J43" s="77" t="s">
        <v>1261</v>
      </c>
      <c r="K43" s="169">
        <v>2.39</v>
      </c>
      <c r="L43" s="169">
        <v>32.42</v>
      </c>
      <c r="M43" s="169">
        <f t="shared" si="5"/>
        <v>30.03</v>
      </c>
      <c r="N43" s="77">
        <v>64</v>
      </c>
      <c r="O43" s="77" t="s">
        <v>506</v>
      </c>
      <c r="P43" s="77" t="s">
        <v>593</v>
      </c>
      <c r="Q43" s="198" t="s">
        <v>43</v>
      </c>
      <c r="R43" s="197" t="s">
        <v>935</v>
      </c>
      <c r="S43" s="198">
        <v>2</v>
      </c>
      <c r="T43" s="197" t="s">
        <v>1020</v>
      </c>
      <c r="U43" s="77"/>
      <c r="V43" s="198"/>
      <c r="W43" s="197" t="s">
        <v>1085</v>
      </c>
      <c r="X43" s="198" t="s">
        <v>916</v>
      </c>
      <c r="Z43" s="77">
        <v>77.349999999999994</v>
      </c>
      <c r="AA43" s="77">
        <v>6.6694000000000004</v>
      </c>
      <c r="AB43" s="77">
        <v>-9.0999999999999998E-2</v>
      </c>
      <c r="AC43" s="201">
        <f>AA43*$AC$3*1000</f>
        <v>0.66694000000000009</v>
      </c>
      <c r="AD43" s="169">
        <f t="shared" si="1"/>
        <v>6.6694000000000003E-2</v>
      </c>
      <c r="AE43" s="199"/>
      <c r="AF43" s="199"/>
      <c r="AG43" s="199"/>
    </row>
    <row r="44" spans="1:33" s="195" customFormat="1" x14ac:dyDescent="0.2">
      <c r="A44" s="185"/>
      <c r="B44" s="77"/>
      <c r="C44" s="77"/>
      <c r="E44" s="190"/>
      <c r="F44" s="77" t="s">
        <v>797</v>
      </c>
      <c r="G44" s="77">
        <v>20</v>
      </c>
      <c r="H44" s="77" t="s">
        <v>533</v>
      </c>
      <c r="I44" s="77" t="s">
        <v>554</v>
      </c>
      <c r="J44" s="77" t="s">
        <v>1262</v>
      </c>
      <c r="K44" s="169">
        <v>2.35</v>
      </c>
      <c r="L44" s="169">
        <v>32.42</v>
      </c>
      <c r="M44" s="169">
        <f t="shared" si="5"/>
        <v>30.07</v>
      </c>
      <c r="N44" s="77">
        <v>64</v>
      </c>
      <c r="O44" s="77" t="s">
        <v>533</v>
      </c>
      <c r="P44" s="77" t="s">
        <v>594</v>
      </c>
      <c r="Q44" s="198"/>
      <c r="R44" s="197" t="s">
        <v>937</v>
      </c>
      <c r="S44" s="198" t="s">
        <v>43</v>
      </c>
      <c r="T44" s="197" t="s">
        <v>43</v>
      </c>
      <c r="U44" s="77" t="s">
        <v>1066</v>
      </c>
      <c r="V44" s="198"/>
      <c r="W44" s="197" t="s">
        <v>43</v>
      </c>
      <c r="Z44" s="77">
        <v>273.2</v>
      </c>
      <c r="AA44" s="77">
        <v>26.992000000000001</v>
      </c>
      <c r="AB44" s="77"/>
      <c r="AC44" s="201">
        <f>AA44*$AC$3*1000</f>
        <v>2.6992000000000003</v>
      </c>
      <c r="AD44" s="169">
        <f t="shared" si="1"/>
        <v>0.26992000000000005</v>
      </c>
      <c r="AE44" s="199"/>
      <c r="AF44" s="199"/>
      <c r="AG44" s="199"/>
    </row>
    <row r="45" spans="1:33" s="195" customFormat="1" ht="18.75" x14ac:dyDescent="0.3">
      <c r="A45" s="185"/>
      <c r="B45" s="77"/>
      <c r="C45" s="77"/>
      <c r="D45" s="77"/>
      <c r="E45" s="190"/>
      <c r="G45" s="77" t="s">
        <v>43</v>
      </c>
      <c r="H45" s="77"/>
      <c r="I45" s="77"/>
      <c r="J45" s="77"/>
      <c r="K45" s="169" t="s">
        <v>43</v>
      </c>
      <c r="L45" s="169"/>
      <c r="M45" s="77"/>
      <c r="O45" s="77"/>
      <c r="Q45" s="198"/>
      <c r="R45" s="197"/>
      <c r="S45" s="198" t="s">
        <v>43</v>
      </c>
      <c r="T45" s="197"/>
      <c r="U45" s="203" t="s">
        <v>1067</v>
      </c>
      <c r="V45" s="198"/>
      <c r="W45" s="197"/>
      <c r="X45" s="198"/>
      <c r="Z45" s="77"/>
      <c r="AA45" s="77"/>
      <c r="AB45" s="77"/>
      <c r="AC45" s="201"/>
      <c r="AD45" s="169" t="s">
        <v>43</v>
      </c>
      <c r="AE45" s="199"/>
      <c r="AF45" s="199"/>
      <c r="AG45" s="199"/>
    </row>
    <row r="46" spans="1:33" s="195" customFormat="1" x14ac:dyDescent="0.2">
      <c r="A46" s="185" t="s">
        <v>622</v>
      </c>
      <c r="B46" s="77"/>
      <c r="C46" s="77">
        <v>9</v>
      </c>
      <c r="D46" s="77">
        <v>1564</v>
      </c>
      <c r="E46" s="190" t="s">
        <v>524</v>
      </c>
      <c r="F46" s="77" t="s">
        <v>800</v>
      </c>
      <c r="G46" s="77">
        <v>21</v>
      </c>
      <c r="H46" s="77" t="s">
        <v>506</v>
      </c>
      <c r="I46" s="77" t="s">
        <v>547</v>
      </c>
      <c r="J46" s="77" t="s">
        <v>1263</v>
      </c>
      <c r="K46" s="169">
        <v>2.36</v>
      </c>
      <c r="L46" s="169">
        <v>32.64</v>
      </c>
      <c r="M46" s="169">
        <f t="shared" ref="M46:M49" si="6">L46-K46</f>
        <v>30.28</v>
      </c>
      <c r="N46" s="77">
        <v>65</v>
      </c>
      <c r="O46" s="77" t="s">
        <v>506</v>
      </c>
      <c r="P46" s="77" t="s">
        <v>595</v>
      </c>
      <c r="Q46" s="198" t="s">
        <v>43</v>
      </c>
      <c r="R46" s="197" t="s">
        <v>995</v>
      </c>
      <c r="S46" s="198">
        <v>3</v>
      </c>
      <c r="T46" s="197" t="s">
        <v>1021</v>
      </c>
      <c r="U46" s="77"/>
      <c r="V46" s="198"/>
      <c r="W46" s="197" t="s">
        <v>1086</v>
      </c>
      <c r="X46" s="198" t="s">
        <v>1109</v>
      </c>
      <c r="Z46" s="77" t="s">
        <v>623</v>
      </c>
      <c r="AA46" s="77"/>
      <c r="AB46" s="77"/>
      <c r="AC46" s="201"/>
      <c r="AD46" s="169" t="s">
        <v>43</v>
      </c>
      <c r="AE46" s="202">
        <v>-0.21711588365506349</v>
      </c>
      <c r="AF46" s="202">
        <v>16.956767667792874</v>
      </c>
      <c r="AG46" s="202">
        <v>-26.355247845866266</v>
      </c>
    </row>
    <row r="47" spans="1:33" s="195" customFormat="1" x14ac:dyDescent="0.2">
      <c r="A47" s="185"/>
      <c r="B47" s="77"/>
      <c r="C47" s="77"/>
      <c r="D47" s="77"/>
      <c r="E47" s="190" t="s">
        <v>43</v>
      </c>
      <c r="F47" s="77" t="s">
        <v>799</v>
      </c>
      <c r="G47" s="77">
        <v>21</v>
      </c>
      <c r="H47" s="77" t="s">
        <v>507</v>
      </c>
      <c r="I47" s="77" t="s">
        <v>548</v>
      </c>
      <c r="J47" s="77" t="s">
        <v>1264</v>
      </c>
      <c r="K47" s="169">
        <v>2.38</v>
      </c>
      <c r="L47" s="169">
        <v>32.69</v>
      </c>
      <c r="M47" s="169">
        <f t="shared" si="6"/>
        <v>30.31</v>
      </c>
      <c r="N47" s="77">
        <v>65</v>
      </c>
      <c r="O47" s="77" t="s">
        <v>507</v>
      </c>
      <c r="P47" s="77" t="s">
        <v>579</v>
      </c>
      <c r="Q47" s="198" t="s">
        <v>43</v>
      </c>
      <c r="R47" s="197" t="s">
        <v>996</v>
      </c>
      <c r="S47" s="198" t="s">
        <v>43</v>
      </c>
      <c r="T47" s="197" t="s">
        <v>43</v>
      </c>
      <c r="U47" s="77" t="s">
        <v>988</v>
      </c>
      <c r="V47" s="198"/>
      <c r="W47" s="197" t="s">
        <v>43</v>
      </c>
      <c r="X47" s="198" t="s">
        <v>43</v>
      </c>
      <c r="Z47" s="77">
        <v>4.22</v>
      </c>
      <c r="AA47" s="77">
        <v>1.8468</v>
      </c>
      <c r="AB47" s="77">
        <v>5.7000000000000002E-2</v>
      </c>
      <c r="AC47" s="201">
        <f>AA47*$AC$3*1000</f>
        <v>0.18468000000000001</v>
      </c>
      <c r="AD47" s="169">
        <f t="shared" si="1"/>
        <v>1.8468000000000002E-2</v>
      </c>
      <c r="AE47" s="199"/>
      <c r="AF47" s="199"/>
      <c r="AG47" s="199"/>
    </row>
    <row r="48" spans="1:33" s="195" customFormat="1" x14ac:dyDescent="0.2">
      <c r="A48" s="185"/>
      <c r="B48" s="77"/>
      <c r="C48" s="77"/>
      <c r="D48" s="77"/>
      <c r="E48" s="190"/>
      <c r="F48" s="77" t="s">
        <v>798</v>
      </c>
      <c r="G48" s="77">
        <v>21</v>
      </c>
      <c r="H48" s="77" t="s">
        <v>506</v>
      </c>
      <c r="I48" s="77" t="s">
        <v>549</v>
      </c>
      <c r="J48" s="77" t="s">
        <v>1265</v>
      </c>
      <c r="K48" s="169">
        <v>2.35</v>
      </c>
      <c r="L48" s="169">
        <v>32.64</v>
      </c>
      <c r="M48" s="169">
        <f t="shared" si="6"/>
        <v>30.29</v>
      </c>
      <c r="N48" s="77">
        <v>65</v>
      </c>
      <c r="O48" s="77" t="s">
        <v>506</v>
      </c>
      <c r="P48" s="77" t="s">
        <v>596</v>
      </c>
      <c r="Q48" s="198" t="s">
        <v>43</v>
      </c>
      <c r="R48" s="197" t="s">
        <v>997</v>
      </c>
      <c r="S48" s="198">
        <v>2</v>
      </c>
      <c r="T48" s="197" t="s">
        <v>1022</v>
      </c>
      <c r="U48" s="77"/>
      <c r="V48" s="198"/>
      <c r="W48" s="197" t="s">
        <v>1087</v>
      </c>
      <c r="X48" s="198" t="s">
        <v>916</v>
      </c>
      <c r="Z48" s="77">
        <v>77.349999999999994</v>
      </c>
      <c r="AA48" s="77">
        <v>6.6886999999999999</v>
      </c>
      <c r="AB48" s="77">
        <v>0.107</v>
      </c>
      <c r="AC48" s="201">
        <f>AA48*$AC$3*1000</f>
        <v>0.66886999999999996</v>
      </c>
      <c r="AD48" s="169">
        <f t="shared" si="1"/>
        <v>6.6887000000000002E-2</v>
      </c>
      <c r="AE48" s="199"/>
      <c r="AF48" s="199"/>
      <c r="AG48" s="199"/>
    </row>
    <row r="49" spans="1:33" s="195" customFormat="1" x14ac:dyDescent="0.2">
      <c r="A49" s="185"/>
      <c r="B49" s="77"/>
      <c r="C49" s="77"/>
      <c r="D49" s="77"/>
      <c r="E49" s="190"/>
      <c r="F49" s="77" t="s">
        <v>797</v>
      </c>
      <c r="G49" s="77">
        <v>21</v>
      </c>
      <c r="H49" s="77" t="s">
        <v>507</v>
      </c>
      <c r="I49" s="77" t="s">
        <v>550</v>
      </c>
      <c r="J49" s="77" t="s">
        <v>1266</v>
      </c>
      <c r="K49" s="169">
        <v>2.4</v>
      </c>
      <c r="L49" s="169">
        <v>32.67</v>
      </c>
      <c r="M49" s="169">
        <f t="shared" si="6"/>
        <v>30.270000000000003</v>
      </c>
      <c r="N49" s="77">
        <v>65</v>
      </c>
      <c r="O49" s="77" t="s">
        <v>507</v>
      </c>
      <c r="P49" s="77" t="s">
        <v>597</v>
      </c>
      <c r="Q49" s="198" t="s">
        <v>43</v>
      </c>
      <c r="R49" s="197" t="s">
        <v>998</v>
      </c>
      <c r="S49" s="198" t="s">
        <v>43</v>
      </c>
      <c r="T49" s="197" t="s">
        <v>43</v>
      </c>
      <c r="U49" s="77" t="s">
        <v>989</v>
      </c>
      <c r="V49" s="198"/>
      <c r="W49" s="197" t="s">
        <v>43</v>
      </c>
      <c r="Z49" s="77">
        <v>273.2</v>
      </c>
      <c r="AA49" s="77">
        <v>27</v>
      </c>
      <c r="AB49" s="77"/>
      <c r="AC49" s="201">
        <f>AA49*$AC$3*1000</f>
        <v>2.7</v>
      </c>
      <c r="AD49" s="169">
        <f t="shared" si="1"/>
        <v>0.27</v>
      </c>
      <c r="AE49" s="199"/>
      <c r="AF49" s="199"/>
      <c r="AG49" s="199"/>
    </row>
    <row r="50" spans="1:33" s="195" customFormat="1" x14ac:dyDescent="0.2">
      <c r="A50" s="185"/>
      <c r="B50" s="77"/>
      <c r="C50" s="77"/>
      <c r="D50" s="77"/>
      <c r="E50" s="190"/>
      <c r="H50" s="77"/>
      <c r="I50" s="77"/>
      <c r="J50" s="77"/>
      <c r="K50" s="169" t="s">
        <v>43</v>
      </c>
      <c r="L50" s="169"/>
      <c r="M50" s="77"/>
      <c r="O50" s="77"/>
      <c r="Q50" s="198" t="s">
        <v>43</v>
      </c>
      <c r="R50" s="197"/>
      <c r="S50" s="198" t="s">
        <v>43</v>
      </c>
      <c r="T50" s="197"/>
      <c r="U50" s="77"/>
      <c r="V50" s="198"/>
      <c r="W50" s="197"/>
      <c r="X50" s="198"/>
      <c r="Z50" s="77"/>
      <c r="AA50" s="77"/>
      <c r="AB50" s="77"/>
      <c r="AC50" s="201"/>
      <c r="AD50" s="169" t="s">
        <v>43</v>
      </c>
      <c r="AE50" s="199"/>
      <c r="AF50" s="199"/>
      <c r="AG50" s="199"/>
    </row>
    <row r="51" spans="1:33" s="195" customFormat="1" x14ac:dyDescent="0.2">
      <c r="A51" s="185" t="s">
        <v>622</v>
      </c>
      <c r="B51" s="77"/>
      <c r="C51" s="77">
        <v>10</v>
      </c>
      <c r="D51" s="77">
        <v>1572</v>
      </c>
      <c r="E51" s="190" t="s">
        <v>525</v>
      </c>
      <c r="F51" s="77" t="s">
        <v>800</v>
      </c>
      <c r="G51" s="77">
        <v>22</v>
      </c>
      <c r="H51" s="77" t="s">
        <v>506</v>
      </c>
      <c r="I51" s="77" t="s">
        <v>555</v>
      </c>
      <c r="J51" s="77" t="s">
        <v>1269</v>
      </c>
      <c r="K51" s="169">
        <v>2.39</v>
      </c>
      <c r="L51" s="169">
        <v>32.31</v>
      </c>
      <c r="M51" s="169">
        <f t="shared" ref="M51:M54" si="7">L51-K51</f>
        <v>29.92</v>
      </c>
      <c r="N51" s="77">
        <v>66</v>
      </c>
      <c r="O51" s="77" t="s">
        <v>506</v>
      </c>
      <c r="P51" s="77" t="s">
        <v>598</v>
      </c>
      <c r="Q51" s="198"/>
      <c r="R51" s="197" t="s">
        <v>999</v>
      </c>
      <c r="S51" s="198">
        <v>3</v>
      </c>
      <c r="T51" s="197" t="s">
        <v>1023</v>
      </c>
      <c r="U51" s="77"/>
      <c r="V51" s="198"/>
      <c r="W51" s="197" t="s">
        <v>1088</v>
      </c>
      <c r="X51" s="198" t="s">
        <v>1110</v>
      </c>
      <c r="Z51" s="77" t="s">
        <v>619</v>
      </c>
      <c r="AA51" s="77"/>
      <c r="AB51" s="77"/>
      <c r="AC51" s="201"/>
      <c r="AD51" s="169" t="s">
        <v>43</v>
      </c>
      <c r="AE51" s="202">
        <v>-0.21708767710229687</v>
      </c>
      <c r="AF51" s="202">
        <v>16.948732944106094</v>
      </c>
      <c r="AG51" s="202">
        <v>-26.169324011700589</v>
      </c>
    </row>
    <row r="52" spans="1:33" s="195" customFormat="1" x14ac:dyDescent="0.2">
      <c r="A52" s="185"/>
      <c r="B52" s="77"/>
      <c r="C52" s="77"/>
      <c r="D52" s="77"/>
      <c r="E52" s="190" t="s">
        <v>43</v>
      </c>
      <c r="F52" s="77" t="s">
        <v>799</v>
      </c>
      <c r="G52" s="77">
        <v>22</v>
      </c>
      <c r="H52" s="77" t="s">
        <v>534</v>
      </c>
      <c r="I52" s="77" t="s">
        <v>556</v>
      </c>
      <c r="J52" s="77" t="s">
        <v>1270</v>
      </c>
      <c r="K52" s="169">
        <v>2.38</v>
      </c>
      <c r="L52" s="169">
        <v>32.299999999999997</v>
      </c>
      <c r="M52" s="169">
        <f t="shared" si="7"/>
        <v>29.919999999999998</v>
      </c>
      <c r="N52" s="77">
        <v>66</v>
      </c>
      <c r="O52" s="77" t="s">
        <v>534</v>
      </c>
      <c r="P52" s="77" t="s">
        <v>599</v>
      </c>
      <c r="Q52" s="198"/>
      <c r="R52" s="197" t="s">
        <v>1000</v>
      </c>
      <c r="S52" s="198" t="s">
        <v>43</v>
      </c>
      <c r="T52" s="197" t="s">
        <v>43</v>
      </c>
      <c r="U52" s="77" t="s">
        <v>1053</v>
      </c>
      <c r="V52" s="198"/>
      <c r="W52" s="197" t="s">
        <v>43</v>
      </c>
      <c r="X52" s="198" t="s">
        <v>43</v>
      </c>
      <c r="Z52" s="77">
        <v>4.22</v>
      </c>
      <c r="AA52" s="77">
        <v>1.8362000000000001</v>
      </c>
      <c r="AB52" s="77">
        <v>-2.47E-2</v>
      </c>
      <c r="AC52" s="201">
        <f>AA52*$AC$3*1000</f>
        <v>0.18362000000000001</v>
      </c>
      <c r="AD52" s="169">
        <f t="shared" si="1"/>
        <v>1.8362000000000003E-2</v>
      </c>
      <c r="AE52" s="199"/>
      <c r="AF52" s="199"/>
      <c r="AG52" s="199"/>
    </row>
    <row r="53" spans="1:33" s="195" customFormat="1" x14ac:dyDescent="0.2">
      <c r="A53" s="185"/>
      <c r="B53" s="77"/>
      <c r="C53" s="77"/>
      <c r="D53" s="77"/>
      <c r="E53" s="190"/>
      <c r="F53" s="77" t="s">
        <v>798</v>
      </c>
      <c r="G53" s="77">
        <v>22</v>
      </c>
      <c r="H53" s="77" t="s">
        <v>506</v>
      </c>
      <c r="I53" s="77" t="s">
        <v>557</v>
      </c>
      <c r="J53" s="77" t="s">
        <v>1271</v>
      </c>
      <c r="K53" s="169">
        <v>2.38</v>
      </c>
      <c r="L53" s="169">
        <v>32.299999999999997</v>
      </c>
      <c r="M53" s="169">
        <f t="shared" si="7"/>
        <v>29.919999999999998</v>
      </c>
      <c r="N53" s="77">
        <v>66</v>
      </c>
      <c r="O53" s="77" t="s">
        <v>506</v>
      </c>
      <c r="P53" s="77" t="s">
        <v>600</v>
      </c>
      <c r="Q53" s="198" t="s">
        <v>43</v>
      </c>
      <c r="R53" s="197" t="s">
        <v>1001</v>
      </c>
      <c r="S53" s="198">
        <v>2</v>
      </c>
      <c r="T53" s="197" t="s">
        <v>1024</v>
      </c>
      <c r="U53" s="77"/>
      <c r="V53" s="198"/>
      <c r="W53" s="197" t="s">
        <v>1089</v>
      </c>
      <c r="X53" s="198" t="s">
        <v>916</v>
      </c>
      <c r="Z53" s="77">
        <v>77.349999999999994</v>
      </c>
      <c r="AA53" s="77">
        <v>6.6791999999999998</v>
      </c>
      <c r="AB53" s="77">
        <v>8.9999999999999993E-3</v>
      </c>
      <c r="AC53" s="201">
        <f>AA53*$AC$3*1000</f>
        <v>0.66792000000000007</v>
      </c>
      <c r="AD53" s="169">
        <f t="shared" si="1"/>
        <v>6.679199999999999E-2</v>
      </c>
      <c r="AE53" s="199"/>
      <c r="AF53" s="199"/>
      <c r="AG53" s="199"/>
    </row>
    <row r="54" spans="1:33" s="195" customFormat="1" x14ac:dyDescent="0.2">
      <c r="A54" s="185"/>
      <c r="B54" s="77"/>
      <c r="C54" s="77"/>
      <c r="D54" s="77"/>
      <c r="E54" s="190"/>
      <c r="F54" s="77" t="s">
        <v>797</v>
      </c>
      <c r="G54" s="77">
        <v>22</v>
      </c>
      <c r="H54" s="77" t="s">
        <v>534</v>
      </c>
      <c r="I54" s="77" t="s">
        <v>558</v>
      </c>
      <c r="J54" s="77" t="s">
        <v>1272</v>
      </c>
      <c r="K54" s="169">
        <v>2.36</v>
      </c>
      <c r="L54" s="169">
        <v>32.32</v>
      </c>
      <c r="M54" s="169">
        <f t="shared" si="7"/>
        <v>29.96</v>
      </c>
      <c r="N54" s="77">
        <v>66</v>
      </c>
      <c r="O54" s="77" t="s">
        <v>534</v>
      </c>
      <c r="P54" s="77" t="s">
        <v>601</v>
      </c>
      <c r="Q54" s="198" t="s">
        <v>43</v>
      </c>
      <c r="R54" s="197" t="s">
        <v>1002</v>
      </c>
      <c r="S54" s="198" t="s">
        <v>43</v>
      </c>
      <c r="T54" s="197" t="s">
        <v>43</v>
      </c>
      <c r="U54" s="77" t="s">
        <v>1054</v>
      </c>
      <c r="V54" s="198"/>
      <c r="W54" s="197" t="s">
        <v>43</v>
      </c>
      <c r="Z54" s="77">
        <v>273.2</v>
      </c>
      <c r="AA54" s="77">
        <v>27.001999999999999</v>
      </c>
      <c r="AB54" s="77"/>
      <c r="AC54" s="201">
        <f>AA54*$AC$3*1000</f>
        <v>2.7001999999999997</v>
      </c>
      <c r="AD54" s="169">
        <f t="shared" si="1"/>
        <v>0.27001999999999998</v>
      </c>
      <c r="AE54" s="199"/>
      <c r="AF54" s="199"/>
      <c r="AG54" s="199"/>
    </row>
    <row r="55" spans="1:33" s="195" customFormat="1" x14ac:dyDescent="0.2">
      <c r="A55" s="185"/>
      <c r="B55" s="77"/>
      <c r="C55" s="77"/>
      <c r="D55" s="77"/>
      <c r="E55" s="190"/>
      <c r="H55" s="77"/>
      <c r="I55" s="77"/>
      <c r="J55" s="77"/>
      <c r="K55" s="169"/>
      <c r="L55" s="169"/>
      <c r="M55" s="77"/>
      <c r="O55" s="77"/>
      <c r="Q55" s="198" t="s">
        <v>43</v>
      </c>
      <c r="R55" s="197"/>
      <c r="S55" s="198" t="s">
        <v>43</v>
      </c>
      <c r="T55" s="197" t="s">
        <v>43</v>
      </c>
      <c r="U55" s="77"/>
      <c r="V55" s="198"/>
      <c r="W55" s="197"/>
      <c r="X55" s="198"/>
      <c r="Z55" s="77"/>
      <c r="AA55" s="77"/>
      <c r="AB55" s="77"/>
      <c r="AC55" s="201"/>
      <c r="AD55" s="169" t="s">
        <v>43</v>
      </c>
      <c r="AE55" s="199"/>
      <c r="AF55" s="199"/>
      <c r="AG55" s="199"/>
    </row>
    <row r="56" spans="1:33" s="195" customFormat="1" x14ac:dyDescent="0.2">
      <c r="A56" s="185" t="s">
        <v>622</v>
      </c>
      <c r="B56" s="77"/>
      <c r="C56" s="77">
        <v>11</v>
      </c>
      <c r="D56" s="77">
        <v>1576</v>
      </c>
      <c r="E56" s="190" t="s">
        <v>526</v>
      </c>
      <c r="F56" s="77" t="s">
        <v>800</v>
      </c>
      <c r="G56" s="77">
        <v>23</v>
      </c>
      <c r="H56" s="77" t="s">
        <v>506</v>
      </c>
      <c r="I56" s="77" t="s">
        <v>559</v>
      </c>
      <c r="J56" s="200" t="s">
        <v>1240</v>
      </c>
      <c r="K56" s="169">
        <v>2.34</v>
      </c>
      <c r="L56" s="169">
        <v>32.229999999999997</v>
      </c>
      <c r="M56" s="169">
        <f>L56-K56</f>
        <v>29.889999999999997</v>
      </c>
      <c r="N56" s="77">
        <v>67</v>
      </c>
      <c r="O56" s="77" t="s">
        <v>506</v>
      </c>
      <c r="P56" s="77" t="s">
        <v>602</v>
      </c>
      <c r="Q56" s="198" t="s">
        <v>43</v>
      </c>
      <c r="R56" s="197" t="s">
        <v>1003</v>
      </c>
      <c r="S56" s="198">
        <v>3</v>
      </c>
      <c r="T56" s="197" t="s">
        <v>1025</v>
      </c>
      <c r="U56" s="77"/>
      <c r="V56" s="198"/>
      <c r="W56" s="197" t="s">
        <v>1090</v>
      </c>
      <c r="X56" s="198" t="s">
        <v>1111</v>
      </c>
      <c r="Z56" s="77" t="s">
        <v>619</v>
      </c>
      <c r="AA56" s="77"/>
      <c r="AB56" s="77"/>
      <c r="AC56" s="201"/>
      <c r="AD56" s="169" t="s">
        <v>43</v>
      </c>
      <c r="AE56" s="202">
        <v>-0.21761949090163552</v>
      </c>
      <c r="AF56" s="202">
        <v>16.955118870796479</v>
      </c>
      <c r="AG56" s="202">
        <v>-26.011211529226067</v>
      </c>
    </row>
    <row r="57" spans="1:33" s="195" customFormat="1" x14ac:dyDescent="0.2">
      <c r="A57" s="185"/>
      <c r="B57" s="77"/>
      <c r="C57" s="77"/>
      <c r="D57" s="77"/>
      <c r="E57" s="190" t="s">
        <v>43</v>
      </c>
      <c r="F57" s="77" t="s">
        <v>799</v>
      </c>
      <c r="G57" s="77">
        <v>23</v>
      </c>
      <c r="H57" s="77" t="s">
        <v>530</v>
      </c>
      <c r="I57" s="77" t="s">
        <v>560</v>
      </c>
      <c r="J57" s="200" t="s">
        <v>1241</v>
      </c>
      <c r="K57" s="169">
        <v>2.4300000000000002</v>
      </c>
      <c r="L57" s="169">
        <v>32.31</v>
      </c>
      <c r="M57" s="169">
        <f t="shared" ref="M57" si="8">L57-K57</f>
        <v>29.880000000000003</v>
      </c>
      <c r="N57" s="77">
        <v>67</v>
      </c>
      <c r="O57" s="77" t="s">
        <v>530</v>
      </c>
      <c r="P57" s="77" t="s">
        <v>603</v>
      </c>
      <c r="Q57" s="198" t="s">
        <v>43</v>
      </c>
      <c r="R57" s="197" t="s">
        <v>1004</v>
      </c>
      <c r="S57" s="198" t="s">
        <v>43</v>
      </c>
      <c r="T57" s="197" t="s">
        <v>43</v>
      </c>
      <c r="U57" s="77" t="s">
        <v>1055</v>
      </c>
      <c r="V57" s="198"/>
      <c r="W57" s="197" t="s">
        <v>43</v>
      </c>
      <c r="X57" s="198" t="s">
        <v>43</v>
      </c>
      <c r="Z57" s="77">
        <v>4.22</v>
      </c>
      <c r="AA57" s="77">
        <v>1.8258000000000001</v>
      </c>
      <c r="AB57" s="77">
        <v>-0.1055</v>
      </c>
      <c r="AC57" s="201">
        <f>AA57*$AC$3*1000</f>
        <v>0.18258000000000002</v>
      </c>
      <c r="AD57" s="169">
        <f t="shared" si="1"/>
        <v>1.8258E-2</v>
      </c>
      <c r="AE57" s="199"/>
      <c r="AF57" s="199"/>
      <c r="AG57" s="199"/>
    </row>
    <row r="58" spans="1:33" s="195" customFormat="1" x14ac:dyDescent="0.2">
      <c r="A58" s="185"/>
      <c r="B58" s="77"/>
      <c r="C58" s="77"/>
      <c r="D58" s="77"/>
      <c r="E58" s="190"/>
      <c r="F58" s="77" t="s">
        <v>798</v>
      </c>
      <c r="G58" s="77">
        <v>23</v>
      </c>
      <c r="H58" s="77" t="s">
        <v>506</v>
      </c>
      <c r="I58" s="77" t="s">
        <v>561</v>
      </c>
      <c r="J58" s="77" t="s">
        <v>1255</v>
      </c>
      <c r="K58" s="169">
        <v>2.35</v>
      </c>
      <c r="L58" s="169">
        <v>32.21</v>
      </c>
      <c r="M58" s="169">
        <f>L58-K58</f>
        <v>29.86</v>
      </c>
      <c r="N58" s="77">
        <v>67</v>
      </c>
      <c r="O58" s="77" t="s">
        <v>506</v>
      </c>
      <c r="P58" s="77" t="s">
        <v>580</v>
      </c>
      <c r="Q58" s="198"/>
      <c r="R58" s="197" t="s">
        <v>1005</v>
      </c>
      <c r="S58" s="198">
        <v>2</v>
      </c>
      <c r="T58" s="197" t="s">
        <v>1026</v>
      </c>
      <c r="U58" s="77"/>
      <c r="V58" s="198"/>
      <c r="W58" s="197" t="s">
        <v>1091</v>
      </c>
      <c r="X58" s="198" t="s">
        <v>916</v>
      </c>
      <c r="Z58" s="77">
        <v>77.349999999999994</v>
      </c>
      <c r="AA58" s="77">
        <v>6.6665999999999999</v>
      </c>
      <c r="AB58" s="77">
        <v>-0.121</v>
      </c>
      <c r="AC58" s="201">
        <f>AA58*$AC$3*1000</f>
        <v>0.66666000000000003</v>
      </c>
      <c r="AD58" s="169">
        <f t="shared" si="1"/>
        <v>6.6666000000000003E-2</v>
      </c>
      <c r="AE58" s="199"/>
      <c r="AF58" s="199"/>
      <c r="AG58" s="199"/>
    </row>
    <row r="59" spans="1:33" s="195" customFormat="1" x14ac:dyDescent="0.2">
      <c r="A59" s="185"/>
      <c r="B59" s="77"/>
      <c r="C59" s="77"/>
      <c r="D59" s="77"/>
      <c r="E59" s="190"/>
      <c r="F59" s="77" t="s">
        <v>797</v>
      </c>
      <c r="G59" s="77">
        <v>23</v>
      </c>
      <c r="H59" s="77" t="s">
        <v>530</v>
      </c>
      <c r="I59" s="77" t="s">
        <v>562</v>
      </c>
      <c r="J59" s="77" t="s">
        <v>1256</v>
      </c>
      <c r="K59" s="169">
        <v>2.4700000000000002</v>
      </c>
      <c r="L59" s="169">
        <v>32.32</v>
      </c>
      <c r="M59" s="169">
        <f t="shared" ref="M59" si="9">L59-K59</f>
        <v>29.85</v>
      </c>
      <c r="N59" s="77">
        <v>67</v>
      </c>
      <c r="O59" s="77" t="s">
        <v>530</v>
      </c>
      <c r="P59" s="77" t="s">
        <v>604</v>
      </c>
      <c r="Q59" s="198" t="s">
        <v>43</v>
      </c>
      <c r="R59" s="197" t="s">
        <v>1006</v>
      </c>
      <c r="S59" s="198" t="s">
        <v>43</v>
      </c>
      <c r="T59" s="197" t="s">
        <v>43</v>
      </c>
      <c r="U59" s="77" t="s">
        <v>1056</v>
      </c>
      <c r="V59" s="198"/>
      <c r="W59" s="197" t="s">
        <v>43</v>
      </c>
      <c r="Z59" s="77">
        <v>273.2</v>
      </c>
      <c r="AA59" s="77">
        <v>27.013000000000002</v>
      </c>
      <c r="AB59" s="77"/>
      <c r="AC59" s="201">
        <f>AA59*$AC$3*1000</f>
        <v>2.7013000000000003</v>
      </c>
      <c r="AD59" s="169">
        <f t="shared" si="1"/>
        <v>0.27012999999999998</v>
      </c>
      <c r="AE59" s="199"/>
      <c r="AF59" s="199"/>
      <c r="AG59" s="199"/>
    </row>
    <row r="60" spans="1:33" s="195" customFormat="1" x14ac:dyDescent="0.2">
      <c r="A60" s="185"/>
      <c r="B60" s="77"/>
      <c r="C60" s="77"/>
      <c r="D60" s="77"/>
      <c r="E60" s="190"/>
      <c r="H60" s="77"/>
      <c r="I60" s="77"/>
      <c r="J60" s="77"/>
      <c r="K60" s="169" t="s">
        <v>43</v>
      </c>
      <c r="L60" s="169"/>
      <c r="M60" s="77"/>
      <c r="O60" s="77"/>
      <c r="Q60" s="198" t="s">
        <v>43</v>
      </c>
      <c r="R60" s="197"/>
      <c r="S60" s="198"/>
      <c r="T60" s="197" t="s">
        <v>43</v>
      </c>
      <c r="U60" s="77"/>
      <c r="V60" s="198"/>
      <c r="W60" s="197"/>
      <c r="X60" s="198"/>
      <c r="Z60" s="77"/>
      <c r="AA60" s="77"/>
      <c r="AB60" s="77"/>
      <c r="AC60" s="201" t="s">
        <v>43</v>
      </c>
      <c r="AD60" s="169" t="s">
        <v>43</v>
      </c>
      <c r="AE60" s="199"/>
      <c r="AF60" s="199"/>
      <c r="AG60" s="199"/>
    </row>
    <row r="61" spans="1:33" s="195" customFormat="1" x14ac:dyDescent="0.2">
      <c r="A61" s="185" t="s">
        <v>622</v>
      </c>
      <c r="B61" s="77"/>
      <c r="C61" s="77">
        <v>12</v>
      </c>
      <c r="D61" s="77">
        <v>1571</v>
      </c>
      <c r="E61" s="190" t="s">
        <v>527</v>
      </c>
      <c r="F61" s="77" t="s">
        <v>800</v>
      </c>
      <c r="G61" s="77">
        <v>24</v>
      </c>
      <c r="H61" s="77" t="s">
        <v>506</v>
      </c>
      <c r="I61" s="77" t="s">
        <v>563</v>
      </c>
      <c r="J61" s="77" t="s">
        <v>1253</v>
      </c>
      <c r="K61" s="169">
        <v>2.37</v>
      </c>
      <c r="L61" s="169">
        <v>32.6</v>
      </c>
      <c r="M61" s="169">
        <f t="shared" ref="M61:M64" si="10">L61-K61</f>
        <v>30.23</v>
      </c>
      <c r="N61" s="77">
        <v>68</v>
      </c>
      <c r="O61" s="77" t="s">
        <v>506</v>
      </c>
      <c r="P61" s="77" t="s">
        <v>605</v>
      </c>
      <c r="Q61" s="198" t="s">
        <v>43</v>
      </c>
      <c r="R61" s="197" t="s">
        <v>1120</v>
      </c>
      <c r="S61" s="198">
        <v>3</v>
      </c>
      <c r="T61" s="197" t="s">
        <v>1027</v>
      </c>
      <c r="U61" s="77"/>
      <c r="V61" s="198"/>
      <c r="W61" s="197" t="s">
        <v>1092</v>
      </c>
      <c r="X61" s="198" t="s">
        <v>1112</v>
      </c>
      <c r="Z61" s="77" t="s">
        <v>619</v>
      </c>
      <c r="AA61" s="77"/>
      <c r="AB61" s="77"/>
      <c r="AC61" s="201"/>
      <c r="AD61" s="169" t="s">
        <v>43</v>
      </c>
      <c r="AE61" s="202">
        <v>-0.21723862232136587</v>
      </c>
      <c r="AF61" s="202">
        <v>16.946283110181877</v>
      </c>
      <c r="AG61" s="202">
        <v>-25.993118228690143</v>
      </c>
    </row>
    <row r="62" spans="1:33" s="195" customFormat="1" x14ac:dyDescent="0.2">
      <c r="A62" s="185"/>
      <c r="B62" s="77"/>
      <c r="C62" s="77"/>
      <c r="D62" s="77"/>
      <c r="E62" s="190" t="s">
        <v>43</v>
      </c>
      <c r="F62" s="77" t="s">
        <v>799</v>
      </c>
      <c r="G62" s="77">
        <v>24</v>
      </c>
      <c r="H62" s="77" t="s">
        <v>535</v>
      </c>
      <c r="I62" s="77" t="s">
        <v>564</v>
      </c>
      <c r="J62" s="77" t="s">
        <v>1254</v>
      </c>
      <c r="K62" s="169">
        <v>2.35</v>
      </c>
      <c r="L62" s="169">
        <v>32.58</v>
      </c>
      <c r="M62" s="169">
        <f t="shared" si="10"/>
        <v>30.229999999999997</v>
      </c>
      <c r="N62" s="77">
        <v>68</v>
      </c>
      <c r="O62" s="77" t="s">
        <v>535</v>
      </c>
      <c r="P62" s="77" t="s">
        <v>606</v>
      </c>
      <c r="Q62" s="198" t="s">
        <v>43</v>
      </c>
      <c r="R62" s="197" t="s">
        <v>1121</v>
      </c>
      <c r="S62" s="198" t="s">
        <v>43</v>
      </c>
      <c r="T62" s="197" t="s">
        <v>43</v>
      </c>
      <c r="U62" s="77" t="s">
        <v>1057</v>
      </c>
      <c r="V62" s="198"/>
      <c r="W62" s="197" t="s">
        <v>43</v>
      </c>
      <c r="X62" s="196"/>
      <c r="Z62" s="77">
        <v>4.22</v>
      </c>
      <c r="AA62" s="77">
        <v>1.8255999999999999</v>
      </c>
      <c r="AB62" s="77">
        <v>-0.1071</v>
      </c>
      <c r="AC62" s="201">
        <f>AA62*$AC$3*1000</f>
        <v>0.18256</v>
      </c>
      <c r="AD62" s="169">
        <f t="shared" si="1"/>
        <v>1.8255999999999998E-2</v>
      </c>
      <c r="AE62" s="199"/>
      <c r="AF62" s="199"/>
      <c r="AG62" s="199"/>
    </row>
    <row r="63" spans="1:33" s="195" customFormat="1" x14ac:dyDescent="0.2">
      <c r="A63" s="185"/>
      <c r="B63" s="77"/>
      <c r="C63" s="77"/>
      <c r="D63" s="77"/>
      <c r="E63" s="190"/>
      <c r="F63" s="77" t="s">
        <v>798</v>
      </c>
      <c r="G63" s="77">
        <v>24</v>
      </c>
      <c r="H63" s="77" t="s">
        <v>506</v>
      </c>
      <c r="I63" s="77" t="s">
        <v>565</v>
      </c>
      <c r="J63" s="77" t="s">
        <v>1257</v>
      </c>
      <c r="K63" s="169">
        <v>2.37</v>
      </c>
      <c r="L63" s="169">
        <v>32.58</v>
      </c>
      <c r="M63" s="169">
        <f t="shared" si="10"/>
        <v>30.209999999999997</v>
      </c>
      <c r="N63" s="77">
        <v>68</v>
      </c>
      <c r="O63" s="77" t="s">
        <v>506</v>
      </c>
      <c r="P63" s="77" t="s">
        <v>607</v>
      </c>
      <c r="Q63" s="198" t="s">
        <v>43</v>
      </c>
      <c r="R63" s="197" t="s">
        <v>1399</v>
      </c>
      <c r="S63" s="198">
        <v>2</v>
      </c>
      <c r="T63" s="197" t="s">
        <v>1028</v>
      </c>
      <c r="U63" s="77"/>
      <c r="V63" s="198"/>
      <c r="W63" s="197" t="s">
        <v>1093</v>
      </c>
      <c r="X63" s="198" t="s">
        <v>916</v>
      </c>
      <c r="Z63" s="77">
        <v>77.349999999999994</v>
      </c>
      <c r="AA63" s="77">
        <v>6.6683000000000003</v>
      </c>
      <c r="AB63" s="77">
        <v>-0.10199999999999999</v>
      </c>
      <c r="AC63" s="201">
        <f>AA63*$AC$3*1000</f>
        <v>0.66683000000000014</v>
      </c>
      <c r="AD63" s="169">
        <f t="shared" si="1"/>
        <v>6.6683000000000006E-2</v>
      </c>
      <c r="AE63" s="199"/>
      <c r="AF63" s="199"/>
      <c r="AG63" s="199"/>
    </row>
    <row r="64" spans="1:33" s="195" customFormat="1" x14ac:dyDescent="0.2">
      <c r="A64" s="185"/>
      <c r="B64" s="77"/>
      <c r="C64" s="77"/>
      <c r="D64" s="77"/>
      <c r="E64" s="190"/>
      <c r="F64" s="77" t="s">
        <v>797</v>
      </c>
      <c r="G64" s="77">
        <v>24</v>
      </c>
      <c r="H64" s="77" t="s">
        <v>535</v>
      </c>
      <c r="I64" s="77" t="s">
        <v>566</v>
      </c>
      <c r="J64" s="77" t="s">
        <v>1258</v>
      </c>
      <c r="K64" s="169">
        <v>2.38</v>
      </c>
      <c r="L64" s="169">
        <v>32.6</v>
      </c>
      <c r="M64" s="169">
        <f t="shared" si="10"/>
        <v>30.220000000000002</v>
      </c>
      <c r="N64" s="77">
        <v>68</v>
      </c>
      <c r="O64" s="77" t="s">
        <v>535</v>
      </c>
      <c r="P64" s="77" t="s">
        <v>608</v>
      </c>
      <c r="Q64" s="198"/>
      <c r="R64" s="197" t="s">
        <v>1122</v>
      </c>
      <c r="S64" s="198" t="s">
        <v>43</v>
      </c>
      <c r="T64" s="197" t="s">
        <v>43</v>
      </c>
      <c r="U64" s="77" t="s">
        <v>1058</v>
      </c>
      <c r="V64" s="198"/>
      <c r="W64" s="197" t="s">
        <v>43</v>
      </c>
      <c r="X64" s="196"/>
      <c r="Z64" s="77">
        <v>273.2</v>
      </c>
      <c r="AA64" s="77">
        <v>27.001999999999999</v>
      </c>
      <c r="AB64" s="77"/>
      <c r="AC64" s="201">
        <f>AA64*$AC$3*1000</f>
        <v>2.7001999999999997</v>
      </c>
      <c r="AD64" s="169">
        <f t="shared" si="1"/>
        <v>0.27001999999999998</v>
      </c>
      <c r="AE64" s="199"/>
      <c r="AF64" s="199"/>
      <c r="AG64" s="199"/>
    </row>
    <row r="65" spans="1:33" s="195" customFormat="1" x14ac:dyDescent="0.2">
      <c r="A65" s="185"/>
      <c r="B65" s="77"/>
      <c r="C65" s="77"/>
      <c r="D65" s="77"/>
      <c r="E65" s="190"/>
      <c r="H65" s="77"/>
      <c r="I65" s="77"/>
      <c r="J65" s="77"/>
      <c r="K65" s="169" t="s">
        <v>43</v>
      </c>
      <c r="L65" s="169"/>
      <c r="M65" s="77"/>
      <c r="O65" s="77"/>
      <c r="Q65" s="198" t="s">
        <v>43</v>
      </c>
      <c r="R65" s="197"/>
      <c r="S65" s="198" t="s">
        <v>43</v>
      </c>
      <c r="T65" s="197"/>
      <c r="U65" s="77"/>
      <c r="V65" s="198"/>
      <c r="W65" s="197"/>
      <c r="X65" s="198"/>
      <c r="Z65" s="77"/>
      <c r="AA65" s="77"/>
      <c r="AB65" s="77"/>
      <c r="AC65" s="201"/>
      <c r="AD65" s="169" t="s">
        <v>43</v>
      </c>
      <c r="AE65" s="199"/>
      <c r="AF65" s="199"/>
      <c r="AG65" s="199"/>
    </row>
    <row r="66" spans="1:33" s="195" customFormat="1" x14ac:dyDescent="0.2">
      <c r="A66" s="185" t="s">
        <v>1372</v>
      </c>
      <c r="B66" s="77"/>
      <c r="C66" s="77">
        <v>13</v>
      </c>
      <c r="D66" s="77">
        <v>1570</v>
      </c>
      <c r="E66" s="190" t="s">
        <v>528</v>
      </c>
      <c r="F66" s="77" t="s">
        <v>800</v>
      </c>
      <c r="G66" s="77">
        <v>25</v>
      </c>
      <c r="H66" s="77" t="s">
        <v>506</v>
      </c>
      <c r="I66" s="77" t="s">
        <v>567</v>
      </c>
      <c r="J66" s="77" t="s">
        <v>1259</v>
      </c>
      <c r="K66" s="169">
        <v>2.39</v>
      </c>
      <c r="L66" s="169">
        <v>32.700000000000003</v>
      </c>
      <c r="M66" s="169">
        <f t="shared" ref="M66:M69" si="11">L66-K66</f>
        <v>30.310000000000002</v>
      </c>
      <c r="N66" s="77">
        <v>75</v>
      </c>
      <c r="O66" s="77" t="s">
        <v>506</v>
      </c>
      <c r="P66" s="77" t="s">
        <v>609</v>
      </c>
      <c r="Q66" s="198" t="s">
        <v>43</v>
      </c>
      <c r="R66" s="197" t="s">
        <v>1123</v>
      </c>
      <c r="S66" s="198">
        <v>3</v>
      </c>
      <c r="T66" s="197" t="s">
        <v>1029</v>
      </c>
      <c r="U66" s="77"/>
      <c r="V66" s="198"/>
      <c r="W66" s="197" t="s">
        <v>1094</v>
      </c>
      <c r="X66" s="198" t="s">
        <v>1113</v>
      </c>
      <c r="Z66" s="77" t="s">
        <v>619</v>
      </c>
      <c r="AA66" s="77"/>
      <c r="AB66" s="77"/>
      <c r="AC66" s="201"/>
      <c r="AD66" s="169" t="s">
        <v>43</v>
      </c>
      <c r="AE66" s="202">
        <v>-0.21693110313259942</v>
      </c>
      <c r="AF66" s="202">
        <v>16.934132906028459</v>
      </c>
      <c r="AG66" s="202">
        <v>-25.962276398130925</v>
      </c>
    </row>
    <row r="67" spans="1:33" s="195" customFormat="1" x14ac:dyDescent="0.2">
      <c r="A67" s="185"/>
      <c r="B67" s="77"/>
      <c r="C67" s="77"/>
      <c r="D67" s="77"/>
      <c r="E67" s="190" t="s">
        <v>43</v>
      </c>
      <c r="F67" s="77" t="s">
        <v>799</v>
      </c>
      <c r="G67" s="77">
        <v>25</v>
      </c>
      <c r="H67" s="77" t="s">
        <v>534</v>
      </c>
      <c r="I67" s="77" t="s">
        <v>568</v>
      </c>
      <c r="J67" s="77" t="s">
        <v>1260</v>
      </c>
      <c r="K67" s="169">
        <v>2.34</v>
      </c>
      <c r="L67" s="169">
        <v>32.659999999999997</v>
      </c>
      <c r="M67" s="169">
        <f t="shared" si="11"/>
        <v>30.319999999999997</v>
      </c>
      <c r="N67" s="77">
        <v>75</v>
      </c>
      <c r="O67" s="77" t="s">
        <v>534</v>
      </c>
      <c r="P67" s="77" t="s">
        <v>610</v>
      </c>
      <c r="Q67" s="198" t="s">
        <v>43</v>
      </c>
      <c r="R67" s="197" t="s">
        <v>1124</v>
      </c>
      <c r="S67" s="198" t="s">
        <v>43</v>
      </c>
      <c r="T67" s="197" t="s">
        <v>43</v>
      </c>
      <c r="U67" s="77" t="s">
        <v>1059</v>
      </c>
      <c r="V67" s="198"/>
      <c r="W67" s="197"/>
      <c r="X67" s="198"/>
      <c r="Z67" s="77">
        <v>4.22</v>
      </c>
      <c r="AA67" s="77">
        <v>1.825</v>
      </c>
      <c r="AB67" s="77">
        <v>-0.111</v>
      </c>
      <c r="AC67" s="201">
        <f>AA67*$AC$3*1000</f>
        <v>0.1825</v>
      </c>
      <c r="AD67" s="169">
        <f t="shared" si="1"/>
        <v>1.8250000000000002E-2</v>
      </c>
      <c r="AE67" s="199"/>
      <c r="AF67" s="199"/>
      <c r="AG67" s="199"/>
    </row>
    <row r="68" spans="1:33" s="195" customFormat="1" x14ac:dyDescent="0.2">
      <c r="A68" s="185"/>
      <c r="B68" s="77"/>
      <c r="C68" s="77"/>
      <c r="D68" s="77"/>
      <c r="E68" s="190"/>
      <c r="F68" s="77" t="s">
        <v>798</v>
      </c>
      <c r="G68" s="77">
        <v>25</v>
      </c>
      <c r="H68" s="77" t="s">
        <v>506</v>
      </c>
      <c r="I68" s="77" t="s">
        <v>569</v>
      </c>
      <c r="J68" s="77" t="s">
        <v>1261</v>
      </c>
      <c r="K68" s="169">
        <v>2.39</v>
      </c>
      <c r="L68" s="169">
        <v>32.69</v>
      </c>
      <c r="M68" s="169">
        <f t="shared" si="11"/>
        <v>30.299999999999997</v>
      </c>
      <c r="N68" s="77">
        <v>75</v>
      </c>
      <c r="O68" s="77" t="s">
        <v>506</v>
      </c>
      <c r="P68" s="77" t="s">
        <v>611</v>
      </c>
      <c r="Q68" s="198" t="s">
        <v>43</v>
      </c>
      <c r="R68" s="197" t="s">
        <v>1125</v>
      </c>
      <c r="S68" s="198">
        <v>2</v>
      </c>
      <c r="T68" s="197" t="s">
        <v>1030</v>
      </c>
      <c r="U68" s="77"/>
      <c r="V68" s="198"/>
      <c r="W68" s="197" t="s">
        <v>1095</v>
      </c>
      <c r="X68" s="198" t="s">
        <v>917</v>
      </c>
      <c r="Z68" s="77">
        <v>77.349999999999994</v>
      </c>
      <c r="AA68" s="77">
        <v>6.6708999999999996</v>
      </c>
      <c r="AB68" s="77">
        <v>-7.6999999999999999E-2</v>
      </c>
      <c r="AC68" s="201">
        <f>AA68*$AC$3*1000</f>
        <v>0.66708999999999996</v>
      </c>
      <c r="AD68" s="169">
        <f t="shared" si="1"/>
        <v>6.6708999999999991E-2</v>
      </c>
      <c r="AE68" s="199"/>
      <c r="AF68" s="199"/>
      <c r="AG68" s="199"/>
    </row>
    <row r="69" spans="1:33" s="195" customFormat="1" x14ac:dyDescent="0.2">
      <c r="A69" s="185"/>
      <c r="B69" s="77"/>
      <c r="C69" s="77"/>
      <c r="D69" s="77"/>
      <c r="E69" s="190"/>
      <c r="F69" s="77" t="s">
        <v>797</v>
      </c>
      <c r="G69" s="77">
        <v>25</v>
      </c>
      <c r="H69" s="77" t="s">
        <v>534</v>
      </c>
      <c r="I69" s="77" t="s">
        <v>570</v>
      </c>
      <c r="J69" s="77" t="s">
        <v>1262</v>
      </c>
      <c r="K69" s="169">
        <v>2.35</v>
      </c>
      <c r="L69" s="169">
        <v>32.659999999999997</v>
      </c>
      <c r="M69" s="169">
        <f t="shared" si="11"/>
        <v>30.309999999999995</v>
      </c>
      <c r="N69" s="77">
        <v>75</v>
      </c>
      <c r="O69" s="77" t="s">
        <v>534</v>
      </c>
      <c r="P69" s="77" t="s">
        <v>612</v>
      </c>
      <c r="Q69" s="198" t="s">
        <v>43</v>
      </c>
      <c r="R69" s="197" t="s">
        <v>1126</v>
      </c>
      <c r="S69" s="198" t="s">
        <v>43</v>
      </c>
      <c r="T69" s="197" t="s">
        <v>43</v>
      </c>
      <c r="U69" s="77" t="s">
        <v>1060</v>
      </c>
      <c r="V69" s="198"/>
      <c r="W69" s="197"/>
      <c r="X69" s="198"/>
      <c r="Z69" s="77">
        <v>273.2</v>
      </c>
      <c r="AA69" s="77">
        <v>27.015999999999998</v>
      </c>
      <c r="AB69" s="77"/>
      <c r="AC69" s="201">
        <f>AA69*$AC$3*1000</f>
        <v>2.7015999999999996</v>
      </c>
      <c r="AD69" s="169">
        <f t="shared" si="1"/>
        <v>0.27015999999999996</v>
      </c>
      <c r="AE69" s="199"/>
      <c r="AF69" s="199"/>
      <c r="AG69" s="199"/>
    </row>
    <row r="70" spans="1:33" s="195" customFormat="1" x14ac:dyDescent="0.2">
      <c r="A70" s="185"/>
      <c r="B70" s="77"/>
      <c r="C70" s="77"/>
      <c r="D70" s="77"/>
      <c r="E70" s="190"/>
      <c r="H70" s="77"/>
      <c r="I70" s="77"/>
      <c r="J70" s="77"/>
      <c r="K70" s="169" t="s">
        <v>43</v>
      </c>
      <c r="L70" s="169"/>
      <c r="M70" s="77"/>
      <c r="O70" s="77"/>
      <c r="Q70" s="198"/>
      <c r="R70" s="197"/>
      <c r="S70" s="198" t="s">
        <v>43</v>
      </c>
      <c r="T70" s="197" t="s">
        <v>43</v>
      </c>
      <c r="U70" s="77"/>
      <c r="V70" s="198"/>
      <c r="W70" s="197" t="s">
        <v>43</v>
      </c>
      <c r="X70" s="198"/>
      <c r="Z70" s="77"/>
      <c r="AA70" s="77"/>
      <c r="AB70" s="77"/>
      <c r="AC70" s="201"/>
      <c r="AD70" s="169" t="s">
        <v>43</v>
      </c>
      <c r="AE70" s="199"/>
      <c r="AF70" s="199"/>
      <c r="AG70" s="199"/>
    </row>
    <row r="71" spans="1:33" s="195" customFormat="1" x14ac:dyDescent="0.2">
      <c r="A71" s="185" t="s">
        <v>1372</v>
      </c>
      <c r="B71" s="77"/>
      <c r="C71" s="77">
        <v>14</v>
      </c>
      <c r="D71" s="77">
        <v>1567</v>
      </c>
      <c r="E71" s="190" t="s">
        <v>529</v>
      </c>
      <c r="F71" s="77" t="s">
        <v>800</v>
      </c>
      <c r="G71" s="77">
        <v>26</v>
      </c>
      <c r="H71" s="77" t="s">
        <v>506</v>
      </c>
      <c r="I71" s="77" t="s">
        <v>571</v>
      </c>
      <c r="J71" s="77" t="s">
        <v>1263</v>
      </c>
      <c r="K71" s="169">
        <v>2.36</v>
      </c>
      <c r="L71" s="169">
        <v>32.28</v>
      </c>
      <c r="M71" s="169">
        <f t="shared" ref="M71:M74" si="12">L71-K71</f>
        <v>29.92</v>
      </c>
      <c r="N71" s="77">
        <v>76</v>
      </c>
      <c r="O71" s="77" t="s">
        <v>506</v>
      </c>
      <c r="P71" s="77" t="s">
        <v>613</v>
      </c>
      <c r="Q71" s="198" t="s">
        <v>43</v>
      </c>
      <c r="R71" s="197" t="s">
        <v>1127</v>
      </c>
      <c r="S71" s="198">
        <v>3</v>
      </c>
      <c r="T71" s="197" t="s">
        <v>1031</v>
      </c>
      <c r="U71" s="77"/>
      <c r="V71" s="198"/>
      <c r="W71" s="197" t="s">
        <v>1096</v>
      </c>
      <c r="X71" s="198" t="s">
        <v>1114</v>
      </c>
      <c r="Z71" s="77" t="s">
        <v>624</v>
      </c>
      <c r="AA71" s="77"/>
      <c r="AB71" s="77"/>
      <c r="AC71" s="201"/>
      <c r="AD71" s="169" t="s">
        <v>43</v>
      </c>
      <c r="AE71" s="202">
        <v>-0.21821129550935942</v>
      </c>
      <c r="AF71" s="202">
        <v>16.965932551000236</v>
      </c>
      <c r="AG71" s="202">
        <v>-25.855947855488822</v>
      </c>
    </row>
    <row r="72" spans="1:33" s="195" customFormat="1" x14ac:dyDescent="0.2">
      <c r="A72" s="185"/>
      <c r="B72" s="77"/>
      <c r="C72" s="77"/>
      <c r="D72" s="77"/>
      <c r="E72" s="190" t="s">
        <v>43</v>
      </c>
      <c r="F72" s="77" t="s">
        <v>799</v>
      </c>
      <c r="G72" s="77">
        <v>26</v>
      </c>
      <c r="H72" s="77" t="s">
        <v>536</v>
      </c>
      <c r="I72" s="77" t="s">
        <v>572</v>
      </c>
      <c r="J72" s="77" t="s">
        <v>1264</v>
      </c>
      <c r="K72" s="169">
        <v>2.38</v>
      </c>
      <c r="L72" s="169">
        <v>32.340000000000003</v>
      </c>
      <c r="M72" s="169">
        <f t="shared" si="12"/>
        <v>29.960000000000004</v>
      </c>
      <c r="N72" s="77">
        <v>76</v>
      </c>
      <c r="O72" s="77" t="s">
        <v>536</v>
      </c>
      <c r="P72" s="77" t="s">
        <v>614</v>
      </c>
      <c r="Q72" s="198" t="s">
        <v>43</v>
      </c>
      <c r="R72" s="197" t="s">
        <v>1128</v>
      </c>
      <c r="S72" s="198" t="s">
        <v>43</v>
      </c>
      <c r="T72" s="197" t="s">
        <v>43</v>
      </c>
      <c r="U72" s="77" t="s">
        <v>1061</v>
      </c>
      <c r="V72" s="198"/>
      <c r="W72" s="197"/>
      <c r="X72" s="198"/>
      <c r="Z72" s="77">
        <v>4.22</v>
      </c>
      <c r="AA72" s="77">
        <v>1.8150999999999999</v>
      </c>
      <c r="AB72" s="77">
        <v>-0.19</v>
      </c>
      <c r="AC72" s="201">
        <f>AA72*$AC$3*1000</f>
        <v>0.18151</v>
      </c>
      <c r="AD72" s="169">
        <f t="shared" ref="AD72:AD122" si="13">0.0001^2*AA72*1000000</f>
        <v>1.8150999999999997E-2</v>
      </c>
      <c r="AE72" s="199"/>
      <c r="AF72" s="199"/>
      <c r="AG72" s="199"/>
    </row>
    <row r="73" spans="1:33" s="195" customFormat="1" x14ac:dyDescent="0.2">
      <c r="A73" s="185"/>
      <c r="B73" s="77"/>
      <c r="C73" s="77"/>
      <c r="D73" s="77"/>
      <c r="E73" s="190"/>
      <c r="F73" s="77" t="s">
        <v>798</v>
      </c>
      <c r="G73" s="77">
        <v>26</v>
      </c>
      <c r="H73" s="77" t="s">
        <v>506</v>
      </c>
      <c r="I73" s="77" t="s">
        <v>573</v>
      </c>
      <c r="J73" s="77" t="s">
        <v>1265</v>
      </c>
      <c r="K73" s="169">
        <v>2.35</v>
      </c>
      <c r="L73" s="169">
        <v>32.299999999999997</v>
      </c>
      <c r="M73" s="169">
        <f t="shared" si="12"/>
        <v>29.949999999999996</v>
      </c>
      <c r="N73" s="77">
        <v>76</v>
      </c>
      <c r="O73" s="77" t="s">
        <v>506</v>
      </c>
      <c r="P73" s="77" t="s">
        <v>615</v>
      </c>
      <c r="Q73" s="198" t="s">
        <v>43</v>
      </c>
      <c r="R73" s="197" t="s">
        <v>1130</v>
      </c>
      <c r="S73" s="198">
        <v>2</v>
      </c>
      <c r="T73" s="197" t="s">
        <v>1032</v>
      </c>
      <c r="U73" s="77"/>
      <c r="V73" s="198"/>
      <c r="W73" s="197" t="s">
        <v>1097</v>
      </c>
      <c r="X73" s="198" t="s">
        <v>917</v>
      </c>
      <c r="Z73" s="77">
        <v>77.349999999999994</v>
      </c>
      <c r="AA73" s="77">
        <v>6.6523000000000003</v>
      </c>
      <c r="AB73" s="77">
        <v>-0.26800000000000002</v>
      </c>
      <c r="AC73" s="201">
        <f>AA73*$AC$3*1000</f>
        <v>0.6652300000000001</v>
      </c>
      <c r="AD73" s="169">
        <f t="shared" si="13"/>
        <v>6.6523000000000013E-2</v>
      </c>
      <c r="AE73" s="199"/>
      <c r="AF73" s="199"/>
      <c r="AG73" s="199"/>
    </row>
    <row r="74" spans="1:33" s="195" customFormat="1" x14ac:dyDescent="0.2">
      <c r="A74" s="185"/>
      <c r="B74" s="77"/>
      <c r="C74" s="77"/>
      <c r="D74" s="77"/>
      <c r="E74" s="190"/>
      <c r="F74" s="77" t="s">
        <v>797</v>
      </c>
      <c r="G74" s="77">
        <v>26</v>
      </c>
      <c r="H74" s="77" t="s">
        <v>536</v>
      </c>
      <c r="I74" s="77" t="s">
        <v>574</v>
      </c>
      <c r="J74" s="77" t="s">
        <v>1266</v>
      </c>
      <c r="K74" s="169">
        <v>2.4</v>
      </c>
      <c r="L74" s="169">
        <v>32.44</v>
      </c>
      <c r="M74" s="169">
        <f t="shared" si="12"/>
        <v>30.04</v>
      </c>
      <c r="N74" s="77">
        <v>76</v>
      </c>
      <c r="O74" s="77" t="s">
        <v>536</v>
      </c>
      <c r="P74" s="77" t="s">
        <v>616</v>
      </c>
      <c r="Q74" s="198" t="s">
        <v>43</v>
      </c>
      <c r="R74" s="197" t="s">
        <v>1129</v>
      </c>
      <c r="S74" s="198" t="s">
        <v>43</v>
      </c>
      <c r="T74" s="197" t="s">
        <v>43</v>
      </c>
      <c r="U74" s="77" t="s">
        <v>1062</v>
      </c>
      <c r="V74" s="198"/>
      <c r="W74" s="197" t="s">
        <v>43</v>
      </c>
      <c r="X74" s="198"/>
      <c r="Z74" s="77">
        <v>273.2</v>
      </c>
      <c r="AA74" s="77">
        <v>27.01</v>
      </c>
      <c r="AB74" s="77"/>
      <c r="AC74" s="201">
        <f>AA74*$AC$3*1000</f>
        <v>2.7010000000000001</v>
      </c>
      <c r="AD74" s="169">
        <f t="shared" si="13"/>
        <v>0.27010000000000001</v>
      </c>
      <c r="AE74" s="199"/>
      <c r="AF74" s="199"/>
      <c r="AG74" s="199"/>
    </row>
    <row r="75" spans="1:33" s="195" customFormat="1" x14ac:dyDescent="0.2">
      <c r="A75" s="185"/>
      <c r="B75" s="77"/>
      <c r="C75" s="77"/>
      <c r="D75" s="77"/>
      <c r="E75" s="190"/>
      <c r="H75" s="77"/>
      <c r="I75" s="77"/>
      <c r="J75" s="77"/>
      <c r="K75" s="169" t="s">
        <v>43</v>
      </c>
      <c r="L75" s="169"/>
      <c r="M75" s="77"/>
      <c r="Q75" s="198" t="s">
        <v>43</v>
      </c>
      <c r="R75" s="197"/>
      <c r="S75" s="198" t="s">
        <v>43</v>
      </c>
      <c r="T75" s="197"/>
      <c r="U75" s="77"/>
      <c r="V75" s="198"/>
      <c r="W75" s="197"/>
      <c r="X75" s="198"/>
      <c r="Z75" s="77"/>
      <c r="AA75" s="77"/>
      <c r="AB75" s="77"/>
      <c r="AC75" s="201"/>
      <c r="AD75" s="169" t="s">
        <v>43</v>
      </c>
      <c r="AE75" s="199"/>
      <c r="AF75" s="199"/>
      <c r="AG75" s="199"/>
    </row>
    <row r="76" spans="1:33" s="195" customFormat="1" x14ac:dyDescent="0.2">
      <c r="A76" s="185" t="s">
        <v>1370</v>
      </c>
      <c r="B76" s="77"/>
      <c r="C76" s="208">
        <v>15</v>
      </c>
      <c r="D76" s="208">
        <v>1563</v>
      </c>
      <c r="E76" s="209" t="s">
        <v>626</v>
      </c>
      <c r="F76" s="77" t="s">
        <v>800</v>
      </c>
      <c r="G76" s="77" t="s">
        <v>43</v>
      </c>
      <c r="H76" s="77" t="s">
        <v>43</v>
      </c>
      <c r="I76" s="77"/>
      <c r="J76" s="77" t="s">
        <v>1269</v>
      </c>
      <c r="K76" s="218">
        <v>2.39</v>
      </c>
      <c r="L76" s="218"/>
      <c r="M76" s="218">
        <f t="shared" ref="M76:M79" si="14">L76-K76</f>
        <v>-2.39</v>
      </c>
      <c r="N76" s="77">
        <v>56</v>
      </c>
      <c r="O76" s="77" t="s">
        <v>507</v>
      </c>
      <c r="P76" s="77" t="s">
        <v>633</v>
      </c>
      <c r="Q76" s="198"/>
      <c r="R76" s="197" t="s">
        <v>1131</v>
      </c>
      <c r="S76" s="198">
        <v>3</v>
      </c>
      <c r="T76" s="197" t="s">
        <v>1033</v>
      </c>
      <c r="U76" s="77"/>
      <c r="V76" s="198"/>
      <c r="W76" s="197" t="s">
        <v>1098</v>
      </c>
      <c r="X76" s="198"/>
      <c r="Z76" s="77" t="s">
        <v>619</v>
      </c>
      <c r="AA76" s="77"/>
      <c r="AB76" s="77"/>
      <c r="AC76" s="201"/>
      <c r="AD76" s="169" t="s">
        <v>43</v>
      </c>
      <c r="AE76" s="202">
        <v>-0.21746093157459462</v>
      </c>
      <c r="AF76" s="202">
        <v>16.964537758001899</v>
      </c>
      <c r="AG76" s="202">
        <v>-26.245582180385739</v>
      </c>
    </row>
    <row r="77" spans="1:33" s="195" customFormat="1" x14ac:dyDescent="0.2">
      <c r="A77" s="185"/>
      <c r="B77" s="77"/>
      <c r="C77" s="77"/>
      <c r="D77" s="77"/>
      <c r="E77" s="190" t="s">
        <v>43</v>
      </c>
      <c r="F77" s="77" t="s">
        <v>799</v>
      </c>
      <c r="G77" s="77" t="s">
        <v>43</v>
      </c>
      <c r="H77" s="77" t="s">
        <v>43</v>
      </c>
      <c r="I77" s="77"/>
      <c r="J77" s="77" t="s">
        <v>1270</v>
      </c>
      <c r="K77" s="218">
        <v>2.38</v>
      </c>
      <c r="L77" s="218"/>
      <c r="M77" s="218">
        <f t="shared" si="14"/>
        <v>-2.38</v>
      </c>
      <c r="N77" s="77">
        <v>56</v>
      </c>
      <c r="O77" s="77" t="s">
        <v>532</v>
      </c>
      <c r="P77" s="77" t="s">
        <v>634</v>
      </c>
      <c r="Q77" s="198" t="s">
        <v>43</v>
      </c>
      <c r="R77" s="197" t="s">
        <v>1132</v>
      </c>
      <c r="S77" s="198" t="s">
        <v>43</v>
      </c>
      <c r="T77" s="197" t="s">
        <v>43</v>
      </c>
      <c r="U77" s="77" t="s">
        <v>1063</v>
      </c>
      <c r="V77" s="198"/>
      <c r="W77" s="197"/>
      <c r="X77" s="198" t="s">
        <v>1115</v>
      </c>
      <c r="Z77" s="77">
        <v>4.22</v>
      </c>
      <c r="AA77" s="77">
        <v>1.8391999999999999</v>
      </c>
      <c r="AB77" s="77">
        <v>-1.4E-3</v>
      </c>
      <c r="AC77" s="201">
        <f>AA77*$AC$3*1000</f>
        <v>0.18392000000000003</v>
      </c>
      <c r="AD77" s="169">
        <f t="shared" si="13"/>
        <v>1.8391999999999999E-2</v>
      </c>
      <c r="AE77" s="199"/>
      <c r="AF77" s="199"/>
      <c r="AG77" s="199"/>
    </row>
    <row r="78" spans="1:33" s="195" customFormat="1" x14ac:dyDescent="0.2">
      <c r="A78" s="185"/>
      <c r="B78" s="77"/>
      <c r="C78" s="77"/>
      <c r="D78" s="77"/>
      <c r="E78" s="190"/>
      <c r="F78" s="77" t="s">
        <v>798</v>
      </c>
      <c r="G78" s="77" t="s">
        <v>43</v>
      </c>
      <c r="H78" s="77" t="s">
        <v>43</v>
      </c>
      <c r="I78" s="77"/>
      <c r="J78" s="77" t="s">
        <v>1271</v>
      </c>
      <c r="K78" s="218">
        <v>2.38</v>
      </c>
      <c r="L78" s="218"/>
      <c r="M78" s="218">
        <f t="shared" si="14"/>
        <v>-2.38</v>
      </c>
      <c r="N78" s="77">
        <v>56</v>
      </c>
      <c r="O78" s="77" t="s">
        <v>507</v>
      </c>
      <c r="P78" s="77" t="s">
        <v>632</v>
      </c>
      <c r="Q78" s="198" t="s">
        <v>43</v>
      </c>
      <c r="R78" s="197" t="s">
        <v>1133</v>
      </c>
      <c r="S78" s="198">
        <v>2</v>
      </c>
      <c r="T78" s="197" t="s">
        <v>1034</v>
      </c>
      <c r="U78" s="77"/>
      <c r="V78" s="198"/>
      <c r="W78" s="197" t="s">
        <v>1099</v>
      </c>
      <c r="X78" s="198"/>
      <c r="Z78" s="77">
        <v>77.349999999999994</v>
      </c>
      <c r="AA78" s="77">
        <v>6.6783000000000001</v>
      </c>
      <c r="AB78" s="77" t="s">
        <v>43</v>
      </c>
      <c r="AC78" s="201">
        <f>AA78*$AC$3*1000</f>
        <v>0.66783000000000003</v>
      </c>
      <c r="AD78" s="169">
        <f t="shared" si="13"/>
        <v>6.6782999999999995E-2</v>
      </c>
      <c r="AE78" s="199"/>
      <c r="AF78" s="199"/>
      <c r="AG78" s="199"/>
    </row>
    <row r="79" spans="1:33" s="195" customFormat="1" x14ac:dyDescent="0.2">
      <c r="A79" s="185"/>
      <c r="B79" s="77"/>
      <c r="C79" s="77"/>
      <c r="D79" s="77"/>
      <c r="E79" s="190"/>
      <c r="F79" s="77" t="s">
        <v>797</v>
      </c>
      <c r="G79" s="77" t="s">
        <v>43</v>
      </c>
      <c r="H79" s="77" t="s">
        <v>43</v>
      </c>
      <c r="I79" s="77"/>
      <c r="J79" s="77" t="s">
        <v>1272</v>
      </c>
      <c r="K79" s="218">
        <v>2.36</v>
      </c>
      <c r="L79" s="218"/>
      <c r="M79" s="218">
        <f t="shared" si="14"/>
        <v>-2.36</v>
      </c>
      <c r="N79" s="77">
        <v>56</v>
      </c>
      <c r="O79" s="77" t="s">
        <v>532</v>
      </c>
      <c r="P79" s="77" t="s">
        <v>1400</v>
      </c>
      <c r="Q79" s="198" t="s">
        <v>43</v>
      </c>
      <c r="R79" s="197" t="s">
        <v>1134</v>
      </c>
      <c r="S79" s="198" t="s">
        <v>43</v>
      </c>
      <c r="T79" s="197" t="s">
        <v>43</v>
      </c>
      <c r="U79" s="77" t="s">
        <v>1064</v>
      </c>
      <c r="V79" s="198"/>
      <c r="W79" s="197"/>
      <c r="X79" s="198" t="s">
        <v>917</v>
      </c>
      <c r="Z79" s="77">
        <v>273.2</v>
      </c>
      <c r="AA79" s="77">
        <v>26.986999999999998</v>
      </c>
      <c r="AB79" s="77"/>
      <c r="AC79" s="201">
        <f>AA79*$AC$3*1000</f>
        <v>2.6987000000000001</v>
      </c>
      <c r="AD79" s="169">
        <f t="shared" si="13"/>
        <v>0.26986999999999994</v>
      </c>
      <c r="AE79" s="199"/>
      <c r="AF79" s="199"/>
      <c r="AG79" s="199"/>
    </row>
    <row r="80" spans="1:33" s="195" customFormat="1" x14ac:dyDescent="0.2">
      <c r="A80" s="185" t="s">
        <v>1371</v>
      </c>
      <c r="B80" s="77"/>
      <c r="C80" s="77"/>
      <c r="D80" s="77"/>
      <c r="E80" s="190"/>
      <c r="G80" s="77"/>
      <c r="H80" s="77"/>
      <c r="I80" s="77"/>
      <c r="J80" s="77"/>
      <c r="K80" s="169"/>
      <c r="L80" s="169"/>
      <c r="M80" s="77"/>
      <c r="N80" s="77"/>
      <c r="O80" s="77"/>
      <c r="P80" s="77"/>
      <c r="Q80" s="198" t="s">
        <v>43</v>
      </c>
      <c r="R80" s="197"/>
      <c r="S80" s="198" t="s">
        <v>43</v>
      </c>
      <c r="T80" s="197"/>
      <c r="U80" s="77"/>
      <c r="V80" s="198"/>
      <c r="W80" s="197" t="s">
        <v>43</v>
      </c>
      <c r="X80" s="198"/>
      <c r="Z80" s="77"/>
      <c r="AA80" s="77"/>
      <c r="AB80" s="77"/>
      <c r="AC80" s="201"/>
      <c r="AD80" s="169" t="s">
        <v>43</v>
      </c>
      <c r="AE80" s="199"/>
      <c r="AF80" s="199"/>
      <c r="AG80" s="199"/>
    </row>
    <row r="81" spans="1:33" s="195" customFormat="1" x14ac:dyDescent="0.2">
      <c r="A81" s="185"/>
      <c r="B81" s="77"/>
      <c r="C81" s="208">
        <v>16</v>
      </c>
      <c r="D81" s="208">
        <v>1566</v>
      </c>
      <c r="E81" s="209" t="s">
        <v>631</v>
      </c>
      <c r="F81" s="77" t="s">
        <v>800</v>
      </c>
      <c r="G81" s="77" t="s">
        <v>43</v>
      </c>
      <c r="H81" s="77" t="s">
        <v>43</v>
      </c>
      <c r="I81" s="77"/>
      <c r="J81" s="77"/>
      <c r="K81" s="169"/>
      <c r="L81" s="169"/>
      <c r="M81" s="77"/>
      <c r="N81" s="77">
        <v>57</v>
      </c>
      <c r="O81" s="77" t="s">
        <v>507</v>
      </c>
      <c r="P81" s="77" t="s">
        <v>635</v>
      </c>
      <c r="Q81" s="198" t="s">
        <v>43</v>
      </c>
      <c r="R81" s="197" t="s">
        <v>1135</v>
      </c>
      <c r="S81" s="198">
        <v>3</v>
      </c>
      <c r="T81" s="197" t="s">
        <v>1035</v>
      </c>
      <c r="U81" s="77"/>
      <c r="V81" s="198"/>
      <c r="W81" s="197" t="s">
        <v>1100</v>
      </c>
      <c r="X81" s="198"/>
      <c r="Z81" s="77" t="s">
        <v>619</v>
      </c>
      <c r="AA81" s="77"/>
      <c r="AB81" s="77"/>
      <c r="AC81" s="201"/>
      <c r="AD81" s="169" t="s">
        <v>43</v>
      </c>
      <c r="AE81" s="202">
        <v>-0.21685123012613941</v>
      </c>
      <c r="AF81" s="202">
        <v>16.943264114563878</v>
      </c>
      <c r="AG81" s="202">
        <v>-26.214976310751204</v>
      </c>
    </row>
    <row r="82" spans="1:33" s="195" customFormat="1" x14ac:dyDescent="0.2">
      <c r="A82" s="185"/>
      <c r="B82" s="77"/>
      <c r="C82" s="77"/>
      <c r="D82" s="77"/>
      <c r="E82" s="190" t="s">
        <v>43</v>
      </c>
      <c r="F82" s="77" t="s">
        <v>799</v>
      </c>
      <c r="G82" s="77" t="s">
        <v>43</v>
      </c>
      <c r="H82" s="77" t="s">
        <v>43</v>
      </c>
      <c r="I82" s="77"/>
      <c r="J82" s="77"/>
      <c r="K82" s="169"/>
      <c r="L82" s="169"/>
      <c r="M82" s="77"/>
      <c r="N82" s="77">
        <v>57</v>
      </c>
      <c r="O82" s="77" t="s">
        <v>508</v>
      </c>
      <c r="P82" s="77" t="s">
        <v>637</v>
      </c>
      <c r="Q82" s="198"/>
      <c r="R82" s="197" t="s">
        <v>1136</v>
      </c>
      <c r="S82" s="198" t="s">
        <v>43</v>
      </c>
      <c r="T82" s="197" t="s">
        <v>43</v>
      </c>
      <c r="U82" s="77" t="s">
        <v>1065</v>
      </c>
      <c r="V82" s="198"/>
      <c r="W82" s="197" t="s">
        <v>43</v>
      </c>
      <c r="X82" s="198" t="s">
        <v>1116</v>
      </c>
      <c r="Z82" s="77">
        <v>4.22</v>
      </c>
      <c r="AA82" s="77">
        <v>1.8395999999999999</v>
      </c>
      <c r="AB82" s="77">
        <v>0</v>
      </c>
      <c r="AC82" s="201">
        <f>AA82*$AC$3*1000</f>
        <v>0.18395999999999998</v>
      </c>
      <c r="AD82" s="169">
        <f t="shared" si="13"/>
        <v>1.8395999999999999E-2</v>
      </c>
      <c r="AE82" s="199"/>
      <c r="AF82" s="199"/>
      <c r="AG82" s="199"/>
    </row>
    <row r="83" spans="1:33" s="195" customFormat="1" x14ac:dyDescent="0.2">
      <c r="A83" s="185"/>
      <c r="B83" s="77"/>
      <c r="C83" s="77"/>
      <c r="D83" s="77"/>
      <c r="E83" s="186"/>
      <c r="F83" s="77" t="s">
        <v>798</v>
      </c>
      <c r="G83" s="77" t="s">
        <v>43</v>
      </c>
      <c r="H83" s="77" t="s">
        <v>43</v>
      </c>
      <c r="I83" s="77"/>
      <c r="J83" s="77"/>
      <c r="K83" s="169"/>
      <c r="L83" s="169"/>
      <c r="M83" s="77"/>
      <c r="N83" s="77">
        <v>57</v>
      </c>
      <c r="O83" s="77" t="s">
        <v>507</v>
      </c>
      <c r="P83" s="77" t="s">
        <v>636</v>
      </c>
      <c r="Q83" s="198" t="s">
        <v>43</v>
      </c>
      <c r="R83" s="197" t="s">
        <v>1137</v>
      </c>
      <c r="S83" s="198">
        <v>2</v>
      </c>
      <c r="T83" s="197" t="s">
        <v>1036</v>
      </c>
      <c r="U83" s="77"/>
      <c r="V83" s="198"/>
      <c r="W83" s="197" t="s">
        <v>1101</v>
      </c>
      <c r="X83" s="198"/>
      <c r="Z83" s="77">
        <v>77.349999999999994</v>
      </c>
      <c r="AA83" s="77">
        <v>6.6843000000000004</v>
      </c>
      <c r="AB83" s="77">
        <v>0.06</v>
      </c>
      <c r="AC83" s="201">
        <f>AA83*$AC$3*1000</f>
        <v>0.66842999999999997</v>
      </c>
      <c r="AD83" s="169">
        <f t="shared" si="13"/>
        <v>6.6843E-2</v>
      </c>
      <c r="AE83" s="199"/>
      <c r="AF83" s="199"/>
      <c r="AG83" s="199"/>
    </row>
    <row r="84" spans="1:33" s="195" customFormat="1" x14ac:dyDescent="0.2">
      <c r="A84" s="185"/>
      <c r="B84" s="77"/>
      <c r="C84" s="77"/>
      <c r="D84" s="77"/>
      <c r="E84" s="190"/>
      <c r="F84" s="77" t="s">
        <v>797</v>
      </c>
      <c r="G84" s="77" t="s">
        <v>43</v>
      </c>
      <c r="H84" s="77" t="s">
        <v>43</v>
      </c>
      <c r="I84" s="77"/>
      <c r="J84" s="77"/>
      <c r="K84" s="169"/>
      <c r="L84" s="169"/>
      <c r="M84" s="77"/>
      <c r="N84" s="77">
        <v>57</v>
      </c>
      <c r="O84" s="77" t="s">
        <v>508</v>
      </c>
      <c r="P84" s="77" t="s">
        <v>638</v>
      </c>
      <c r="Q84" s="198" t="s">
        <v>43</v>
      </c>
      <c r="R84" s="197" t="s">
        <v>1138</v>
      </c>
      <c r="S84" s="198" t="s">
        <v>43</v>
      </c>
      <c r="T84" s="197"/>
      <c r="U84" s="77" t="s">
        <v>1066</v>
      </c>
      <c r="V84" s="198"/>
      <c r="W84" s="197"/>
      <c r="X84" s="198" t="s">
        <v>917</v>
      </c>
      <c r="Z84" s="77">
        <v>273.2</v>
      </c>
      <c r="AA84" s="77">
        <v>27.006</v>
      </c>
      <c r="AB84" s="77"/>
      <c r="AC84" s="201">
        <f>AA84*$AC$3*1000</f>
        <v>2.7006000000000001</v>
      </c>
      <c r="AD84" s="169">
        <f t="shared" si="13"/>
        <v>0.27006000000000002</v>
      </c>
      <c r="AE84" s="199"/>
      <c r="AF84" s="199"/>
      <c r="AG84" s="199"/>
    </row>
    <row r="85" spans="1:33" s="195" customFormat="1" x14ac:dyDescent="0.2">
      <c r="A85" s="185"/>
      <c r="B85" s="77"/>
      <c r="C85" s="77"/>
      <c r="D85" s="77"/>
      <c r="E85" s="190"/>
      <c r="F85" s="77"/>
      <c r="G85" s="77"/>
      <c r="H85" s="77"/>
      <c r="I85" s="77"/>
      <c r="J85" s="77"/>
      <c r="K85" s="169"/>
      <c r="L85" s="169"/>
      <c r="M85" s="77"/>
      <c r="N85" s="77"/>
      <c r="O85" s="77"/>
      <c r="P85" s="77"/>
      <c r="Q85" s="198"/>
      <c r="R85" s="197"/>
      <c r="S85" s="198"/>
      <c r="T85" s="197"/>
      <c r="U85" s="77"/>
      <c r="V85" s="198"/>
      <c r="W85" s="197"/>
      <c r="X85" s="198"/>
      <c r="Z85" s="77"/>
      <c r="AA85" s="77"/>
      <c r="AB85" s="77"/>
      <c r="AC85" s="201"/>
      <c r="AD85" s="169"/>
      <c r="AE85" s="199"/>
      <c r="AF85" s="199"/>
      <c r="AG85" s="199"/>
    </row>
    <row r="86" spans="1:33" s="195" customFormat="1" x14ac:dyDescent="0.2">
      <c r="A86" s="185"/>
      <c r="B86" s="77"/>
      <c r="C86" s="77"/>
      <c r="D86" s="77"/>
      <c r="E86" s="190"/>
      <c r="F86" s="77"/>
      <c r="G86" s="77"/>
      <c r="H86" s="77"/>
      <c r="I86" s="77"/>
      <c r="J86" s="77"/>
      <c r="K86" s="169"/>
      <c r="L86" s="169"/>
      <c r="M86" s="77"/>
      <c r="N86" s="77"/>
      <c r="O86" s="77"/>
      <c r="P86" s="77"/>
      <c r="Q86" s="198"/>
      <c r="R86" s="197"/>
      <c r="S86" s="198"/>
      <c r="T86" s="197"/>
      <c r="U86" s="77"/>
      <c r="V86" s="198"/>
      <c r="W86" s="197"/>
      <c r="X86" s="198"/>
      <c r="Z86" s="77"/>
      <c r="AA86" s="77"/>
      <c r="AB86" s="77"/>
      <c r="AC86" s="201"/>
      <c r="AD86" s="169"/>
      <c r="AE86" s="199"/>
      <c r="AF86" s="199"/>
      <c r="AG86" s="199"/>
    </row>
    <row r="87" spans="1:33" s="195" customFormat="1" x14ac:dyDescent="0.2">
      <c r="A87" s="185"/>
      <c r="B87" s="77"/>
      <c r="C87" s="77"/>
      <c r="D87" s="77"/>
      <c r="E87" s="190"/>
      <c r="F87" s="77"/>
      <c r="G87" s="77"/>
      <c r="H87" s="77"/>
      <c r="I87" s="77"/>
      <c r="J87" s="77"/>
      <c r="K87" s="169"/>
      <c r="L87" s="169"/>
      <c r="M87" s="77"/>
      <c r="N87" s="77"/>
      <c r="O87" s="77"/>
      <c r="P87" s="77"/>
      <c r="Q87" s="198"/>
      <c r="R87" s="197"/>
      <c r="S87" s="198"/>
      <c r="T87" s="197"/>
      <c r="U87" s="77"/>
      <c r="V87" s="198"/>
      <c r="W87" s="197"/>
      <c r="X87" s="198"/>
      <c r="Z87" s="77"/>
      <c r="AA87" s="77"/>
      <c r="AB87" s="77"/>
      <c r="AC87" s="201"/>
      <c r="AD87" s="169"/>
      <c r="AE87" s="199"/>
      <c r="AF87" s="199"/>
      <c r="AG87" s="199"/>
    </row>
    <row r="88" spans="1:33" s="195" customFormat="1" ht="18.75" x14ac:dyDescent="0.3">
      <c r="A88" s="185"/>
      <c r="B88" s="77"/>
      <c r="C88" s="77"/>
      <c r="D88" s="77"/>
      <c r="E88" s="190"/>
      <c r="G88" s="77"/>
      <c r="H88" s="77"/>
      <c r="I88" s="77"/>
      <c r="J88" s="77"/>
      <c r="K88" s="169"/>
      <c r="L88" s="169"/>
      <c r="M88" s="77"/>
      <c r="N88" s="77"/>
      <c r="O88" s="77"/>
      <c r="P88" s="77"/>
      <c r="Q88" s="198" t="s">
        <v>43</v>
      </c>
      <c r="R88" s="204" t="s">
        <v>1119</v>
      </c>
      <c r="S88" s="198" t="s">
        <v>43</v>
      </c>
      <c r="T88" s="197"/>
      <c r="U88" s="192" t="s">
        <v>1068</v>
      </c>
      <c r="V88" s="198"/>
      <c r="W88" s="205" t="s">
        <v>1117</v>
      </c>
      <c r="X88" s="206" t="s">
        <v>1118</v>
      </c>
      <c r="Z88" s="77"/>
      <c r="AA88" s="77"/>
      <c r="AB88" s="77"/>
      <c r="AC88" s="201"/>
      <c r="AD88" s="169" t="s">
        <v>43</v>
      </c>
      <c r="AE88" s="199"/>
      <c r="AF88" s="199"/>
      <c r="AG88" s="199"/>
    </row>
    <row r="89" spans="1:33" s="195" customFormat="1" ht="25.5" x14ac:dyDescent="0.2">
      <c r="A89" s="185" t="s">
        <v>1368</v>
      </c>
      <c r="B89" s="77"/>
      <c r="C89" s="208">
        <v>17</v>
      </c>
      <c r="D89" s="208">
        <v>1568</v>
      </c>
      <c r="E89" s="209" t="s">
        <v>627</v>
      </c>
      <c r="F89" s="77" t="s">
        <v>800</v>
      </c>
      <c r="G89" s="77" t="s">
        <v>43</v>
      </c>
      <c r="H89" s="77" t="s">
        <v>43</v>
      </c>
      <c r="I89" s="77"/>
      <c r="J89" s="77"/>
      <c r="K89" s="169"/>
      <c r="L89" s="169"/>
      <c r="M89" s="77"/>
      <c r="N89" s="77">
        <v>69</v>
      </c>
      <c r="O89" s="77" t="s">
        <v>507</v>
      </c>
      <c r="P89" s="77" t="s">
        <v>639</v>
      </c>
      <c r="Q89" s="198" t="s">
        <v>43</v>
      </c>
      <c r="R89" s="197" t="s">
        <v>888</v>
      </c>
      <c r="S89" s="198">
        <v>3</v>
      </c>
      <c r="T89" s="197" t="s">
        <v>1037</v>
      </c>
      <c r="U89" s="77"/>
      <c r="V89" s="198"/>
      <c r="W89" s="197" t="s">
        <v>1071</v>
      </c>
      <c r="X89" s="207" t="s">
        <v>1139</v>
      </c>
      <c r="Z89" s="77" t="s">
        <v>619</v>
      </c>
      <c r="AA89" s="77"/>
      <c r="AB89" s="77"/>
      <c r="AC89" s="201"/>
      <c r="AD89" s="169" t="s">
        <v>43</v>
      </c>
      <c r="AE89" s="202">
        <v>-0.21597625233767048</v>
      </c>
      <c r="AF89" s="202">
        <v>16.917014512657619</v>
      </c>
      <c r="AG89" s="202">
        <v>-26.159975065495303</v>
      </c>
    </row>
    <row r="90" spans="1:33" s="195" customFormat="1" x14ac:dyDescent="0.2">
      <c r="A90" s="185"/>
      <c r="B90" s="77"/>
      <c r="C90" s="77"/>
      <c r="D90" s="77"/>
      <c r="E90" s="190" t="s">
        <v>43</v>
      </c>
      <c r="F90" s="77" t="s">
        <v>799</v>
      </c>
      <c r="G90" s="77" t="s">
        <v>43</v>
      </c>
      <c r="H90" s="77" t="s">
        <v>43</v>
      </c>
      <c r="I90" s="77"/>
      <c r="J90" s="77"/>
      <c r="K90" s="169"/>
      <c r="L90" s="169"/>
      <c r="M90" s="77"/>
      <c r="N90" s="77">
        <v>69</v>
      </c>
      <c r="O90" s="77" t="s">
        <v>530</v>
      </c>
      <c r="P90" s="77" t="s">
        <v>640</v>
      </c>
      <c r="Q90" s="198" t="s">
        <v>43</v>
      </c>
      <c r="R90" s="197" t="s">
        <v>892</v>
      </c>
      <c r="S90" s="198" t="s">
        <v>43</v>
      </c>
      <c r="T90" s="197" t="s">
        <v>43</v>
      </c>
      <c r="U90" s="77" t="s">
        <v>988</v>
      </c>
      <c r="V90" s="198"/>
      <c r="W90" s="197" t="s">
        <v>43</v>
      </c>
      <c r="X90" s="198" t="s">
        <v>43</v>
      </c>
      <c r="Z90" s="77">
        <v>4.22</v>
      </c>
      <c r="AA90" s="77">
        <v>1.839</v>
      </c>
      <c r="AB90" s="77">
        <v>-2E-3</v>
      </c>
      <c r="AC90" s="201">
        <f>AA90*$AC$3*1000</f>
        <v>0.18390000000000001</v>
      </c>
      <c r="AD90" s="169">
        <f t="shared" si="13"/>
        <v>1.839E-2</v>
      </c>
      <c r="AE90" s="199"/>
      <c r="AF90" s="199"/>
      <c r="AG90" s="199"/>
    </row>
    <row r="91" spans="1:33" s="195" customFormat="1" x14ac:dyDescent="0.2">
      <c r="A91" s="185"/>
      <c r="B91" s="77"/>
      <c r="C91" s="77"/>
      <c r="D91" s="77"/>
      <c r="E91" s="186"/>
      <c r="F91" s="77" t="s">
        <v>798</v>
      </c>
      <c r="G91" s="77" t="s">
        <v>43</v>
      </c>
      <c r="H91" s="77" t="s">
        <v>43</v>
      </c>
      <c r="I91" s="77"/>
      <c r="J91" s="77"/>
      <c r="K91" s="169"/>
      <c r="L91" s="169"/>
      <c r="M91" s="77"/>
      <c r="N91" s="77">
        <v>69</v>
      </c>
      <c r="O91" s="77" t="s">
        <v>507</v>
      </c>
      <c r="P91" s="77" t="s">
        <v>641</v>
      </c>
      <c r="Q91" s="198"/>
      <c r="R91" s="197" t="s">
        <v>889</v>
      </c>
      <c r="S91" s="198">
        <v>2</v>
      </c>
      <c r="T91" s="197" t="s">
        <v>1038</v>
      </c>
      <c r="U91" s="77"/>
      <c r="V91" s="198"/>
      <c r="W91" s="197" t="s">
        <v>1070</v>
      </c>
      <c r="X91" s="198" t="s">
        <v>916</v>
      </c>
      <c r="Z91" s="77">
        <v>77.349999999999994</v>
      </c>
      <c r="AA91" s="77">
        <v>6.6901000000000002</v>
      </c>
      <c r="AB91" s="77">
        <v>0.12</v>
      </c>
      <c r="AC91" s="201">
        <f>AA91*$AC$3*1000</f>
        <v>0.66900999999999999</v>
      </c>
      <c r="AD91" s="169">
        <f t="shared" si="13"/>
        <v>6.6901000000000002E-2</v>
      </c>
      <c r="AE91" s="199"/>
      <c r="AF91" s="199"/>
      <c r="AG91" s="199"/>
    </row>
    <row r="92" spans="1:33" s="195" customFormat="1" x14ac:dyDescent="0.2">
      <c r="A92" s="185"/>
      <c r="B92" s="77"/>
      <c r="C92" s="77"/>
      <c r="D92" s="77"/>
      <c r="E92" s="190"/>
      <c r="F92" s="77" t="s">
        <v>797</v>
      </c>
      <c r="G92" s="77" t="s">
        <v>43</v>
      </c>
      <c r="H92" s="77" t="s">
        <v>43</v>
      </c>
      <c r="I92" s="77"/>
      <c r="J92" s="77"/>
      <c r="K92" s="169"/>
      <c r="L92" s="169"/>
      <c r="M92" s="77"/>
      <c r="N92" s="77">
        <v>69</v>
      </c>
      <c r="O92" s="77" t="s">
        <v>530</v>
      </c>
      <c r="P92" s="77" t="s">
        <v>642</v>
      </c>
      <c r="Q92" s="198" t="s">
        <v>43</v>
      </c>
      <c r="R92" s="197" t="s">
        <v>893</v>
      </c>
      <c r="S92" s="198" t="s">
        <v>43</v>
      </c>
      <c r="T92" s="197" t="s">
        <v>43</v>
      </c>
      <c r="U92" s="77" t="s">
        <v>989</v>
      </c>
      <c r="V92" s="198"/>
      <c r="W92" s="197" t="s">
        <v>43</v>
      </c>
      <c r="Z92" s="77">
        <v>273.2</v>
      </c>
      <c r="AA92" s="77">
        <v>27.009</v>
      </c>
      <c r="AB92" s="77"/>
      <c r="AC92" s="201">
        <f>AA92*$AC$3*1000</f>
        <v>2.7008999999999999</v>
      </c>
      <c r="AD92" s="169">
        <f t="shared" si="13"/>
        <v>0.27009</v>
      </c>
      <c r="AE92" s="199"/>
      <c r="AF92" s="199"/>
      <c r="AG92" s="199"/>
    </row>
    <row r="93" spans="1:33" s="195" customFormat="1" x14ac:dyDescent="0.2">
      <c r="A93" s="185"/>
      <c r="B93" s="77"/>
      <c r="C93" s="77"/>
      <c r="D93" s="77"/>
      <c r="E93" s="190"/>
      <c r="G93" s="77"/>
      <c r="H93" s="77"/>
      <c r="I93" s="77"/>
      <c r="J93" s="77"/>
      <c r="K93" s="169"/>
      <c r="L93" s="169"/>
      <c r="M93" s="77"/>
      <c r="N93" s="77"/>
      <c r="O93" s="77"/>
      <c r="P93" s="77"/>
      <c r="Q93" s="198" t="s">
        <v>43</v>
      </c>
      <c r="AE93" s="199"/>
      <c r="AF93" s="199"/>
      <c r="AG93" s="199"/>
    </row>
    <row r="94" spans="1:33" s="195" customFormat="1" ht="25.5" x14ac:dyDescent="0.2">
      <c r="A94" s="185" t="s">
        <v>1369</v>
      </c>
      <c r="B94" s="77"/>
      <c r="C94" s="208">
        <v>18</v>
      </c>
      <c r="D94" s="208">
        <v>1575</v>
      </c>
      <c r="E94" s="209" t="s">
        <v>628</v>
      </c>
      <c r="F94" s="77" t="s">
        <v>800</v>
      </c>
      <c r="G94" s="77" t="s">
        <v>43</v>
      </c>
      <c r="H94" s="77" t="s">
        <v>43</v>
      </c>
      <c r="I94" s="77"/>
      <c r="J94" s="77"/>
      <c r="K94" s="169"/>
      <c r="L94" s="169"/>
      <c r="M94" s="77"/>
      <c r="N94" s="77">
        <v>70</v>
      </c>
      <c r="O94" s="77" t="s">
        <v>507</v>
      </c>
      <c r="P94" s="77" t="s">
        <v>643</v>
      </c>
      <c r="Q94" s="198" t="s">
        <v>43</v>
      </c>
      <c r="R94" s="197" t="s">
        <v>894</v>
      </c>
      <c r="S94" s="198">
        <v>3</v>
      </c>
      <c r="T94" s="197" t="s">
        <v>1039</v>
      </c>
      <c r="U94" s="77"/>
      <c r="V94" s="198"/>
      <c r="W94" s="197" t="s">
        <v>1072</v>
      </c>
      <c r="X94" s="207" t="s">
        <v>1140</v>
      </c>
      <c r="Z94" s="77" t="s">
        <v>619</v>
      </c>
      <c r="AA94" s="77"/>
      <c r="AB94" s="77"/>
      <c r="AC94" s="201"/>
      <c r="AD94" s="169" t="s">
        <v>43</v>
      </c>
      <c r="AE94" s="202">
        <v>-0.21677984839972525</v>
      </c>
      <c r="AF94" s="202">
        <v>16.941236045199751</v>
      </c>
      <c r="AG94" s="202">
        <v>-26.201800765442542</v>
      </c>
    </row>
    <row r="95" spans="1:33" s="195" customFormat="1" x14ac:dyDescent="0.2">
      <c r="A95" s="185"/>
      <c r="B95" s="77"/>
      <c r="C95" s="77"/>
      <c r="D95" s="77"/>
      <c r="E95" s="190" t="s">
        <v>43</v>
      </c>
      <c r="F95" s="77" t="s">
        <v>799</v>
      </c>
      <c r="G95" s="77" t="s">
        <v>43</v>
      </c>
      <c r="H95" s="77" t="s">
        <v>43</v>
      </c>
      <c r="I95" s="77"/>
      <c r="J95" s="77"/>
      <c r="K95" s="169"/>
      <c r="L95" s="169"/>
      <c r="M95" s="77"/>
      <c r="N95" s="77">
        <v>70</v>
      </c>
      <c r="O95" s="77" t="s">
        <v>535</v>
      </c>
      <c r="P95" s="77" t="s">
        <v>644</v>
      </c>
      <c r="Q95" s="198" t="s">
        <v>43</v>
      </c>
      <c r="R95" s="197" t="s">
        <v>896</v>
      </c>
      <c r="S95" s="198" t="s">
        <v>43</v>
      </c>
      <c r="T95" s="197" t="s">
        <v>43</v>
      </c>
      <c r="U95" s="77" t="s">
        <v>1053</v>
      </c>
      <c r="V95" s="198"/>
      <c r="W95" s="197" t="s">
        <v>43</v>
      </c>
      <c r="X95" s="198" t="s">
        <v>43</v>
      </c>
      <c r="Z95" s="77">
        <v>4.22</v>
      </c>
      <c r="AA95" s="77">
        <v>1.839</v>
      </c>
      <c r="AB95" s="77">
        <v>-3.0000000000000001E-3</v>
      </c>
      <c r="AC95" s="201">
        <f>AA95*$AC$3*1000</f>
        <v>0.18390000000000001</v>
      </c>
      <c r="AD95" s="169">
        <f>0.0001^2*AA95*1000000</f>
        <v>1.839E-2</v>
      </c>
      <c r="AE95" s="199"/>
      <c r="AF95" s="199"/>
      <c r="AG95" s="199"/>
    </row>
    <row r="96" spans="1:33" s="195" customFormat="1" x14ac:dyDescent="0.2">
      <c r="A96" s="185"/>
      <c r="B96" s="77"/>
      <c r="C96" s="77"/>
      <c r="D96" s="77"/>
      <c r="E96" s="190"/>
      <c r="F96" s="77" t="s">
        <v>798</v>
      </c>
      <c r="G96" s="77" t="s">
        <v>43</v>
      </c>
      <c r="H96" s="77" t="s">
        <v>43</v>
      </c>
      <c r="I96" s="77"/>
      <c r="J96" s="77"/>
      <c r="K96" s="169"/>
      <c r="L96" s="169"/>
      <c r="M96" s="77"/>
      <c r="N96" s="77">
        <v>70</v>
      </c>
      <c r="O96" s="77" t="s">
        <v>507</v>
      </c>
      <c r="P96" s="77" t="s">
        <v>645</v>
      </c>
      <c r="Q96" s="198" t="s">
        <v>43</v>
      </c>
      <c r="R96" s="197" t="s">
        <v>895</v>
      </c>
      <c r="S96" s="198">
        <v>2</v>
      </c>
      <c r="T96" s="197" t="s">
        <v>1040</v>
      </c>
      <c r="V96" s="198"/>
      <c r="W96" s="197" t="s">
        <v>1073</v>
      </c>
      <c r="X96" s="198" t="s">
        <v>916</v>
      </c>
      <c r="Z96" s="77">
        <v>77.349999999999994</v>
      </c>
      <c r="AA96" s="77">
        <v>6.6840999999999999</v>
      </c>
      <c r="AB96" s="77">
        <v>0.06</v>
      </c>
      <c r="AC96" s="201">
        <f>AA96*$AC$3*1000</f>
        <v>0.66841000000000006</v>
      </c>
      <c r="AD96" s="169">
        <f>0.0001^2*AA96*1000000</f>
        <v>6.6840999999999998E-2</v>
      </c>
      <c r="AE96" s="199"/>
      <c r="AF96" s="199"/>
      <c r="AG96" s="199"/>
    </row>
    <row r="97" spans="1:33" s="77" customFormat="1" x14ac:dyDescent="0.2">
      <c r="A97" s="185"/>
      <c r="E97" s="185"/>
      <c r="F97" s="77" t="s">
        <v>797</v>
      </c>
      <c r="H97" s="77" t="s">
        <v>43</v>
      </c>
      <c r="K97" s="169"/>
      <c r="L97" s="169"/>
      <c r="N97" s="77">
        <v>70</v>
      </c>
      <c r="O97" s="77" t="s">
        <v>535</v>
      </c>
      <c r="P97" s="77" t="s">
        <v>646</v>
      </c>
      <c r="Q97" s="198"/>
      <c r="R97" s="197" t="s">
        <v>897</v>
      </c>
      <c r="T97" s="197" t="s">
        <v>43</v>
      </c>
      <c r="U97" s="77" t="s">
        <v>1054</v>
      </c>
      <c r="V97" s="198"/>
      <c r="W97" s="197" t="s">
        <v>43</v>
      </c>
      <c r="AA97" s="77">
        <v>27.004000000000001</v>
      </c>
      <c r="AC97" s="201"/>
      <c r="AD97" s="169"/>
      <c r="AE97" s="210"/>
      <c r="AF97" s="210"/>
      <c r="AG97" s="210"/>
    </row>
    <row r="98" spans="1:33" s="195" customFormat="1" ht="12.75" customHeight="1" x14ac:dyDescent="0.2">
      <c r="A98" s="185" t="s">
        <v>469</v>
      </c>
      <c r="C98" s="77"/>
      <c r="D98" s="77"/>
      <c r="E98" s="186"/>
      <c r="H98" s="77"/>
      <c r="I98" s="77"/>
      <c r="J98" s="77"/>
      <c r="K98" s="169"/>
      <c r="L98" s="169"/>
      <c r="M98" s="77"/>
      <c r="Q98" s="198" t="s">
        <v>43</v>
      </c>
      <c r="R98" s="197"/>
      <c r="S98" s="198"/>
      <c r="T98" s="197"/>
      <c r="U98" s="77"/>
      <c r="V98" s="198"/>
      <c r="W98" s="197"/>
      <c r="AE98" s="199"/>
      <c r="AF98" s="199"/>
      <c r="AG98" s="199"/>
    </row>
    <row r="99" spans="1:33" s="77" customFormat="1" x14ac:dyDescent="0.2">
      <c r="A99" s="185"/>
      <c r="B99" s="77" t="s">
        <v>319</v>
      </c>
      <c r="C99" s="77">
        <v>22</v>
      </c>
      <c r="D99" s="77">
        <v>1555</v>
      </c>
      <c r="E99" s="185" t="s">
        <v>658</v>
      </c>
      <c r="F99" s="77" t="s">
        <v>800</v>
      </c>
      <c r="G99" s="77">
        <v>27</v>
      </c>
      <c r="H99" s="77" t="s">
        <v>506</v>
      </c>
      <c r="I99" s="77" t="s">
        <v>662</v>
      </c>
      <c r="J99" s="200" t="s">
        <v>1240</v>
      </c>
      <c r="K99" s="169">
        <v>0.24</v>
      </c>
      <c r="L99" s="169">
        <v>32.21</v>
      </c>
      <c r="M99" s="169">
        <f>L99-K99</f>
        <v>31.970000000000002</v>
      </c>
      <c r="N99" s="77">
        <v>71</v>
      </c>
      <c r="O99" s="77" t="s">
        <v>506</v>
      </c>
      <c r="P99" s="77" t="s">
        <v>678</v>
      </c>
      <c r="Q99" s="198"/>
      <c r="R99" s="197" t="s">
        <v>900</v>
      </c>
      <c r="S99" s="198">
        <v>3</v>
      </c>
      <c r="T99" s="197" t="s">
        <v>1041</v>
      </c>
      <c r="V99" s="198"/>
      <c r="W99" s="197" t="s">
        <v>1074</v>
      </c>
      <c r="X99" s="207" t="s">
        <v>1141</v>
      </c>
      <c r="Z99" s="77" t="s">
        <v>740</v>
      </c>
      <c r="AC99" s="201"/>
      <c r="AD99" s="169"/>
      <c r="AE99" s="202">
        <v>-0.21808601483188739</v>
      </c>
      <c r="AF99" s="202">
        <v>16.964202910137331</v>
      </c>
      <c r="AG99" s="202">
        <v>-25.817640561510167</v>
      </c>
    </row>
    <row r="100" spans="1:33" s="77" customFormat="1" x14ac:dyDescent="0.2">
      <c r="A100" s="185"/>
      <c r="E100" s="185" t="s">
        <v>43</v>
      </c>
      <c r="F100" s="77" t="s">
        <v>799</v>
      </c>
      <c r="G100" s="77">
        <v>27</v>
      </c>
      <c r="H100" s="77" t="s">
        <v>533</v>
      </c>
      <c r="I100" s="77" t="s">
        <v>663</v>
      </c>
      <c r="J100" s="200" t="s">
        <v>1241</v>
      </c>
      <c r="K100" s="169">
        <v>0.2</v>
      </c>
      <c r="L100" s="169">
        <v>32.28</v>
      </c>
      <c r="M100" s="169">
        <f t="shared" ref="M100" si="15">L100-K100</f>
        <v>32.08</v>
      </c>
      <c r="N100" s="77">
        <v>71</v>
      </c>
      <c r="O100" s="77" t="s">
        <v>533</v>
      </c>
      <c r="P100" s="77" t="s">
        <v>679</v>
      </c>
      <c r="Q100" s="198" t="s">
        <v>43</v>
      </c>
      <c r="R100" s="197" t="s">
        <v>899</v>
      </c>
      <c r="S100" s="198" t="s">
        <v>43</v>
      </c>
      <c r="T100" s="197" t="s">
        <v>43</v>
      </c>
      <c r="U100" s="77" t="s">
        <v>1055</v>
      </c>
      <c r="V100" s="198"/>
      <c r="W100" s="197" t="s">
        <v>43</v>
      </c>
      <c r="X100" s="198" t="s">
        <v>43</v>
      </c>
      <c r="Z100" s="77">
        <v>4.22</v>
      </c>
      <c r="AA100" s="77">
        <v>1.8129</v>
      </c>
      <c r="AB100" s="77">
        <v>-0.20599999999999999</v>
      </c>
      <c r="AC100" s="201">
        <f>AA100*$AC$3*1000</f>
        <v>0.18129000000000001</v>
      </c>
      <c r="AD100" s="169">
        <f t="shared" si="13"/>
        <v>1.8128999999999999E-2</v>
      </c>
      <c r="AE100" s="210"/>
      <c r="AF100" s="210"/>
      <c r="AG100" s="210"/>
    </row>
    <row r="101" spans="1:33" s="77" customFormat="1" x14ac:dyDescent="0.2">
      <c r="A101" s="185"/>
      <c r="E101" s="185"/>
      <c r="F101" s="77" t="s">
        <v>798</v>
      </c>
      <c r="G101" s="77">
        <v>27</v>
      </c>
      <c r="H101" s="77" t="s">
        <v>506</v>
      </c>
      <c r="I101" s="77" t="s">
        <v>664</v>
      </c>
      <c r="J101" s="77" t="s">
        <v>1255</v>
      </c>
      <c r="K101" s="169">
        <v>0.2</v>
      </c>
      <c r="L101" s="169">
        <v>32.19</v>
      </c>
      <c r="M101" s="169">
        <f>L101-K101</f>
        <v>31.99</v>
      </c>
      <c r="N101" s="77">
        <v>71</v>
      </c>
      <c r="O101" s="77" t="s">
        <v>506</v>
      </c>
      <c r="P101" s="77" t="s">
        <v>680</v>
      </c>
      <c r="Q101" s="198" t="s">
        <v>43</v>
      </c>
      <c r="R101" s="197" t="s">
        <v>901</v>
      </c>
      <c r="S101" s="198">
        <v>2</v>
      </c>
      <c r="T101" s="197" t="s">
        <v>1042</v>
      </c>
      <c r="V101" s="198"/>
      <c r="W101" s="197" t="s">
        <v>1075</v>
      </c>
      <c r="X101" s="198" t="s">
        <v>916</v>
      </c>
      <c r="Z101" s="77">
        <v>77.349999999999994</v>
      </c>
      <c r="AA101" s="77">
        <v>6.65</v>
      </c>
      <c r="AB101" s="77">
        <v>-0.29199999999999998</v>
      </c>
      <c r="AC101" s="201">
        <f>AA101*$AC$3*1000</f>
        <v>0.66500000000000015</v>
      </c>
      <c r="AD101" s="169">
        <f t="shared" si="13"/>
        <v>6.6500000000000004E-2</v>
      </c>
      <c r="AE101" s="210"/>
      <c r="AF101" s="210"/>
      <c r="AG101" s="210"/>
    </row>
    <row r="102" spans="1:33" s="77" customFormat="1" x14ac:dyDescent="0.2">
      <c r="A102" s="185" t="s">
        <v>43</v>
      </c>
      <c r="B102" s="77" t="s">
        <v>43</v>
      </c>
      <c r="E102" s="185"/>
      <c r="F102" s="77" t="s">
        <v>797</v>
      </c>
      <c r="G102" s="77">
        <v>27</v>
      </c>
      <c r="H102" s="77" t="s">
        <v>533</v>
      </c>
      <c r="I102" s="77" t="s">
        <v>665</v>
      </c>
      <c r="J102" s="77" t="s">
        <v>1256</v>
      </c>
      <c r="K102" s="169">
        <v>0.22</v>
      </c>
      <c r="L102" s="169">
        <v>32.29</v>
      </c>
      <c r="M102" s="169">
        <f t="shared" ref="M102" si="16">L102-K102</f>
        <v>32.07</v>
      </c>
      <c r="N102" s="77">
        <v>71</v>
      </c>
      <c r="O102" s="77" t="s">
        <v>533</v>
      </c>
      <c r="P102" s="77" t="s">
        <v>681</v>
      </c>
      <c r="Q102" s="198" t="s">
        <v>43</v>
      </c>
      <c r="R102" s="197"/>
      <c r="S102" s="198" t="s">
        <v>43</v>
      </c>
      <c r="T102" s="197" t="s">
        <v>43</v>
      </c>
      <c r="U102" s="77" t="s">
        <v>1056</v>
      </c>
      <c r="V102" s="198"/>
      <c r="W102" s="197" t="s">
        <v>43</v>
      </c>
      <c r="X102" s="195"/>
      <c r="Z102" s="77">
        <v>273.2</v>
      </c>
      <c r="AA102" s="77">
        <v>26.994</v>
      </c>
      <c r="AC102" s="201">
        <f>AA102*$AC$3*1000</f>
        <v>2.6994000000000002</v>
      </c>
      <c r="AD102" s="169">
        <f t="shared" si="13"/>
        <v>0.26994000000000001</v>
      </c>
      <c r="AE102" s="210"/>
      <c r="AF102" s="210"/>
      <c r="AG102" s="210"/>
    </row>
    <row r="103" spans="1:33" s="77" customFormat="1" x14ac:dyDescent="0.2">
      <c r="A103" s="185"/>
      <c r="E103" s="185"/>
      <c r="G103" s="77" t="s">
        <v>43</v>
      </c>
      <c r="K103" s="169"/>
      <c r="L103" s="169"/>
      <c r="Q103" s="198" t="s">
        <v>43</v>
      </c>
      <c r="R103" s="197"/>
      <c r="S103" s="198" t="s">
        <v>43</v>
      </c>
      <c r="T103" s="197" t="s">
        <v>43</v>
      </c>
      <c r="V103" s="198"/>
      <c r="W103" s="197" t="s">
        <v>43</v>
      </c>
      <c r="X103" s="198" t="s">
        <v>43</v>
      </c>
      <c r="AC103" s="201"/>
      <c r="AD103" s="169" t="s">
        <v>43</v>
      </c>
      <c r="AE103" s="210"/>
      <c r="AF103" s="210"/>
      <c r="AG103" s="210"/>
    </row>
    <row r="104" spans="1:33" s="77" customFormat="1" x14ac:dyDescent="0.2">
      <c r="A104" s="185"/>
      <c r="C104" s="77">
        <v>23</v>
      </c>
      <c r="D104" s="77">
        <v>1560</v>
      </c>
      <c r="E104" s="185" t="s">
        <v>659</v>
      </c>
      <c r="F104" s="77" t="s">
        <v>800</v>
      </c>
      <c r="G104" s="77">
        <v>28</v>
      </c>
      <c r="H104" s="77" t="s">
        <v>507</v>
      </c>
      <c r="I104" s="77" t="s">
        <v>666</v>
      </c>
      <c r="J104" s="77" t="s">
        <v>1253</v>
      </c>
      <c r="K104" s="169">
        <v>0.15</v>
      </c>
      <c r="L104" s="169">
        <v>32.380000000000003</v>
      </c>
      <c r="M104" s="169">
        <f t="shared" ref="M104:M107" si="17">L104-K104</f>
        <v>32.230000000000004</v>
      </c>
      <c r="N104" s="77">
        <v>72</v>
      </c>
      <c r="O104" s="77" t="s">
        <v>507</v>
      </c>
      <c r="P104" s="77" t="s">
        <v>682</v>
      </c>
      <c r="Q104" s="198" t="s">
        <v>43</v>
      </c>
      <c r="R104" s="197" t="s">
        <v>902</v>
      </c>
      <c r="S104" s="198">
        <v>3</v>
      </c>
      <c r="T104" s="197" t="s">
        <v>1043</v>
      </c>
      <c r="V104" s="198"/>
      <c r="W104" s="197" t="s">
        <v>1076</v>
      </c>
      <c r="X104" s="207" t="s">
        <v>1142</v>
      </c>
      <c r="Z104" s="77" t="s">
        <v>740</v>
      </c>
      <c r="AC104" s="201"/>
      <c r="AD104" s="169" t="s">
        <v>43</v>
      </c>
      <c r="AE104" s="202">
        <v>-0.21838513382922997</v>
      </c>
      <c r="AF104" s="202">
        <v>16.975316204689776</v>
      </c>
      <c r="AG104" s="202">
        <v>-25.852988043791534</v>
      </c>
    </row>
    <row r="105" spans="1:33" s="77" customFormat="1" x14ac:dyDescent="0.2">
      <c r="A105" s="185"/>
      <c r="E105" s="185" t="s">
        <v>43</v>
      </c>
      <c r="F105" s="77" t="s">
        <v>799</v>
      </c>
      <c r="G105" s="77">
        <v>28</v>
      </c>
      <c r="H105" s="77" t="s">
        <v>477</v>
      </c>
      <c r="I105" s="77" t="s">
        <v>667</v>
      </c>
      <c r="J105" s="77" t="s">
        <v>1254</v>
      </c>
      <c r="K105" s="169">
        <v>0.15</v>
      </c>
      <c r="L105" s="169">
        <v>32.35</v>
      </c>
      <c r="M105" s="169">
        <f t="shared" si="17"/>
        <v>32.200000000000003</v>
      </c>
      <c r="N105" s="77">
        <v>72</v>
      </c>
      <c r="O105" s="77" t="s">
        <v>477</v>
      </c>
      <c r="P105" s="77" t="s">
        <v>683</v>
      </c>
      <c r="Q105" s="198"/>
      <c r="R105" s="197" t="s">
        <v>904</v>
      </c>
      <c r="S105" s="198" t="s">
        <v>43</v>
      </c>
      <c r="T105" s="197" t="s">
        <v>43</v>
      </c>
      <c r="U105" s="77" t="s">
        <v>1057</v>
      </c>
      <c r="V105" s="198"/>
      <c r="W105" s="197" t="s">
        <v>43</v>
      </c>
      <c r="X105" s="198" t="s">
        <v>43</v>
      </c>
      <c r="Z105" s="77">
        <v>4.22</v>
      </c>
      <c r="AA105" s="77">
        <v>1.8139000000000001</v>
      </c>
      <c r="AB105" s="77">
        <v>-0.19800000000000001</v>
      </c>
      <c r="AC105" s="201">
        <f>AA105*$AC$3*1000</f>
        <v>0.18139000000000002</v>
      </c>
      <c r="AD105" s="169">
        <f t="shared" si="13"/>
        <v>1.8139000000000002E-2</v>
      </c>
      <c r="AE105" s="210"/>
      <c r="AF105" s="210"/>
      <c r="AG105" s="210"/>
    </row>
    <row r="106" spans="1:33" s="77" customFormat="1" x14ac:dyDescent="0.2">
      <c r="A106" s="185"/>
      <c r="E106" s="185"/>
      <c r="F106" s="77" t="s">
        <v>798</v>
      </c>
      <c r="G106" s="77">
        <v>28</v>
      </c>
      <c r="H106" s="77" t="s">
        <v>507</v>
      </c>
      <c r="I106" s="77" t="s">
        <v>668</v>
      </c>
      <c r="J106" s="77" t="s">
        <v>1257</v>
      </c>
      <c r="K106" s="169">
        <v>0.21</v>
      </c>
      <c r="L106" s="169">
        <v>32.35</v>
      </c>
      <c r="M106" s="169">
        <f t="shared" si="17"/>
        <v>32.14</v>
      </c>
      <c r="N106" s="77">
        <v>72</v>
      </c>
      <c r="O106" s="77" t="s">
        <v>507</v>
      </c>
      <c r="P106" s="77" t="s">
        <v>684</v>
      </c>
      <c r="Q106" s="198" t="s">
        <v>43</v>
      </c>
      <c r="R106" s="197" t="s">
        <v>903</v>
      </c>
      <c r="S106" s="198">
        <v>2</v>
      </c>
      <c r="T106" s="197" t="s">
        <v>1044</v>
      </c>
      <c r="V106" s="198"/>
      <c r="W106" s="197" t="s">
        <v>1077</v>
      </c>
      <c r="X106" s="198" t="s">
        <v>916</v>
      </c>
      <c r="Z106" s="77">
        <v>77.349999999999994</v>
      </c>
      <c r="AA106" s="77">
        <v>6.6482000000000001</v>
      </c>
      <c r="AB106" s="77">
        <v>-0.311</v>
      </c>
      <c r="AC106" s="201">
        <f>AA106*$AC$3*1000</f>
        <v>0.66481999999999997</v>
      </c>
      <c r="AD106" s="169">
        <f t="shared" si="13"/>
        <v>6.6481999999999999E-2</v>
      </c>
      <c r="AE106" s="210"/>
      <c r="AF106" s="210"/>
      <c r="AG106" s="210"/>
    </row>
    <row r="107" spans="1:33" s="77" customFormat="1" x14ac:dyDescent="0.2">
      <c r="A107" s="185"/>
      <c r="E107" s="185"/>
      <c r="F107" s="77" t="s">
        <v>797</v>
      </c>
      <c r="G107" s="77">
        <v>28</v>
      </c>
      <c r="H107" s="200" t="s">
        <v>477</v>
      </c>
      <c r="I107" s="200" t="s">
        <v>669</v>
      </c>
      <c r="J107" s="77" t="s">
        <v>1258</v>
      </c>
      <c r="K107" s="169">
        <v>0.15</v>
      </c>
      <c r="L107" s="169">
        <v>32.369999999999997</v>
      </c>
      <c r="M107" s="169">
        <f t="shared" si="17"/>
        <v>32.22</v>
      </c>
      <c r="N107" s="77">
        <v>72</v>
      </c>
      <c r="O107" s="200" t="s">
        <v>477</v>
      </c>
      <c r="P107" s="77" t="s">
        <v>685</v>
      </c>
      <c r="Q107" s="198" t="s">
        <v>43</v>
      </c>
      <c r="R107" s="197" t="s">
        <v>905</v>
      </c>
      <c r="S107" s="198" t="s">
        <v>43</v>
      </c>
      <c r="T107" s="197" t="s">
        <v>43</v>
      </c>
      <c r="U107" s="77" t="s">
        <v>1058</v>
      </c>
      <c r="V107" s="198"/>
      <c r="W107" s="197" t="s">
        <v>43</v>
      </c>
      <c r="X107" s="195"/>
      <c r="Z107" s="77">
        <v>273.2</v>
      </c>
      <c r="AA107" s="77">
        <v>26.984999999999999</v>
      </c>
      <c r="AC107" s="201">
        <f>AA107*$AC$3*1000</f>
        <v>2.6985000000000001</v>
      </c>
      <c r="AD107" s="169">
        <f t="shared" si="13"/>
        <v>0.26984999999999998</v>
      </c>
      <c r="AE107" s="210"/>
      <c r="AF107" s="210"/>
      <c r="AG107" s="210"/>
    </row>
    <row r="108" spans="1:33" s="77" customFormat="1" x14ac:dyDescent="0.2">
      <c r="A108" s="185"/>
      <c r="E108" s="185"/>
      <c r="G108" s="77" t="s">
        <v>43</v>
      </c>
      <c r="H108" s="200"/>
      <c r="I108" s="200"/>
      <c r="K108" s="169"/>
      <c r="L108" s="169"/>
      <c r="O108" s="200"/>
      <c r="Q108" s="198" t="s">
        <v>43</v>
      </c>
      <c r="R108" s="197"/>
      <c r="S108" s="198" t="s">
        <v>43</v>
      </c>
      <c r="T108" s="197"/>
      <c r="V108" s="198"/>
      <c r="W108" s="197"/>
      <c r="X108" s="198"/>
      <c r="AC108" s="201"/>
      <c r="AD108" s="169" t="s">
        <v>43</v>
      </c>
      <c r="AE108" s="210"/>
      <c r="AF108" s="210"/>
      <c r="AG108" s="210"/>
    </row>
    <row r="109" spans="1:33" s="77" customFormat="1" x14ac:dyDescent="0.2">
      <c r="A109" s="185"/>
      <c r="C109" s="77">
        <v>24</v>
      </c>
      <c r="D109" s="77">
        <v>1561</v>
      </c>
      <c r="E109" s="185" t="s">
        <v>660</v>
      </c>
      <c r="F109" s="77" t="s">
        <v>800</v>
      </c>
      <c r="G109" s="77">
        <v>29</v>
      </c>
      <c r="H109" s="200" t="s">
        <v>507</v>
      </c>
      <c r="I109" s="200" t="s">
        <v>670</v>
      </c>
      <c r="J109" s="77" t="s">
        <v>1259</v>
      </c>
      <c r="K109" s="169">
        <v>0.18</v>
      </c>
      <c r="L109" s="169">
        <v>32.590000000000003</v>
      </c>
      <c r="M109" s="169">
        <f t="shared" ref="M109:M112" si="18">L109-K109</f>
        <v>32.410000000000004</v>
      </c>
      <c r="N109" s="77">
        <v>73</v>
      </c>
      <c r="O109" s="200" t="s">
        <v>507</v>
      </c>
      <c r="P109" s="77" t="s">
        <v>686</v>
      </c>
      <c r="Q109" s="198" t="s">
        <v>43</v>
      </c>
      <c r="R109" s="197" t="s">
        <v>906</v>
      </c>
      <c r="S109" s="198">
        <v>3</v>
      </c>
      <c r="T109" s="197" t="s">
        <v>1045</v>
      </c>
      <c r="V109" s="198"/>
      <c r="W109" s="197" t="s">
        <v>1078</v>
      </c>
      <c r="X109" s="207" t="s">
        <v>1143</v>
      </c>
      <c r="Z109" s="77" t="s">
        <v>624</v>
      </c>
      <c r="AC109" s="201"/>
      <c r="AD109" s="169" t="s">
        <v>43</v>
      </c>
      <c r="AE109" s="202">
        <v>-0.21785098955298179</v>
      </c>
      <c r="AF109" s="202">
        <v>16.965131543421109</v>
      </c>
      <c r="AG109" s="202">
        <v>-25.993146722071579</v>
      </c>
    </row>
    <row r="110" spans="1:33" s="77" customFormat="1" x14ac:dyDescent="0.2">
      <c r="A110" s="185"/>
      <c r="E110" s="185" t="s">
        <v>43</v>
      </c>
      <c r="F110" s="77" t="s">
        <v>799</v>
      </c>
      <c r="G110" s="77">
        <v>29</v>
      </c>
      <c r="H110" s="200" t="s">
        <v>532</v>
      </c>
      <c r="I110" s="200" t="s">
        <v>672</v>
      </c>
      <c r="J110" s="77" t="s">
        <v>1260</v>
      </c>
      <c r="K110" s="169">
        <v>0.16</v>
      </c>
      <c r="L110" s="169">
        <v>32.549999999999997</v>
      </c>
      <c r="M110" s="169">
        <f t="shared" si="18"/>
        <v>32.39</v>
      </c>
      <c r="N110" s="77">
        <v>73</v>
      </c>
      <c r="O110" s="200" t="s">
        <v>532</v>
      </c>
      <c r="P110" s="77" t="s">
        <v>687</v>
      </c>
      <c r="Q110" s="198" t="s">
        <v>43</v>
      </c>
      <c r="R110" s="197" t="s">
        <v>924</v>
      </c>
      <c r="S110" s="198" t="s">
        <v>43</v>
      </c>
      <c r="T110" s="197" t="s">
        <v>43</v>
      </c>
      <c r="U110" s="77" t="s">
        <v>1059</v>
      </c>
      <c r="V110" s="198"/>
      <c r="W110" s="197" t="s">
        <v>43</v>
      </c>
      <c r="X110" s="198" t="s">
        <v>43</v>
      </c>
      <c r="Z110" s="77">
        <v>4.22</v>
      </c>
      <c r="AA110" s="77">
        <v>1.8236000000000001</v>
      </c>
      <c r="AB110" s="77">
        <v>-0.122</v>
      </c>
      <c r="AC110" s="201">
        <f>AA110*$AC$3*1000</f>
        <v>0.18236000000000002</v>
      </c>
      <c r="AD110" s="169">
        <f t="shared" si="13"/>
        <v>1.8236000000000002E-2</v>
      </c>
      <c r="AE110" s="210"/>
      <c r="AF110" s="210"/>
      <c r="AG110" s="210"/>
    </row>
    <row r="111" spans="1:33" s="77" customFormat="1" x14ac:dyDescent="0.2">
      <c r="A111" s="185"/>
      <c r="E111" s="185"/>
      <c r="F111" s="77" t="s">
        <v>798</v>
      </c>
      <c r="G111" s="77">
        <v>29</v>
      </c>
      <c r="H111" s="200" t="s">
        <v>507</v>
      </c>
      <c r="I111" s="200" t="s">
        <v>671</v>
      </c>
      <c r="J111" s="77" t="s">
        <v>1261</v>
      </c>
      <c r="K111" s="169">
        <v>0.11</v>
      </c>
      <c r="L111" s="169">
        <v>32.57</v>
      </c>
      <c r="M111" s="169">
        <f t="shared" si="18"/>
        <v>32.46</v>
      </c>
      <c r="N111" s="77">
        <v>73</v>
      </c>
      <c r="O111" s="200" t="s">
        <v>507</v>
      </c>
      <c r="P111" s="77" t="s">
        <v>688</v>
      </c>
      <c r="Q111" s="198"/>
      <c r="R111" s="197" t="s">
        <v>907</v>
      </c>
      <c r="S111" s="198">
        <v>2</v>
      </c>
      <c r="T111" s="197" t="s">
        <v>1046</v>
      </c>
      <c r="V111" s="198"/>
      <c r="W111" s="197" t="s">
        <v>1079</v>
      </c>
      <c r="X111" s="198" t="s">
        <v>916</v>
      </c>
      <c r="Z111" s="77">
        <v>77.349999999999994</v>
      </c>
      <c r="AA111" s="77">
        <v>6.6612999999999998</v>
      </c>
      <c r="AB111" s="77">
        <v>-0.17499999999999999</v>
      </c>
      <c r="AC111" s="201">
        <f>AA111*$AC$3*1000</f>
        <v>0.66613</v>
      </c>
      <c r="AD111" s="169">
        <f t="shared" si="13"/>
        <v>6.6613000000000006E-2</v>
      </c>
      <c r="AE111" s="210"/>
      <c r="AF111" s="210"/>
      <c r="AG111" s="210"/>
    </row>
    <row r="112" spans="1:33" s="77" customFormat="1" x14ac:dyDescent="0.2">
      <c r="A112" s="185"/>
      <c r="E112" s="185"/>
      <c r="F112" s="77" t="s">
        <v>797</v>
      </c>
      <c r="G112" s="77">
        <v>29</v>
      </c>
      <c r="H112" s="200" t="s">
        <v>532</v>
      </c>
      <c r="I112" s="200" t="s">
        <v>673</v>
      </c>
      <c r="J112" s="77" t="s">
        <v>1262</v>
      </c>
      <c r="K112" s="169">
        <v>0.09</v>
      </c>
      <c r="L112" s="169">
        <v>32.56</v>
      </c>
      <c r="M112" s="169">
        <f t="shared" si="18"/>
        <v>32.47</v>
      </c>
      <c r="N112" s="77">
        <v>73</v>
      </c>
      <c r="O112" s="200" t="s">
        <v>532</v>
      </c>
      <c r="P112" s="77" t="s">
        <v>689</v>
      </c>
      <c r="Q112" s="198" t="s">
        <v>43</v>
      </c>
      <c r="R112" s="197" t="s">
        <v>925</v>
      </c>
      <c r="S112" s="198" t="s">
        <v>43</v>
      </c>
      <c r="T112" s="197" t="s">
        <v>43</v>
      </c>
      <c r="U112" s="77" t="s">
        <v>1060</v>
      </c>
      <c r="V112" s="198"/>
      <c r="W112" s="197" t="s">
        <v>43</v>
      </c>
      <c r="X112" s="195"/>
      <c r="Z112" s="77">
        <v>273.2</v>
      </c>
      <c r="AA112" s="77">
        <v>26.99</v>
      </c>
      <c r="AC112" s="201">
        <f>AA112*$AC$3*1000</f>
        <v>2.6989999999999998</v>
      </c>
      <c r="AD112" s="169">
        <f t="shared" si="13"/>
        <v>0.26990000000000003</v>
      </c>
      <c r="AE112" s="210"/>
      <c r="AF112" s="210"/>
      <c r="AG112" s="210"/>
    </row>
    <row r="113" spans="1:33" s="77" customFormat="1" x14ac:dyDescent="0.2">
      <c r="A113" s="185"/>
      <c r="E113" s="185"/>
      <c r="G113" s="77" t="s">
        <v>43</v>
      </c>
      <c r="H113" s="200"/>
      <c r="I113" s="200"/>
      <c r="K113" s="169"/>
      <c r="L113" s="169"/>
      <c r="O113" s="200"/>
      <c r="Q113" s="198" t="s">
        <v>43</v>
      </c>
      <c r="R113" s="197"/>
      <c r="S113" s="198" t="s">
        <v>43</v>
      </c>
      <c r="T113" s="197" t="s">
        <v>43</v>
      </c>
      <c r="V113" s="198"/>
      <c r="W113" s="197" t="s">
        <v>43</v>
      </c>
      <c r="X113" s="198" t="s">
        <v>43</v>
      </c>
      <c r="AC113" s="201"/>
      <c r="AD113" s="169" t="s">
        <v>43</v>
      </c>
      <c r="AE113" s="210"/>
      <c r="AF113" s="210"/>
      <c r="AG113" s="210"/>
    </row>
    <row r="114" spans="1:33" s="77" customFormat="1" x14ac:dyDescent="0.2">
      <c r="A114" s="185"/>
      <c r="C114" s="77">
        <v>25</v>
      </c>
      <c r="D114" s="77">
        <v>1565</v>
      </c>
      <c r="E114" s="185" t="s">
        <v>661</v>
      </c>
      <c r="F114" s="77" t="s">
        <v>800</v>
      </c>
      <c r="G114" s="77">
        <v>30</v>
      </c>
      <c r="H114" s="200" t="s">
        <v>507</v>
      </c>
      <c r="I114" s="200" t="s">
        <v>674</v>
      </c>
      <c r="J114" s="77" t="s">
        <v>1263</v>
      </c>
      <c r="K114" s="169">
        <v>0.1</v>
      </c>
      <c r="L114" s="169">
        <v>32.340000000000003</v>
      </c>
      <c r="M114" s="169">
        <f t="shared" ref="M114:M117" si="19">L114-K114</f>
        <v>32.24</v>
      </c>
      <c r="N114" s="77">
        <v>74</v>
      </c>
      <c r="O114" s="200" t="s">
        <v>507</v>
      </c>
      <c r="P114" s="77" t="s">
        <v>690</v>
      </c>
      <c r="Q114" s="198" t="s">
        <v>43</v>
      </c>
      <c r="R114" s="197" t="s">
        <v>926</v>
      </c>
      <c r="S114" s="198">
        <v>3</v>
      </c>
      <c r="T114" s="197" t="s">
        <v>1047</v>
      </c>
      <c r="V114" s="198"/>
      <c r="W114" s="197" t="s">
        <v>1080</v>
      </c>
      <c r="X114" s="207" t="s">
        <v>1144</v>
      </c>
      <c r="Z114" s="77" t="s">
        <v>619</v>
      </c>
      <c r="AC114" s="201"/>
      <c r="AD114" s="169" t="s">
        <v>43</v>
      </c>
      <c r="AE114" s="202">
        <v>-0.21721722578986716</v>
      </c>
      <c r="AF114" s="202">
        <v>16.944841510273385</v>
      </c>
      <c r="AG114" s="202">
        <v>-25.943715887660311</v>
      </c>
    </row>
    <row r="115" spans="1:33" s="77" customFormat="1" x14ac:dyDescent="0.2">
      <c r="A115" s="185"/>
      <c r="E115" s="185" t="s">
        <v>43</v>
      </c>
      <c r="F115" s="77" t="s">
        <v>799</v>
      </c>
      <c r="G115" s="77">
        <v>30</v>
      </c>
      <c r="H115" s="200" t="s">
        <v>506</v>
      </c>
      <c r="I115" s="200" t="s">
        <v>675</v>
      </c>
      <c r="J115" s="77" t="s">
        <v>1264</v>
      </c>
      <c r="K115" s="169">
        <v>0.13</v>
      </c>
      <c r="L115" s="169">
        <v>32.33</v>
      </c>
      <c r="M115" s="169">
        <f t="shared" si="19"/>
        <v>32.199999999999996</v>
      </c>
      <c r="N115" s="77">
        <v>74</v>
      </c>
      <c r="O115" s="200" t="s">
        <v>506</v>
      </c>
      <c r="P115" s="77" t="s">
        <v>1402</v>
      </c>
      <c r="Q115" s="198" t="s">
        <v>43</v>
      </c>
      <c r="R115" s="197" t="s">
        <v>928</v>
      </c>
      <c r="S115" s="198" t="s">
        <v>43</v>
      </c>
      <c r="T115" s="197" t="s">
        <v>43</v>
      </c>
      <c r="U115" s="77" t="s">
        <v>1061</v>
      </c>
      <c r="V115" s="198"/>
      <c r="W115" s="197" t="s">
        <v>43</v>
      </c>
      <c r="X115" s="198" t="s">
        <v>43</v>
      </c>
      <c r="Z115" s="77">
        <v>4.22</v>
      </c>
      <c r="AA115" s="77">
        <v>1.8227</v>
      </c>
      <c r="AB115" s="77">
        <v>-0.129</v>
      </c>
      <c r="AC115" s="201">
        <f>AA115*$AC$3*1000</f>
        <v>0.18226999999999999</v>
      </c>
      <c r="AD115" s="169">
        <f t="shared" si="13"/>
        <v>1.8227E-2</v>
      </c>
      <c r="AE115" s="210"/>
      <c r="AF115" s="210"/>
      <c r="AG115" s="210"/>
    </row>
    <row r="116" spans="1:33" s="77" customFormat="1" x14ac:dyDescent="0.2">
      <c r="A116" s="185"/>
      <c r="E116" s="185"/>
      <c r="F116" s="77" t="s">
        <v>798</v>
      </c>
      <c r="G116" s="77">
        <v>30</v>
      </c>
      <c r="H116" s="200" t="s">
        <v>507</v>
      </c>
      <c r="I116" s="200" t="s">
        <v>676</v>
      </c>
      <c r="J116" s="77" t="s">
        <v>1265</v>
      </c>
      <c r="K116" s="169">
        <v>0.06</v>
      </c>
      <c r="L116" s="169">
        <v>32.31</v>
      </c>
      <c r="M116" s="169">
        <f t="shared" si="19"/>
        <v>32.25</v>
      </c>
      <c r="N116" s="77">
        <v>74</v>
      </c>
      <c r="O116" s="200" t="s">
        <v>507</v>
      </c>
      <c r="P116" s="77" t="s">
        <v>581</v>
      </c>
      <c r="Q116" s="198" t="s">
        <v>43</v>
      </c>
      <c r="R116" s="197" t="s">
        <v>927</v>
      </c>
      <c r="S116" s="198">
        <v>2</v>
      </c>
      <c r="T116" s="197" t="s">
        <v>1048</v>
      </c>
      <c r="V116" s="198"/>
      <c r="W116" s="197" t="s">
        <v>1081</v>
      </c>
      <c r="X116" s="198" t="s">
        <v>916</v>
      </c>
      <c r="Z116" s="77">
        <v>77.349999999999994</v>
      </c>
      <c r="AA116" s="77">
        <v>6.6654</v>
      </c>
      <c r="AB116" s="77">
        <v>-0.13300000000000001</v>
      </c>
      <c r="AC116" s="201">
        <f>AA116*$AC$3*1000</f>
        <v>0.66654000000000013</v>
      </c>
      <c r="AD116" s="169">
        <f t="shared" si="13"/>
        <v>6.6653999999999991E-2</v>
      </c>
      <c r="AE116" s="210"/>
      <c r="AF116" s="210"/>
      <c r="AG116" s="210"/>
    </row>
    <row r="117" spans="1:33" s="77" customFormat="1" x14ac:dyDescent="0.2">
      <c r="A117" s="185"/>
      <c r="E117" s="185"/>
      <c r="F117" s="77" t="s">
        <v>797</v>
      </c>
      <c r="G117" s="77">
        <v>30</v>
      </c>
      <c r="H117" s="200" t="s">
        <v>506</v>
      </c>
      <c r="I117" s="200" t="s">
        <v>677</v>
      </c>
      <c r="J117" s="77" t="s">
        <v>1266</v>
      </c>
      <c r="K117" s="169">
        <v>0.05</v>
      </c>
      <c r="L117" s="169">
        <v>32.340000000000003</v>
      </c>
      <c r="M117" s="169">
        <f t="shared" si="19"/>
        <v>32.290000000000006</v>
      </c>
      <c r="N117" s="77">
        <v>74</v>
      </c>
      <c r="O117" s="200" t="s">
        <v>506</v>
      </c>
      <c r="P117" s="77" t="s">
        <v>1401</v>
      </c>
      <c r="Q117" s="198"/>
      <c r="R117" s="197" t="s">
        <v>929</v>
      </c>
      <c r="S117" s="198" t="s">
        <v>43</v>
      </c>
      <c r="T117" s="197" t="s">
        <v>43</v>
      </c>
      <c r="U117" s="77" t="s">
        <v>1062</v>
      </c>
      <c r="V117" s="198"/>
      <c r="W117" s="197" t="s">
        <v>43</v>
      </c>
      <c r="X117" s="195"/>
      <c r="Z117" s="77">
        <v>273.2</v>
      </c>
      <c r="AA117" s="77">
        <v>26.997</v>
      </c>
      <c r="AC117" s="201">
        <f>AA117*$AC$3*1000</f>
        <v>2.6997</v>
      </c>
      <c r="AD117" s="169">
        <f t="shared" si="13"/>
        <v>0.26997000000000004</v>
      </c>
      <c r="AE117" s="210"/>
      <c r="AF117" s="210"/>
      <c r="AG117" s="210"/>
    </row>
    <row r="118" spans="1:33" s="77" customFormat="1" ht="25.5" x14ac:dyDescent="0.2">
      <c r="A118" s="185" t="s">
        <v>470</v>
      </c>
      <c r="B118" s="77" t="s">
        <v>319</v>
      </c>
      <c r="E118" s="185"/>
      <c r="G118" s="200"/>
      <c r="H118" s="200"/>
      <c r="I118" s="200"/>
      <c r="J118" s="200"/>
      <c r="K118" s="169"/>
      <c r="L118" s="169"/>
      <c r="M118" s="200"/>
      <c r="O118" s="198"/>
      <c r="Q118" s="198" t="s">
        <v>43</v>
      </c>
      <c r="R118" s="197"/>
      <c r="S118" s="198" t="s">
        <v>43</v>
      </c>
      <c r="T118" s="197"/>
      <c r="V118" s="198"/>
      <c r="W118" s="197"/>
      <c r="X118" s="198"/>
      <c r="AC118" s="201"/>
      <c r="AD118" s="169" t="s">
        <v>43</v>
      </c>
      <c r="AE118" s="210"/>
      <c r="AF118" s="210"/>
      <c r="AG118" s="210"/>
    </row>
    <row r="119" spans="1:33" s="195" customFormat="1" x14ac:dyDescent="0.2">
      <c r="A119" s="185"/>
      <c r="B119" s="77"/>
      <c r="C119" s="77">
        <v>26</v>
      </c>
      <c r="D119" s="77">
        <v>1569</v>
      </c>
      <c r="E119" s="185" t="s">
        <v>691</v>
      </c>
      <c r="F119" s="77" t="s">
        <v>800</v>
      </c>
      <c r="G119" s="77">
        <v>32</v>
      </c>
      <c r="H119" s="200" t="s">
        <v>532</v>
      </c>
      <c r="I119" s="200" t="s">
        <v>696</v>
      </c>
      <c r="J119" s="77" t="s">
        <v>1253</v>
      </c>
      <c r="K119" s="169">
        <v>0.15</v>
      </c>
      <c r="L119" s="169">
        <v>32.26</v>
      </c>
      <c r="M119" s="169">
        <f t="shared" ref="M119:M122" si="20">L119-K119</f>
        <v>32.11</v>
      </c>
      <c r="N119" s="77">
        <v>61</v>
      </c>
      <c r="O119" s="200" t="s">
        <v>532</v>
      </c>
      <c r="P119" s="77" t="s">
        <v>708</v>
      </c>
      <c r="Q119" s="198" t="s">
        <v>43</v>
      </c>
      <c r="R119" s="197" t="s">
        <v>930</v>
      </c>
      <c r="S119" s="198">
        <v>3</v>
      </c>
      <c r="T119" s="197" t="s">
        <v>1049</v>
      </c>
      <c r="U119" s="77"/>
      <c r="V119" s="198"/>
      <c r="W119" s="197" t="s">
        <v>1082</v>
      </c>
      <c r="X119" s="207" t="s">
        <v>1145</v>
      </c>
      <c r="Z119" s="77" t="s">
        <v>741</v>
      </c>
      <c r="AA119" s="77"/>
      <c r="AB119" s="77"/>
      <c r="AC119" s="201"/>
      <c r="AD119" s="169" t="s">
        <v>43</v>
      </c>
      <c r="AE119" s="202">
        <v>-0.21680232056346968</v>
      </c>
      <c r="AF119" s="202">
        <v>16.953421601624679</v>
      </c>
      <c r="AG119" s="202">
        <v>-26.519716614494939</v>
      </c>
    </row>
    <row r="120" spans="1:33" s="195" customFormat="1" x14ac:dyDescent="0.2">
      <c r="A120" s="185"/>
      <c r="B120" s="77"/>
      <c r="C120" s="77"/>
      <c r="D120" s="77"/>
      <c r="E120" s="185" t="s">
        <v>43</v>
      </c>
      <c r="F120" s="77" t="s">
        <v>799</v>
      </c>
      <c r="G120" s="77">
        <v>32</v>
      </c>
      <c r="H120" s="200" t="s">
        <v>508</v>
      </c>
      <c r="I120" s="200" t="s">
        <v>697</v>
      </c>
      <c r="J120" s="77" t="s">
        <v>1254</v>
      </c>
      <c r="K120" s="169">
        <v>0.15</v>
      </c>
      <c r="L120" s="169">
        <v>32.25</v>
      </c>
      <c r="M120" s="169">
        <f t="shared" si="20"/>
        <v>32.1</v>
      </c>
      <c r="N120" s="77">
        <v>61</v>
      </c>
      <c r="O120" s="200" t="s">
        <v>508</v>
      </c>
      <c r="P120" s="77" t="s">
        <v>709</v>
      </c>
      <c r="Q120" s="198" t="s">
        <v>43</v>
      </c>
      <c r="R120" s="197" t="s">
        <v>932</v>
      </c>
      <c r="S120" s="198" t="s">
        <v>43</v>
      </c>
      <c r="T120" s="197" t="s">
        <v>43</v>
      </c>
      <c r="U120" s="77" t="s">
        <v>1063</v>
      </c>
      <c r="V120" s="198"/>
      <c r="W120" s="197" t="s">
        <v>43</v>
      </c>
      <c r="X120" s="198" t="s">
        <v>43</v>
      </c>
      <c r="Z120" s="77">
        <v>4.22</v>
      </c>
      <c r="AA120" s="77">
        <v>1.8573</v>
      </c>
      <c r="AB120" s="77">
        <v>0.13900000000000001</v>
      </c>
      <c r="AC120" s="201">
        <f>AA120*$AC$3*1000</f>
        <v>0.18573000000000001</v>
      </c>
      <c r="AD120" s="169">
        <f t="shared" si="13"/>
        <v>1.8572999999999999E-2</v>
      </c>
      <c r="AE120" s="199"/>
      <c r="AF120" s="199"/>
      <c r="AG120" s="199"/>
    </row>
    <row r="121" spans="1:33" s="195" customFormat="1" x14ac:dyDescent="0.2">
      <c r="A121" s="185"/>
      <c r="B121" s="77"/>
      <c r="C121" s="77"/>
      <c r="D121" s="77"/>
      <c r="E121" s="185"/>
      <c r="F121" s="77" t="s">
        <v>798</v>
      </c>
      <c r="G121" s="77">
        <v>32</v>
      </c>
      <c r="H121" s="200" t="s">
        <v>532</v>
      </c>
      <c r="I121" s="200" t="s">
        <v>698</v>
      </c>
      <c r="J121" s="77" t="s">
        <v>1257</v>
      </c>
      <c r="K121" s="169">
        <v>0.21</v>
      </c>
      <c r="L121" s="169">
        <v>32.24</v>
      </c>
      <c r="M121" s="169">
        <f t="shared" si="20"/>
        <v>32.03</v>
      </c>
      <c r="N121" s="77">
        <v>61</v>
      </c>
      <c r="O121" s="200" t="s">
        <v>532</v>
      </c>
      <c r="P121" s="77" t="s">
        <v>710</v>
      </c>
      <c r="Q121" s="198"/>
      <c r="R121" s="197" t="s">
        <v>931</v>
      </c>
      <c r="S121" s="198">
        <v>2</v>
      </c>
      <c r="T121" s="197" t="s">
        <v>1050</v>
      </c>
      <c r="U121" s="77"/>
      <c r="V121" s="198"/>
      <c r="W121" s="197" t="s">
        <v>1083</v>
      </c>
      <c r="X121" s="198" t="s">
        <v>916</v>
      </c>
      <c r="Z121" s="77">
        <v>77.349999999999994</v>
      </c>
      <c r="AA121" s="77">
        <v>6.7009999999999996</v>
      </c>
      <c r="AB121" s="77">
        <v>0.23400000000000001</v>
      </c>
      <c r="AC121" s="201">
        <f>AA121*$AC$3*1000</f>
        <v>0.67009999999999992</v>
      </c>
      <c r="AD121" s="169">
        <f t="shared" si="13"/>
        <v>6.701E-2</v>
      </c>
      <c r="AE121" s="199"/>
      <c r="AF121" s="199"/>
      <c r="AG121" s="199"/>
    </row>
    <row r="122" spans="1:33" s="195" customFormat="1" x14ac:dyDescent="0.2">
      <c r="A122" s="185"/>
      <c r="B122" s="77"/>
      <c r="C122" s="77"/>
      <c r="D122" s="77"/>
      <c r="E122" s="185"/>
      <c r="F122" s="77" t="s">
        <v>797</v>
      </c>
      <c r="G122" s="77">
        <v>32</v>
      </c>
      <c r="H122" s="200" t="s">
        <v>508</v>
      </c>
      <c r="I122" s="200" t="s">
        <v>699</v>
      </c>
      <c r="J122" s="77" t="s">
        <v>1258</v>
      </c>
      <c r="K122" s="169">
        <v>0.15</v>
      </c>
      <c r="L122" s="169">
        <v>32.26</v>
      </c>
      <c r="M122" s="169">
        <f t="shared" si="20"/>
        <v>32.11</v>
      </c>
      <c r="N122" s="77">
        <v>61</v>
      </c>
      <c r="O122" s="200" t="s">
        <v>508</v>
      </c>
      <c r="P122" s="77" t="s">
        <v>711</v>
      </c>
      <c r="Q122" s="198"/>
      <c r="R122" s="197" t="s">
        <v>933</v>
      </c>
      <c r="S122" s="198" t="s">
        <v>43</v>
      </c>
      <c r="T122" s="197" t="s">
        <v>43</v>
      </c>
      <c r="U122" s="77" t="s">
        <v>1064</v>
      </c>
      <c r="V122" s="198"/>
      <c r="W122" s="197" t="s">
        <v>43</v>
      </c>
      <c r="Z122" s="77">
        <v>273.2</v>
      </c>
      <c r="AA122" s="77">
        <v>27.004999999999999</v>
      </c>
      <c r="AB122" s="77"/>
      <c r="AC122" s="201">
        <f>AA122*$AC$3*1000</f>
        <v>2.7005000000000003</v>
      </c>
      <c r="AD122" s="169">
        <f t="shared" si="13"/>
        <v>0.27005000000000001</v>
      </c>
      <c r="AE122" s="199"/>
      <c r="AF122" s="199"/>
      <c r="AG122" s="199"/>
    </row>
    <row r="123" spans="1:33" s="195" customFormat="1" x14ac:dyDescent="0.2">
      <c r="A123" s="185"/>
      <c r="B123" s="77"/>
      <c r="C123" s="77"/>
      <c r="D123" s="77"/>
      <c r="E123" s="185"/>
      <c r="F123" s="77"/>
      <c r="G123" s="77" t="s">
        <v>43</v>
      </c>
      <c r="H123" s="200"/>
      <c r="I123" s="200"/>
      <c r="J123" s="77"/>
      <c r="K123" s="169"/>
      <c r="L123" s="169"/>
      <c r="M123" s="77"/>
      <c r="N123" s="77"/>
      <c r="O123" s="200"/>
      <c r="P123" s="77"/>
      <c r="Q123" s="198"/>
      <c r="R123" s="197"/>
      <c r="S123" s="198" t="s">
        <v>43</v>
      </c>
      <c r="T123" s="197"/>
      <c r="U123" s="77"/>
      <c r="V123" s="198"/>
      <c r="W123" s="197"/>
      <c r="X123" s="198"/>
      <c r="Z123" s="77"/>
      <c r="AA123" s="77"/>
      <c r="AB123" s="77"/>
      <c r="AC123" s="201"/>
      <c r="AD123" s="169" t="s">
        <v>43</v>
      </c>
      <c r="AE123" s="199"/>
      <c r="AF123" s="199"/>
      <c r="AG123" s="199"/>
    </row>
    <row r="124" spans="1:33" s="195" customFormat="1" x14ac:dyDescent="0.2">
      <c r="A124" s="185" t="s">
        <v>1373</v>
      </c>
      <c r="B124" s="77"/>
      <c r="C124" s="77">
        <v>27</v>
      </c>
      <c r="D124" s="77">
        <v>1573</v>
      </c>
      <c r="E124" s="185" t="s">
        <v>692</v>
      </c>
      <c r="F124" s="77" t="s">
        <v>800</v>
      </c>
      <c r="G124" s="77">
        <v>33</v>
      </c>
      <c r="H124" s="200" t="s">
        <v>532</v>
      </c>
      <c r="I124" s="200" t="s">
        <v>700</v>
      </c>
      <c r="J124" s="77" t="s">
        <v>1259</v>
      </c>
      <c r="K124" s="169">
        <v>0.18</v>
      </c>
      <c r="L124" s="169">
        <v>32.54</v>
      </c>
      <c r="M124" s="169">
        <f t="shared" ref="M124:M127" si="21">L124-K124</f>
        <v>32.36</v>
      </c>
      <c r="N124" s="77">
        <v>62</v>
      </c>
      <c r="O124" s="200" t="s">
        <v>532</v>
      </c>
      <c r="P124" s="77" t="s">
        <v>712</v>
      </c>
      <c r="Q124" s="198"/>
      <c r="R124" s="197" t="s">
        <v>934</v>
      </c>
      <c r="S124" s="198">
        <v>3</v>
      </c>
      <c r="T124" s="197" t="s">
        <v>1051</v>
      </c>
      <c r="U124" s="77"/>
      <c r="V124" s="198"/>
      <c r="W124" s="197" t="s">
        <v>1084</v>
      </c>
      <c r="X124" s="207" t="s">
        <v>1146</v>
      </c>
      <c r="Z124" s="77" t="s">
        <v>741</v>
      </c>
      <c r="AA124" s="77"/>
      <c r="AB124" s="77"/>
      <c r="AC124" s="201"/>
      <c r="AD124" s="169" t="s">
        <v>43</v>
      </c>
      <c r="AE124" s="202">
        <v>-0.21654143806286089</v>
      </c>
      <c r="AF124" s="202">
        <v>16.940630954452285</v>
      </c>
      <c r="AG124" s="202">
        <v>-26.427470527994451</v>
      </c>
    </row>
    <row r="125" spans="1:33" s="195" customFormat="1" x14ac:dyDescent="0.2">
      <c r="A125" s="185"/>
      <c r="B125" s="77"/>
      <c r="C125" s="77"/>
      <c r="D125" s="77"/>
      <c r="E125" s="185" t="s">
        <v>43</v>
      </c>
      <c r="F125" s="77" t="s">
        <v>799</v>
      </c>
      <c r="G125" s="77">
        <v>33</v>
      </c>
      <c r="H125" s="200" t="s">
        <v>535</v>
      </c>
      <c r="I125" s="200" t="s">
        <v>701</v>
      </c>
      <c r="J125" s="77" t="s">
        <v>1260</v>
      </c>
      <c r="K125" s="169">
        <v>0.16</v>
      </c>
      <c r="L125" s="169">
        <v>32.54</v>
      </c>
      <c r="M125" s="169">
        <f t="shared" si="21"/>
        <v>32.380000000000003</v>
      </c>
      <c r="N125" s="77">
        <v>62</v>
      </c>
      <c r="O125" s="200" t="s">
        <v>535</v>
      </c>
      <c r="P125" s="77" t="s">
        <v>713</v>
      </c>
      <c r="Q125" s="198"/>
      <c r="R125" s="197" t="s">
        <v>936</v>
      </c>
      <c r="S125" s="198" t="s">
        <v>43</v>
      </c>
      <c r="T125" s="197" t="s">
        <v>43</v>
      </c>
      <c r="U125" s="77" t="s">
        <v>1065</v>
      </c>
      <c r="V125" s="198"/>
      <c r="W125" s="197" t="s">
        <v>43</v>
      </c>
      <c r="X125" s="198" t="s">
        <v>43</v>
      </c>
      <c r="Z125" s="77">
        <v>4.22</v>
      </c>
      <c r="AA125" s="77">
        <v>1.853</v>
      </c>
      <c r="AB125" s="77">
        <v>0.106</v>
      </c>
      <c r="AC125" s="201">
        <f>AA125*$AC$3*1000</f>
        <v>0.18529999999999999</v>
      </c>
      <c r="AD125" s="169">
        <f t="shared" ref="AD125:AD142" si="22">0.0001^2*AA125*1000000</f>
        <v>1.8530000000000001E-2</v>
      </c>
      <c r="AE125" s="199"/>
      <c r="AF125" s="199"/>
      <c r="AG125" s="199"/>
    </row>
    <row r="126" spans="1:33" s="195" customFormat="1" x14ac:dyDescent="0.2">
      <c r="A126" s="185"/>
      <c r="B126" s="77"/>
      <c r="C126" s="77"/>
      <c r="D126" s="77"/>
      <c r="E126" s="185"/>
      <c r="F126" s="77" t="s">
        <v>798</v>
      </c>
      <c r="G126" s="77">
        <v>33</v>
      </c>
      <c r="H126" s="200" t="s">
        <v>532</v>
      </c>
      <c r="I126" s="200" t="s">
        <v>702</v>
      </c>
      <c r="J126" s="77" t="s">
        <v>1261</v>
      </c>
      <c r="K126" s="169">
        <v>0.11</v>
      </c>
      <c r="L126" s="169">
        <v>32.549999999999997</v>
      </c>
      <c r="M126" s="169">
        <f t="shared" si="21"/>
        <v>32.44</v>
      </c>
      <c r="N126" s="77">
        <v>62</v>
      </c>
      <c r="O126" s="200" t="s">
        <v>532</v>
      </c>
      <c r="P126" s="77" t="s">
        <v>714</v>
      </c>
      <c r="Q126" s="198"/>
      <c r="R126" s="197" t="s">
        <v>935</v>
      </c>
      <c r="S126" s="198">
        <v>2</v>
      </c>
      <c r="T126" s="197" t="s">
        <v>1052</v>
      </c>
      <c r="U126" s="77"/>
      <c r="V126" s="198"/>
      <c r="W126" s="197" t="s">
        <v>1085</v>
      </c>
      <c r="X126" s="198" t="s">
        <v>916</v>
      </c>
      <c r="Z126" s="77">
        <v>77.349999999999994</v>
      </c>
      <c r="AA126" s="77">
        <v>6.6997</v>
      </c>
      <c r="AB126" s="77">
        <v>0.221</v>
      </c>
      <c r="AC126" s="201">
        <f>AA126*$AC$3*1000</f>
        <v>0.66996999999999995</v>
      </c>
      <c r="AD126" s="169">
        <f t="shared" si="22"/>
        <v>6.6997000000000001E-2</v>
      </c>
      <c r="AE126" s="199"/>
      <c r="AF126" s="199"/>
      <c r="AG126" s="199"/>
    </row>
    <row r="127" spans="1:33" s="195" customFormat="1" x14ac:dyDescent="0.2">
      <c r="A127" s="186"/>
      <c r="C127" s="77"/>
      <c r="D127" s="77"/>
      <c r="E127" s="185"/>
      <c r="F127" s="77" t="s">
        <v>797</v>
      </c>
      <c r="G127" s="77">
        <v>33</v>
      </c>
      <c r="H127" s="200" t="s">
        <v>535</v>
      </c>
      <c r="I127" s="200" t="s">
        <v>703</v>
      </c>
      <c r="J127" s="77" t="s">
        <v>1262</v>
      </c>
      <c r="K127" s="169">
        <v>0.09</v>
      </c>
      <c r="L127" s="169">
        <v>32.549999999999997</v>
      </c>
      <c r="M127" s="169">
        <f t="shared" si="21"/>
        <v>32.459999999999994</v>
      </c>
      <c r="N127" s="77">
        <v>62</v>
      </c>
      <c r="O127" s="200" t="s">
        <v>535</v>
      </c>
      <c r="P127" s="77" t="s">
        <v>715</v>
      </c>
      <c r="Q127" s="198"/>
      <c r="R127" s="197" t="s">
        <v>937</v>
      </c>
      <c r="S127" s="198" t="s">
        <v>43</v>
      </c>
      <c r="T127" s="197"/>
      <c r="U127" s="77" t="s">
        <v>1066</v>
      </c>
      <c r="V127" s="198"/>
      <c r="W127" s="197" t="s">
        <v>43</v>
      </c>
      <c r="Z127" s="77">
        <v>273.2</v>
      </c>
      <c r="AA127" s="77">
        <v>27.016999999999999</v>
      </c>
      <c r="AB127" s="77"/>
      <c r="AC127" s="201">
        <f>AA127*$AC$3*1000</f>
        <v>2.7017000000000002</v>
      </c>
      <c r="AD127" s="169">
        <f t="shared" si="22"/>
        <v>0.27016999999999997</v>
      </c>
      <c r="AE127" s="199"/>
      <c r="AF127" s="199"/>
      <c r="AG127" s="199"/>
    </row>
    <row r="128" spans="1:33" s="195" customFormat="1" ht="18.75" x14ac:dyDescent="0.3">
      <c r="A128" s="185"/>
      <c r="B128" s="77"/>
      <c r="C128" s="77"/>
      <c r="D128" s="77"/>
      <c r="E128" s="190"/>
      <c r="G128" s="77"/>
      <c r="H128" s="77"/>
      <c r="I128" s="77"/>
      <c r="J128" s="77"/>
      <c r="K128" s="169"/>
      <c r="L128" s="169"/>
      <c r="M128" s="77"/>
      <c r="N128" s="77"/>
      <c r="O128" s="77"/>
      <c r="P128" s="77"/>
      <c r="Q128" s="198" t="s">
        <v>43</v>
      </c>
      <c r="R128" s="197"/>
      <c r="S128" s="198" t="s">
        <v>43</v>
      </c>
      <c r="T128" s="197"/>
      <c r="U128" s="192" t="s">
        <v>1069</v>
      </c>
      <c r="V128" s="198"/>
      <c r="W128" s="197"/>
      <c r="X128" s="198"/>
      <c r="Z128" s="77"/>
      <c r="AA128" s="77"/>
      <c r="AB128" s="77"/>
      <c r="AC128" s="201"/>
      <c r="AD128" s="169" t="s">
        <v>43</v>
      </c>
      <c r="AE128" s="199"/>
      <c r="AF128" s="199"/>
      <c r="AG128" s="199"/>
    </row>
    <row r="129" spans="1:33" s="195" customFormat="1" x14ac:dyDescent="0.2">
      <c r="A129" s="185" t="s">
        <v>1374</v>
      </c>
      <c r="C129" s="77">
        <v>28</v>
      </c>
      <c r="D129" s="77">
        <v>1574</v>
      </c>
      <c r="E129" s="185" t="s">
        <v>693</v>
      </c>
      <c r="F129" s="77" t="s">
        <v>800</v>
      </c>
      <c r="H129" s="200"/>
      <c r="I129" s="200"/>
      <c r="J129" s="200"/>
      <c r="K129" s="169"/>
      <c r="L129" s="169"/>
      <c r="M129" s="200"/>
      <c r="N129" s="77">
        <v>58</v>
      </c>
      <c r="O129" s="200" t="s">
        <v>532</v>
      </c>
      <c r="P129" s="77" t="s">
        <v>730</v>
      </c>
      <c r="Q129" s="198"/>
      <c r="R129" s="197" t="s">
        <v>43</v>
      </c>
      <c r="S129" s="198">
        <v>3</v>
      </c>
      <c r="T129" s="197" t="s">
        <v>1156</v>
      </c>
      <c r="V129" s="198"/>
      <c r="W129" s="197" t="s">
        <v>1086</v>
      </c>
      <c r="X129" s="207" t="s">
        <v>1147</v>
      </c>
      <c r="Z129" s="77" t="s">
        <v>624</v>
      </c>
      <c r="AA129" s="77"/>
      <c r="AB129" s="77"/>
      <c r="AC129" s="201"/>
      <c r="AD129" s="169" t="s">
        <v>43</v>
      </c>
      <c r="AE129" s="202">
        <v>-0.21756385104556353</v>
      </c>
      <c r="AF129" s="202">
        <v>16.954545868815913</v>
      </c>
      <c r="AG129" s="202">
        <v>-25.963484730337605</v>
      </c>
    </row>
    <row r="130" spans="1:33" s="195" customFormat="1" x14ac:dyDescent="0.2">
      <c r="A130" s="185"/>
      <c r="B130" s="77"/>
      <c r="C130" s="77"/>
      <c r="D130" s="77"/>
      <c r="E130" s="185" t="s">
        <v>43</v>
      </c>
      <c r="F130" s="77" t="s">
        <v>799</v>
      </c>
      <c r="H130" s="200" t="s">
        <v>43</v>
      </c>
      <c r="I130" s="200"/>
      <c r="J130" s="200"/>
      <c r="K130" s="169"/>
      <c r="L130" s="169"/>
      <c r="M130" s="200"/>
      <c r="N130" s="77">
        <v>58</v>
      </c>
      <c r="O130" s="200" t="s">
        <v>536</v>
      </c>
      <c r="P130" s="77" t="s">
        <v>731</v>
      </c>
      <c r="Q130" s="198"/>
      <c r="R130" s="197" t="s">
        <v>995</v>
      </c>
      <c r="S130" s="198" t="s">
        <v>43</v>
      </c>
      <c r="T130" s="197" t="s">
        <v>43</v>
      </c>
      <c r="U130" s="77" t="s">
        <v>988</v>
      </c>
      <c r="V130" s="198"/>
      <c r="W130" s="197" t="s">
        <v>43</v>
      </c>
      <c r="X130" s="198" t="s">
        <v>43</v>
      </c>
      <c r="Z130" s="77">
        <v>4.22</v>
      </c>
      <c r="AA130" s="77">
        <v>1.8229</v>
      </c>
      <c r="AB130" s="77">
        <v>-0.12809999999999999</v>
      </c>
      <c r="AC130" s="201">
        <f>AA130*$AC$3*1000</f>
        <v>0.18229000000000001</v>
      </c>
      <c r="AD130" s="169">
        <f t="shared" si="22"/>
        <v>1.8229000000000002E-2</v>
      </c>
      <c r="AE130" s="199"/>
      <c r="AF130" s="199"/>
      <c r="AG130" s="199"/>
    </row>
    <row r="131" spans="1:33" s="196" customFormat="1" x14ac:dyDescent="0.2">
      <c r="A131" s="190"/>
      <c r="B131" s="211"/>
      <c r="E131" s="185"/>
      <c r="F131" s="77" t="s">
        <v>798</v>
      </c>
      <c r="H131" s="198"/>
      <c r="I131" s="198"/>
      <c r="J131" s="198"/>
      <c r="K131" s="212"/>
      <c r="L131" s="212"/>
      <c r="M131" s="198"/>
      <c r="N131" s="77">
        <v>58</v>
      </c>
      <c r="O131" s="198" t="s">
        <v>532</v>
      </c>
      <c r="P131" s="198" t="s">
        <v>732</v>
      </c>
      <c r="Q131" s="198"/>
      <c r="R131" s="197" t="s">
        <v>996</v>
      </c>
      <c r="S131" s="198">
        <v>2</v>
      </c>
      <c r="T131" s="197" t="s">
        <v>1157</v>
      </c>
      <c r="U131" s="77"/>
      <c r="V131" s="198"/>
      <c r="W131" s="197" t="s">
        <v>1087</v>
      </c>
      <c r="X131" s="198" t="s">
        <v>916</v>
      </c>
      <c r="Z131" s="77">
        <v>77.349999999999994</v>
      </c>
      <c r="AA131" s="77">
        <v>6.6632999999999996</v>
      </c>
      <c r="AB131" s="77">
        <v>-0.154</v>
      </c>
      <c r="AC131" s="201">
        <f>AA131*$AC$3*1000</f>
        <v>0.66632999999999998</v>
      </c>
      <c r="AD131" s="169">
        <f t="shared" si="22"/>
        <v>6.6632999999999998E-2</v>
      </c>
      <c r="AE131" s="213"/>
      <c r="AF131" s="213"/>
      <c r="AG131" s="213"/>
    </row>
    <row r="132" spans="1:33" s="196" customFormat="1" x14ac:dyDescent="0.2">
      <c r="A132" s="190"/>
      <c r="B132" s="211"/>
      <c r="C132" s="198"/>
      <c r="D132" s="198"/>
      <c r="E132" s="185"/>
      <c r="F132" s="77" t="s">
        <v>797</v>
      </c>
      <c r="H132" s="198"/>
      <c r="I132" s="198"/>
      <c r="J132" s="198"/>
      <c r="K132" s="212"/>
      <c r="L132" s="212"/>
      <c r="M132" s="198"/>
      <c r="N132" s="77">
        <v>58</v>
      </c>
      <c r="O132" s="198" t="s">
        <v>536</v>
      </c>
      <c r="P132" s="198" t="s">
        <v>733</v>
      </c>
      <c r="Q132" s="198"/>
      <c r="R132" s="197" t="s">
        <v>997</v>
      </c>
      <c r="S132" s="198" t="s">
        <v>43</v>
      </c>
      <c r="T132" s="197" t="s">
        <v>43</v>
      </c>
      <c r="U132" s="77" t="s">
        <v>989</v>
      </c>
      <c r="V132" s="198"/>
      <c r="W132" s="197" t="s">
        <v>43</v>
      </c>
      <c r="X132" s="195"/>
      <c r="Z132" s="77">
        <v>273.2</v>
      </c>
      <c r="AA132" s="77">
        <v>26.998999999999999</v>
      </c>
      <c r="AB132" s="77"/>
      <c r="AC132" s="201">
        <f>AA132*$AC$3*1000</f>
        <v>2.6999</v>
      </c>
      <c r="AD132" s="169">
        <f t="shared" si="22"/>
        <v>0.26999000000000001</v>
      </c>
      <c r="AE132" s="213"/>
      <c r="AF132" s="213"/>
      <c r="AG132" s="213"/>
    </row>
    <row r="133" spans="1:33" s="196" customFormat="1" x14ac:dyDescent="0.2">
      <c r="A133" s="190"/>
      <c r="B133" s="211"/>
      <c r="C133" s="198"/>
      <c r="D133" s="198"/>
      <c r="E133" s="185"/>
      <c r="G133" s="77" t="s">
        <v>43</v>
      </c>
      <c r="H133" s="198"/>
      <c r="I133" s="198"/>
      <c r="J133" s="198"/>
      <c r="K133" s="212"/>
      <c r="L133" s="212"/>
      <c r="M133" s="198"/>
      <c r="N133" s="77"/>
      <c r="O133" s="198"/>
      <c r="P133" s="198"/>
      <c r="Q133" s="198"/>
      <c r="R133" s="197" t="s">
        <v>998</v>
      </c>
      <c r="S133" s="198" t="s">
        <v>43</v>
      </c>
      <c r="T133" s="195"/>
      <c r="U133" s="77"/>
      <c r="V133" s="198"/>
      <c r="W133" s="197"/>
      <c r="X133" s="198"/>
      <c r="Z133" s="198"/>
      <c r="AA133" s="198"/>
      <c r="AB133" s="198"/>
      <c r="AC133" s="214"/>
      <c r="AD133" s="169" t="s">
        <v>43</v>
      </c>
      <c r="AE133" s="213"/>
      <c r="AF133" s="213"/>
      <c r="AG133" s="213"/>
    </row>
    <row r="134" spans="1:33" s="196" customFormat="1" x14ac:dyDescent="0.2">
      <c r="A134" s="190" t="s">
        <v>1375</v>
      </c>
      <c r="B134" s="211"/>
      <c r="C134" s="198">
        <v>29</v>
      </c>
      <c r="D134" s="198">
        <v>1578</v>
      </c>
      <c r="E134" s="185" t="s">
        <v>694</v>
      </c>
      <c r="F134" s="77" t="s">
        <v>800</v>
      </c>
      <c r="H134" s="198"/>
      <c r="I134" s="198"/>
      <c r="J134" s="198"/>
      <c r="K134" s="212"/>
      <c r="L134" s="212"/>
      <c r="M134" s="198"/>
      <c r="N134" s="77">
        <v>59</v>
      </c>
      <c r="O134" s="198" t="s">
        <v>532</v>
      </c>
      <c r="P134" s="198" t="s">
        <v>734</v>
      </c>
      <c r="Q134" s="198"/>
      <c r="R134" s="197"/>
      <c r="S134" s="198">
        <v>3</v>
      </c>
      <c r="T134" s="197" t="s">
        <v>1158</v>
      </c>
      <c r="V134" s="198"/>
      <c r="W134" s="197" t="s">
        <v>1088</v>
      </c>
      <c r="X134" s="207" t="s">
        <v>1148</v>
      </c>
      <c r="Z134" s="77" t="s">
        <v>624</v>
      </c>
      <c r="AA134" s="77"/>
      <c r="AB134" s="77"/>
      <c r="AC134" s="201"/>
      <c r="AD134" s="169" t="s">
        <v>43</v>
      </c>
      <c r="AE134" s="202">
        <v>-0.21840574578366767</v>
      </c>
      <c r="AF134" s="202">
        <v>16.977923029871345</v>
      </c>
      <c r="AG134" s="202">
        <v>-26.00168320285357</v>
      </c>
    </row>
    <row r="135" spans="1:33" s="196" customFormat="1" x14ac:dyDescent="0.2">
      <c r="A135" s="190"/>
      <c r="B135" s="211"/>
      <c r="C135" s="198"/>
      <c r="D135" s="198"/>
      <c r="E135" s="185" t="s">
        <v>43</v>
      </c>
      <c r="F135" s="77" t="s">
        <v>799</v>
      </c>
      <c r="H135" s="198"/>
      <c r="I135" s="198"/>
      <c r="J135" s="198"/>
      <c r="K135" s="212"/>
      <c r="L135" s="212"/>
      <c r="M135" s="198"/>
      <c r="N135" s="77">
        <v>59</v>
      </c>
      <c r="O135" s="198" t="s">
        <v>533</v>
      </c>
      <c r="P135" s="198" t="s">
        <v>735</v>
      </c>
      <c r="Q135" s="198"/>
      <c r="R135" s="197" t="s">
        <v>999</v>
      </c>
      <c r="S135" s="198" t="s">
        <v>43</v>
      </c>
      <c r="T135" s="197" t="s">
        <v>43</v>
      </c>
      <c r="U135" s="77" t="s">
        <v>1053</v>
      </c>
      <c r="V135" s="198"/>
      <c r="W135" s="197" t="s">
        <v>43</v>
      </c>
      <c r="X135" s="198" t="s">
        <v>43</v>
      </c>
      <c r="Z135" s="77">
        <v>4.22</v>
      </c>
      <c r="AA135" s="77">
        <v>1.8228</v>
      </c>
      <c r="AB135" s="77">
        <v>-0.128</v>
      </c>
      <c r="AC135" s="201">
        <f>AA135*$AC$3*1000</f>
        <v>0.18228</v>
      </c>
      <c r="AD135" s="169">
        <f t="shared" si="22"/>
        <v>1.8228000000000001E-2</v>
      </c>
      <c r="AE135" s="213"/>
      <c r="AF135" s="213"/>
      <c r="AG135" s="213"/>
    </row>
    <row r="136" spans="1:33" s="196" customFormat="1" x14ac:dyDescent="0.2">
      <c r="A136" s="190"/>
      <c r="B136" s="211"/>
      <c r="C136" s="198"/>
      <c r="D136" s="198"/>
      <c r="E136" s="185"/>
      <c r="F136" s="77" t="s">
        <v>798</v>
      </c>
      <c r="H136" s="198"/>
      <c r="I136" s="198"/>
      <c r="J136" s="198"/>
      <c r="K136" s="212"/>
      <c r="L136" s="212"/>
      <c r="M136" s="198"/>
      <c r="N136" s="77">
        <v>59</v>
      </c>
      <c r="O136" s="198" t="s">
        <v>532</v>
      </c>
      <c r="P136" s="198" t="s">
        <v>736</v>
      </c>
      <c r="Q136" s="198"/>
      <c r="R136" s="197" t="s">
        <v>1000</v>
      </c>
      <c r="S136" s="198">
        <v>2</v>
      </c>
      <c r="T136" s="197" t="s">
        <v>1159</v>
      </c>
      <c r="U136" s="77"/>
      <c r="V136" s="198"/>
      <c r="W136" s="197" t="s">
        <v>1089</v>
      </c>
      <c r="X136" s="198" t="s">
        <v>916</v>
      </c>
      <c r="Z136" s="77">
        <v>77.349999999999994</v>
      </c>
      <c r="AA136" s="77">
        <v>6.6576000000000004</v>
      </c>
      <c r="AB136" s="77">
        <v>-0.21299999999999999</v>
      </c>
      <c r="AC136" s="201">
        <f>AA136*$AC$3*1000</f>
        <v>0.66576000000000002</v>
      </c>
      <c r="AD136" s="169">
        <f t="shared" si="22"/>
        <v>6.6575999999999996E-2</v>
      </c>
      <c r="AE136" s="213"/>
      <c r="AF136" s="213"/>
      <c r="AG136" s="213"/>
    </row>
    <row r="137" spans="1:33" s="196" customFormat="1" x14ac:dyDescent="0.2">
      <c r="A137" s="190"/>
      <c r="B137" s="211"/>
      <c r="C137" s="198"/>
      <c r="D137" s="198"/>
      <c r="E137" s="185"/>
      <c r="F137" s="77" t="s">
        <v>797</v>
      </c>
      <c r="H137" s="198"/>
      <c r="I137" s="198"/>
      <c r="J137" s="198"/>
      <c r="K137" s="212"/>
      <c r="L137" s="212"/>
      <c r="M137" s="198"/>
      <c r="N137" s="77">
        <v>59</v>
      </c>
      <c r="O137" s="198" t="s">
        <v>533</v>
      </c>
      <c r="P137" s="198" t="s">
        <v>737</v>
      </c>
      <c r="Q137" s="198"/>
      <c r="R137" s="197" t="s">
        <v>1001</v>
      </c>
      <c r="S137" s="198" t="s">
        <v>43</v>
      </c>
      <c r="T137" s="197" t="s">
        <v>43</v>
      </c>
      <c r="U137" s="77" t="s">
        <v>1172</v>
      </c>
      <c r="V137" s="198"/>
      <c r="W137" s="197" t="s">
        <v>43</v>
      </c>
      <c r="X137" s="195"/>
      <c r="Z137" s="77">
        <v>273.2</v>
      </c>
      <c r="AA137" s="77">
        <v>27.003</v>
      </c>
      <c r="AB137" s="77"/>
      <c r="AC137" s="201">
        <f>AA137*$AC$3*1000</f>
        <v>2.7002999999999999</v>
      </c>
      <c r="AD137" s="169">
        <f t="shared" si="22"/>
        <v>0.27002999999999999</v>
      </c>
      <c r="AE137" s="213"/>
      <c r="AF137" s="213"/>
      <c r="AG137" s="213"/>
    </row>
    <row r="138" spans="1:33" s="196" customFormat="1" x14ac:dyDescent="0.2">
      <c r="A138" s="190"/>
      <c r="B138" s="211"/>
      <c r="C138" s="198"/>
      <c r="D138" s="198"/>
      <c r="E138" s="185"/>
      <c r="F138" s="77"/>
      <c r="G138" s="77" t="s">
        <v>43</v>
      </c>
      <c r="H138" s="198"/>
      <c r="I138" s="198"/>
      <c r="J138" s="198"/>
      <c r="K138" s="212"/>
      <c r="L138" s="212"/>
      <c r="M138" s="198"/>
      <c r="N138" s="77"/>
      <c r="O138" s="198"/>
      <c r="P138" s="198"/>
      <c r="Q138" s="198"/>
      <c r="R138" s="197" t="s">
        <v>1002</v>
      </c>
      <c r="S138" s="215"/>
      <c r="T138" s="197"/>
      <c r="U138" s="77"/>
      <c r="V138" s="215"/>
      <c r="W138" s="197"/>
      <c r="X138" s="198"/>
      <c r="Z138" s="198"/>
      <c r="AA138" s="198"/>
      <c r="AB138" s="198"/>
      <c r="AC138" s="214"/>
      <c r="AD138" s="169" t="s">
        <v>43</v>
      </c>
      <c r="AE138" s="213"/>
      <c r="AF138" s="213"/>
      <c r="AG138" s="213"/>
    </row>
    <row r="139" spans="1:33" s="196" customFormat="1" x14ac:dyDescent="0.2">
      <c r="A139" s="190" t="s">
        <v>1376</v>
      </c>
      <c r="B139" s="211"/>
      <c r="C139" s="198">
        <v>30</v>
      </c>
      <c r="D139" s="198">
        <v>1628</v>
      </c>
      <c r="E139" s="185" t="s">
        <v>695</v>
      </c>
      <c r="F139" s="77" t="s">
        <v>800</v>
      </c>
      <c r="G139" s="77">
        <v>31</v>
      </c>
      <c r="H139" s="198" t="s">
        <v>532</v>
      </c>
      <c r="I139" s="198" t="s">
        <v>704</v>
      </c>
      <c r="J139" s="200" t="s">
        <v>1240</v>
      </c>
      <c r="K139" s="169">
        <v>0.24</v>
      </c>
      <c r="L139" s="169">
        <v>32.03</v>
      </c>
      <c r="M139" s="169">
        <f>L139-K139</f>
        <v>31.790000000000003</v>
      </c>
      <c r="N139" s="77">
        <v>60</v>
      </c>
      <c r="O139" s="198" t="s">
        <v>532</v>
      </c>
      <c r="P139" s="198" t="s">
        <v>716</v>
      </c>
      <c r="Q139" s="198"/>
      <c r="R139" s="197"/>
      <c r="S139" s="198">
        <v>3</v>
      </c>
      <c r="T139" s="197" t="s">
        <v>1160</v>
      </c>
      <c r="U139" s="77"/>
      <c r="V139" s="198"/>
      <c r="W139" s="197" t="s">
        <v>1090</v>
      </c>
      <c r="X139" s="207" t="s">
        <v>1149</v>
      </c>
      <c r="Z139" s="77" t="s">
        <v>43</v>
      </c>
      <c r="AA139" s="77"/>
      <c r="AB139" s="77"/>
      <c r="AC139" s="201"/>
      <c r="AD139" s="169" t="s">
        <v>43</v>
      </c>
      <c r="AE139" s="216">
        <v>-0.21822311659709606</v>
      </c>
      <c r="AF139" s="216">
        <v>16.977319959837047</v>
      </c>
      <c r="AG139" s="216">
        <v>-26.154897810641593</v>
      </c>
    </row>
    <row r="140" spans="1:33" s="196" customFormat="1" x14ac:dyDescent="0.2">
      <c r="A140" s="190"/>
      <c r="B140" s="211"/>
      <c r="C140" s="198"/>
      <c r="D140" s="198"/>
      <c r="E140" s="185" t="s">
        <v>43</v>
      </c>
      <c r="F140" s="77" t="s">
        <v>799</v>
      </c>
      <c r="G140" s="77">
        <v>31</v>
      </c>
      <c r="H140" s="198" t="s">
        <v>506</v>
      </c>
      <c r="I140" s="198" t="s">
        <v>705</v>
      </c>
      <c r="J140" s="200" t="s">
        <v>1241</v>
      </c>
      <c r="K140" s="169">
        <v>0.2</v>
      </c>
      <c r="L140" s="169">
        <v>32.1</v>
      </c>
      <c r="M140" s="169">
        <f t="shared" ref="M140" si="23">L140-K140</f>
        <v>31.900000000000002</v>
      </c>
      <c r="N140" s="77">
        <v>60</v>
      </c>
      <c r="O140" s="198" t="s">
        <v>506</v>
      </c>
      <c r="P140" s="198" t="s">
        <v>719</v>
      </c>
      <c r="Q140" s="198"/>
      <c r="R140" s="197" t="s">
        <v>1003</v>
      </c>
      <c r="S140" s="198" t="s">
        <v>43</v>
      </c>
      <c r="T140" s="197" t="s">
        <v>43</v>
      </c>
      <c r="U140" s="77" t="s">
        <v>1055</v>
      </c>
      <c r="V140" s="198"/>
      <c r="W140" s="197" t="s">
        <v>43</v>
      </c>
      <c r="X140" s="198" t="s">
        <v>43</v>
      </c>
      <c r="Z140" s="77">
        <v>4.22</v>
      </c>
      <c r="AA140" s="77">
        <v>1.8323</v>
      </c>
      <c r="AB140" s="77">
        <v>-5.5E-2</v>
      </c>
      <c r="AC140" s="201">
        <f>AA140*$AC$3*1000</f>
        <v>0.18323000000000003</v>
      </c>
      <c r="AD140" s="169">
        <f t="shared" si="22"/>
        <v>1.8323000000000002E-2</v>
      </c>
      <c r="AE140" s="213"/>
      <c r="AF140" s="213"/>
      <c r="AG140" s="213"/>
    </row>
    <row r="141" spans="1:33" s="196" customFormat="1" x14ac:dyDescent="0.2">
      <c r="A141" s="190"/>
      <c r="B141" s="211"/>
      <c r="C141" s="198"/>
      <c r="D141" s="198"/>
      <c r="E141" s="185"/>
      <c r="F141" s="77" t="s">
        <v>798</v>
      </c>
      <c r="G141" s="77">
        <v>31</v>
      </c>
      <c r="H141" s="198" t="s">
        <v>532</v>
      </c>
      <c r="I141" s="198" t="s">
        <v>706</v>
      </c>
      <c r="J141" s="77" t="s">
        <v>1255</v>
      </c>
      <c r="K141" s="169">
        <v>0.2</v>
      </c>
      <c r="L141" s="169">
        <v>32</v>
      </c>
      <c r="M141" s="169">
        <f>L141-K141</f>
        <v>31.8</v>
      </c>
      <c r="N141" s="77">
        <v>60</v>
      </c>
      <c r="O141" s="198" t="s">
        <v>532</v>
      </c>
      <c r="P141" s="198" t="s">
        <v>717</v>
      </c>
      <c r="Q141" s="198"/>
      <c r="R141" s="197" t="s">
        <v>1004</v>
      </c>
      <c r="S141" s="198">
        <v>2</v>
      </c>
      <c r="T141" s="197" t="s">
        <v>1161</v>
      </c>
      <c r="U141" s="77"/>
      <c r="V141" s="198"/>
      <c r="W141" s="197" t="s">
        <v>1091</v>
      </c>
      <c r="X141" s="198" t="s">
        <v>916</v>
      </c>
      <c r="Z141" s="77">
        <v>77.349999999999994</v>
      </c>
      <c r="AA141" s="77">
        <v>6.6681999999999997</v>
      </c>
      <c r="AB141" s="77">
        <v>0.03</v>
      </c>
      <c r="AC141" s="201">
        <f>AA141*$AC$3*1000</f>
        <v>0.66682000000000008</v>
      </c>
      <c r="AD141" s="169">
        <f t="shared" si="22"/>
        <v>6.6682000000000005E-2</v>
      </c>
      <c r="AE141" s="213"/>
      <c r="AF141" s="213"/>
      <c r="AG141" s="213"/>
    </row>
    <row r="142" spans="1:33" s="196" customFormat="1" x14ac:dyDescent="0.2">
      <c r="A142" s="190"/>
      <c r="B142" s="211"/>
      <c r="C142" s="198"/>
      <c r="D142" s="198"/>
      <c r="E142" s="185"/>
      <c r="F142" s="77" t="s">
        <v>797</v>
      </c>
      <c r="G142" s="77">
        <v>31</v>
      </c>
      <c r="H142" s="198" t="s">
        <v>506</v>
      </c>
      <c r="I142" s="198" t="s">
        <v>707</v>
      </c>
      <c r="J142" s="77" t="s">
        <v>1256</v>
      </c>
      <c r="K142" s="169">
        <v>0.22</v>
      </c>
      <c r="L142" s="169">
        <v>32.119999999999997</v>
      </c>
      <c r="M142" s="169">
        <f t="shared" ref="M142" si="24">L142-K142</f>
        <v>31.9</v>
      </c>
      <c r="N142" s="77">
        <v>60</v>
      </c>
      <c r="O142" s="198" t="s">
        <v>506</v>
      </c>
      <c r="P142" s="198" t="s">
        <v>718</v>
      </c>
      <c r="Q142" s="198"/>
      <c r="R142" s="197" t="s">
        <v>1005</v>
      </c>
      <c r="S142" s="198" t="s">
        <v>43</v>
      </c>
      <c r="T142" s="197" t="s">
        <v>43</v>
      </c>
      <c r="U142" s="77" t="s">
        <v>1056</v>
      </c>
      <c r="V142" s="198"/>
      <c r="W142" s="197" t="s">
        <v>43</v>
      </c>
      <c r="X142" s="195"/>
      <c r="Z142" s="77">
        <v>273.2</v>
      </c>
      <c r="AA142" s="77">
        <v>27.01</v>
      </c>
      <c r="AB142" s="77"/>
      <c r="AC142" s="201">
        <f>AA142*$AC$3*1000</f>
        <v>2.7010000000000001</v>
      </c>
      <c r="AD142" s="169">
        <f t="shared" si="22"/>
        <v>0.27010000000000001</v>
      </c>
      <c r="AE142" s="213"/>
      <c r="AF142" s="213"/>
      <c r="AG142" s="213"/>
    </row>
    <row r="143" spans="1:33" s="196" customFormat="1" x14ac:dyDescent="0.2">
      <c r="A143" s="190"/>
      <c r="B143" s="211"/>
      <c r="C143" s="198"/>
      <c r="D143" s="198"/>
      <c r="E143" s="185"/>
      <c r="F143" s="77"/>
      <c r="G143" s="198"/>
      <c r="H143" s="198"/>
      <c r="I143" s="198"/>
      <c r="J143" s="198"/>
      <c r="K143" s="212"/>
      <c r="L143" s="212"/>
      <c r="M143" s="198"/>
      <c r="N143" s="77"/>
      <c r="O143" s="198"/>
      <c r="P143" s="198"/>
      <c r="Q143" s="198"/>
      <c r="R143" s="197" t="s">
        <v>1006</v>
      </c>
      <c r="S143" s="215"/>
      <c r="T143" s="197" t="s">
        <v>43</v>
      </c>
      <c r="U143" s="77"/>
      <c r="V143" s="215"/>
      <c r="W143" s="197"/>
      <c r="X143" s="198"/>
      <c r="Z143" s="198"/>
      <c r="AA143" s="198"/>
      <c r="AB143" s="198"/>
      <c r="AC143" s="214"/>
      <c r="AD143" s="198"/>
      <c r="AE143" s="213"/>
      <c r="AF143" s="213"/>
      <c r="AG143" s="213"/>
    </row>
    <row r="144" spans="1:33" s="195" customFormat="1" x14ac:dyDescent="0.2">
      <c r="A144" s="185" t="s">
        <v>723</v>
      </c>
      <c r="B144" s="217"/>
      <c r="C144" s="77">
        <v>31</v>
      </c>
      <c r="D144" s="77"/>
      <c r="E144" s="209" t="s">
        <v>720</v>
      </c>
      <c r="F144" s="208" t="s">
        <v>473</v>
      </c>
      <c r="G144" s="208" t="s">
        <v>43</v>
      </c>
      <c r="H144" s="208"/>
      <c r="I144" s="208"/>
      <c r="J144" s="208"/>
      <c r="K144" s="218"/>
      <c r="L144" s="218"/>
      <c r="M144" s="208"/>
      <c r="N144" s="208">
        <v>109</v>
      </c>
      <c r="O144" s="208" t="s">
        <v>532</v>
      </c>
      <c r="P144" s="208" t="s">
        <v>724</v>
      </c>
      <c r="Q144" s="77"/>
      <c r="R144" s="197"/>
      <c r="S144" s="220"/>
      <c r="T144" s="197" t="s">
        <v>1162</v>
      </c>
      <c r="U144" s="77"/>
      <c r="V144" s="220"/>
      <c r="W144" s="219" t="s">
        <v>1092</v>
      </c>
      <c r="X144" s="221" t="s">
        <v>1150</v>
      </c>
      <c r="Z144" s="77"/>
      <c r="AA144" s="77"/>
      <c r="AB144" s="77"/>
      <c r="AC144" s="201"/>
      <c r="AD144" s="77"/>
      <c r="AE144" s="199"/>
      <c r="AF144" s="199"/>
      <c r="AG144" s="199"/>
    </row>
    <row r="145" spans="1:33" s="195" customFormat="1" x14ac:dyDescent="0.2">
      <c r="A145" s="185"/>
      <c r="B145" s="217"/>
      <c r="C145" s="77"/>
      <c r="D145" s="77"/>
      <c r="E145" s="209"/>
      <c r="F145" s="208" t="s">
        <v>475</v>
      </c>
      <c r="G145" s="208" t="s">
        <v>43</v>
      </c>
      <c r="H145" s="208"/>
      <c r="I145" s="208"/>
      <c r="J145" s="208"/>
      <c r="K145" s="218"/>
      <c r="L145" s="218"/>
      <c r="M145" s="208"/>
      <c r="N145" s="208">
        <v>109</v>
      </c>
      <c r="O145" s="208" t="s">
        <v>532</v>
      </c>
      <c r="P145" s="208" t="s">
        <v>725</v>
      </c>
      <c r="Q145" s="77"/>
      <c r="R145" s="219" t="s">
        <v>1120</v>
      </c>
      <c r="S145" s="220"/>
      <c r="T145" s="197" t="s">
        <v>43</v>
      </c>
      <c r="U145" s="77" t="s">
        <v>1057</v>
      </c>
      <c r="V145" s="220"/>
      <c r="W145" s="219" t="s">
        <v>43</v>
      </c>
      <c r="Z145" s="77"/>
      <c r="AA145" s="77"/>
      <c r="AB145" s="77"/>
      <c r="AC145" s="201"/>
      <c r="AD145" s="77"/>
      <c r="AE145" s="199"/>
      <c r="AF145" s="199"/>
      <c r="AG145" s="199"/>
    </row>
    <row r="146" spans="1:33" s="195" customFormat="1" x14ac:dyDescent="0.2">
      <c r="A146" s="185"/>
      <c r="B146" s="217"/>
      <c r="C146" s="77"/>
      <c r="D146" s="77"/>
      <c r="E146" s="209"/>
      <c r="F146" s="208" t="s">
        <v>474</v>
      </c>
      <c r="G146" s="208" t="s">
        <v>43</v>
      </c>
      <c r="H146" s="208"/>
      <c r="I146" s="208"/>
      <c r="J146" s="208"/>
      <c r="K146" s="218"/>
      <c r="L146" s="218"/>
      <c r="M146" s="208"/>
      <c r="N146" s="208">
        <v>109</v>
      </c>
      <c r="O146" s="208" t="s">
        <v>530</v>
      </c>
      <c r="P146" s="208" t="s">
        <v>726</v>
      </c>
      <c r="Q146" s="77"/>
      <c r="R146" s="219" t="s">
        <v>1121</v>
      </c>
      <c r="S146" s="220"/>
      <c r="T146" s="197" t="s">
        <v>1163</v>
      </c>
      <c r="U146" s="77"/>
      <c r="V146" s="220"/>
      <c r="W146" s="219" t="s">
        <v>1093</v>
      </c>
      <c r="X146" s="77" t="s">
        <v>916</v>
      </c>
      <c r="Z146" s="77"/>
      <c r="AA146" s="77"/>
      <c r="AB146" s="77"/>
      <c r="AC146" s="201"/>
      <c r="AD146" s="77"/>
      <c r="AE146" s="199"/>
      <c r="AF146" s="199"/>
      <c r="AG146" s="199"/>
    </row>
    <row r="147" spans="1:33" s="195" customFormat="1" x14ac:dyDescent="0.2">
      <c r="A147" s="185"/>
      <c r="B147" s="217"/>
      <c r="C147" s="77"/>
      <c r="D147" s="77"/>
      <c r="E147" s="209"/>
      <c r="F147" s="208"/>
      <c r="G147" s="222"/>
      <c r="H147" s="208"/>
      <c r="I147" s="208"/>
      <c r="J147" s="208"/>
      <c r="K147" s="218"/>
      <c r="L147" s="218"/>
      <c r="M147" s="208"/>
      <c r="N147" s="223"/>
      <c r="O147" s="222"/>
      <c r="P147" s="222"/>
      <c r="Q147" s="77"/>
      <c r="R147" s="219" t="s">
        <v>1122</v>
      </c>
      <c r="S147" s="220"/>
      <c r="T147" s="197" t="s">
        <v>43</v>
      </c>
      <c r="U147" s="77" t="s">
        <v>1058</v>
      </c>
      <c r="V147" s="220"/>
      <c r="W147" s="219" t="s">
        <v>43</v>
      </c>
      <c r="Z147" s="77"/>
      <c r="AA147" s="77"/>
      <c r="AB147" s="77"/>
      <c r="AC147" s="201"/>
      <c r="AD147" s="77"/>
      <c r="AE147" s="199"/>
      <c r="AF147" s="199"/>
      <c r="AG147" s="199"/>
    </row>
    <row r="148" spans="1:33" s="195" customFormat="1" x14ac:dyDescent="0.2">
      <c r="A148" s="185"/>
      <c r="B148" s="217"/>
      <c r="C148" s="77"/>
      <c r="D148" s="77"/>
      <c r="E148" s="185"/>
      <c r="F148" s="77"/>
      <c r="H148" s="77"/>
      <c r="I148" s="77"/>
      <c r="J148" s="77"/>
      <c r="K148" s="169"/>
      <c r="L148" s="169"/>
      <c r="M148" s="77"/>
      <c r="N148" s="224"/>
      <c r="Q148" s="77"/>
      <c r="R148" s="219" t="s">
        <v>1122</v>
      </c>
      <c r="S148" s="220"/>
      <c r="T148" s="197"/>
      <c r="U148" s="77"/>
      <c r="V148" s="220"/>
      <c r="W148" s="219"/>
      <c r="X148" s="77"/>
      <c r="Z148" s="77"/>
      <c r="AA148" s="77"/>
      <c r="AB148" s="77"/>
      <c r="AC148" s="201"/>
      <c r="AD148" s="77"/>
      <c r="AE148" s="199"/>
      <c r="AF148" s="199"/>
      <c r="AG148" s="199"/>
    </row>
    <row r="149" spans="1:33" s="195" customFormat="1" x14ac:dyDescent="0.2">
      <c r="A149" s="186"/>
      <c r="B149" s="217"/>
      <c r="C149" s="77"/>
      <c r="D149" s="77"/>
      <c r="E149" s="209"/>
      <c r="F149" s="208"/>
      <c r="G149" s="208"/>
      <c r="H149" s="208"/>
      <c r="I149" s="208"/>
      <c r="J149" s="208"/>
      <c r="K149" s="218"/>
      <c r="L149" s="218"/>
      <c r="M149" s="208"/>
      <c r="N149" s="223"/>
      <c r="O149" s="222"/>
      <c r="P149" s="222"/>
      <c r="Q149" s="77"/>
      <c r="R149" s="219"/>
      <c r="S149" s="220"/>
      <c r="T149" s="197" t="s">
        <v>1164</v>
      </c>
      <c r="U149" s="77"/>
      <c r="V149" s="220"/>
      <c r="W149" s="219" t="s">
        <v>1094</v>
      </c>
      <c r="X149" s="221" t="s">
        <v>1151</v>
      </c>
      <c r="Z149" s="77"/>
      <c r="AA149" s="77"/>
      <c r="AB149" s="77"/>
      <c r="AC149" s="201"/>
      <c r="AD149" s="77"/>
      <c r="AE149" s="199"/>
      <c r="AF149" s="199"/>
      <c r="AG149" s="199"/>
    </row>
    <row r="150" spans="1:33" s="195" customFormat="1" x14ac:dyDescent="0.2">
      <c r="A150" s="185" t="s">
        <v>722</v>
      </c>
      <c r="B150" s="217"/>
      <c r="C150" s="77">
        <v>32</v>
      </c>
      <c r="D150" s="77"/>
      <c r="E150" s="209" t="s">
        <v>721</v>
      </c>
      <c r="F150" s="208" t="s">
        <v>473</v>
      </c>
      <c r="G150" s="208"/>
      <c r="H150" s="208"/>
      <c r="I150" s="208"/>
      <c r="J150" s="208"/>
      <c r="K150" s="218"/>
      <c r="L150" s="218"/>
      <c r="M150" s="208"/>
      <c r="N150" s="208">
        <v>92</v>
      </c>
      <c r="O150" s="208" t="s">
        <v>532</v>
      </c>
      <c r="P150" s="208" t="s">
        <v>727</v>
      </c>
      <c r="Q150" s="77"/>
      <c r="R150" s="219" t="s">
        <v>1123</v>
      </c>
      <c r="S150" s="220"/>
      <c r="T150" s="197" t="s">
        <v>43</v>
      </c>
      <c r="U150" s="77" t="s">
        <v>1059</v>
      </c>
      <c r="V150" s="220"/>
      <c r="W150" s="219"/>
      <c r="X150" s="77"/>
      <c r="Z150" s="77"/>
      <c r="AA150" s="77"/>
      <c r="AB150" s="77"/>
      <c r="AC150" s="201"/>
      <c r="AD150" s="77"/>
      <c r="AE150" s="199"/>
      <c r="AF150" s="199"/>
      <c r="AG150" s="199"/>
    </row>
    <row r="151" spans="1:33" s="195" customFormat="1" x14ac:dyDescent="0.2">
      <c r="A151" s="185"/>
      <c r="B151" s="217"/>
      <c r="C151" s="77"/>
      <c r="D151" s="77"/>
      <c r="E151" s="209"/>
      <c r="F151" s="208" t="s">
        <v>475</v>
      </c>
      <c r="G151" s="208"/>
      <c r="H151" s="208"/>
      <c r="I151" s="208"/>
      <c r="J151" s="208"/>
      <c r="K151" s="218"/>
      <c r="L151" s="218"/>
      <c r="M151" s="208"/>
      <c r="N151" s="208">
        <v>92</v>
      </c>
      <c r="O151" s="208" t="s">
        <v>532</v>
      </c>
      <c r="P151" s="208" t="s">
        <v>728</v>
      </c>
      <c r="Q151" s="77"/>
      <c r="R151" s="219" t="s">
        <v>1124</v>
      </c>
      <c r="S151" s="220"/>
      <c r="T151" s="197" t="s">
        <v>1165</v>
      </c>
      <c r="U151" s="77"/>
      <c r="V151" s="220"/>
      <c r="W151" s="219" t="s">
        <v>1095</v>
      </c>
      <c r="X151" s="77" t="s">
        <v>917</v>
      </c>
      <c r="Z151" s="77"/>
      <c r="AA151" s="77"/>
      <c r="AB151" s="77"/>
      <c r="AC151" s="201"/>
      <c r="AD151" s="77"/>
      <c r="AE151" s="199"/>
      <c r="AF151" s="199"/>
      <c r="AG151" s="199"/>
    </row>
    <row r="152" spans="1:33" s="195" customFormat="1" x14ac:dyDescent="0.2">
      <c r="A152" s="185"/>
      <c r="B152" s="217"/>
      <c r="C152" s="77"/>
      <c r="D152" s="77"/>
      <c r="E152" s="209"/>
      <c r="F152" s="208" t="s">
        <v>474</v>
      </c>
      <c r="G152" s="208"/>
      <c r="H152" s="208"/>
      <c r="I152" s="208"/>
      <c r="J152" s="208"/>
      <c r="K152" s="218"/>
      <c r="L152" s="218"/>
      <c r="M152" s="208"/>
      <c r="N152" s="208">
        <v>92</v>
      </c>
      <c r="O152" s="208" t="s">
        <v>530</v>
      </c>
      <c r="P152" s="208" t="s">
        <v>729</v>
      </c>
      <c r="Q152" s="77"/>
      <c r="R152" s="219" t="s">
        <v>1125</v>
      </c>
      <c r="S152" s="220"/>
      <c r="T152" s="197" t="s">
        <v>43</v>
      </c>
      <c r="U152" s="77" t="s">
        <v>1060</v>
      </c>
      <c r="V152" s="220"/>
      <c r="W152" s="219"/>
      <c r="X152" s="77"/>
      <c r="Z152" s="77"/>
      <c r="AA152" s="77"/>
      <c r="AB152" s="77"/>
      <c r="AC152" s="201"/>
      <c r="AD152" s="77"/>
      <c r="AE152" s="199"/>
      <c r="AF152" s="199"/>
      <c r="AG152" s="199"/>
    </row>
    <row r="153" spans="1:33" x14ac:dyDescent="0.2">
      <c r="R153" s="219" t="s">
        <v>1126</v>
      </c>
      <c r="T153" s="197" t="s">
        <v>43</v>
      </c>
      <c r="U153" s="77"/>
      <c r="W153" s="197" t="s">
        <v>43</v>
      </c>
    </row>
    <row r="154" spans="1:33" x14ac:dyDescent="0.2">
      <c r="B154" s="208" t="s">
        <v>653</v>
      </c>
      <c r="C154" s="208">
        <v>19</v>
      </c>
      <c r="D154" s="208"/>
      <c r="E154" s="209" t="s">
        <v>629</v>
      </c>
      <c r="F154" s="208" t="s">
        <v>473</v>
      </c>
      <c r="G154" s="208"/>
      <c r="H154" s="208"/>
      <c r="I154" s="208"/>
      <c r="J154" s="208"/>
      <c r="K154" s="218"/>
      <c r="L154" s="218"/>
      <c r="M154" s="208"/>
      <c r="N154" s="208">
        <v>94</v>
      </c>
      <c r="O154" s="208" t="s">
        <v>532</v>
      </c>
      <c r="P154" s="208" t="s">
        <v>654</v>
      </c>
      <c r="T154" s="197" t="s">
        <v>1166</v>
      </c>
      <c r="U154" s="77"/>
      <c r="W154" s="197" t="s">
        <v>1096</v>
      </c>
      <c r="X154" s="207" t="s">
        <v>1152</v>
      </c>
    </row>
    <row r="155" spans="1:33" x14ac:dyDescent="0.2">
      <c r="B155" s="208"/>
      <c r="C155" s="208"/>
      <c r="D155" s="208"/>
      <c r="E155" s="209"/>
      <c r="F155" s="208" t="s">
        <v>474</v>
      </c>
      <c r="G155" s="208"/>
      <c r="H155" s="208"/>
      <c r="I155" s="208"/>
      <c r="J155" s="208"/>
      <c r="K155" s="218"/>
      <c r="L155" s="218"/>
      <c r="M155" s="208"/>
      <c r="N155" s="208">
        <v>94</v>
      </c>
      <c r="O155" s="208" t="s">
        <v>507</v>
      </c>
      <c r="P155" s="208" t="s">
        <v>655</v>
      </c>
      <c r="R155" s="197" t="s">
        <v>1127</v>
      </c>
      <c r="T155" s="197" t="s">
        <v>43</v>
      </c>
      <c r="U155" s="77" t="s">
        <v>1061</v>
      </c>
    </row>
    <row r="156" spans="1:33" x14ac:dyDescent="0.2">
      <c r="B156" s="208"/>
      <c r="C156" s="208"/>
      <c r="D156" s="208"/>
      <c r="E156" s="209"/>
      <c r="F156" s="208"/>
      <c r="G156" s="208"/>
      <c r="H156" s="208"/>
      <c r="I156" s="208"/>
      <c r="J156" s="208"/>
      <c r="K156" s="218"/>
      <c r="L156" s="218"/>
      <c r="M156" s="208"/>
      <c r="N156" s="208"/>
      <c r="O156" s="208"/>
      <c r="P156" s="208"/>
      <c r="R156" s="197" t="s">
        <v>1128</v>
      </c>
      <c r="T156" s="197" t="s">
        <v>1167</v>
      </c>
      <c r="U156" s="77"/>
      <c r="W156" s="197" t="s">
        <v>1097</v>
      </c>
      <c r="X156" s="198" t="s">
        <v>917</v>
      </c>
    </row>
    <row r="157" spans="1:33" x14ac:dyDescent="0.2">
      <c r="B157" s="208"/>
      <c r="C157" s="208"/>
      <c r="D157" s="208"/>
      <c r="E157" s="209"/>
      <c r="F157" s="208"/>
      <c r="G157" s="208"/>
      <c r="H157" s="208"/>
      <c r="I157" s="208"/>
      <c r="J157" s="208"/>
      <c r="K157" s="218"/>
      <c r="L157" s="218"/>
      <c r="M157" s="208"/>
      <c r="N157" s="208"/>
      <c r="O157" s="208"/>
      <c r="P157" s="208"/>
      <c r="R157" s="197" t="s">
        <v>1130</v>
      </c>
      <c r="T157" s="197" t="s">
        <v>43</v>
      </c>
      <c r="U157" s="77" t="s">
        <v>1062</v>
      </c>
      <c r="W157" s="197" t="s">
        <v>43</v>
      </c>
    </row>
    <row r="158" spans="1:33" x14ac:dyDescent="0.2">
      <c r="B158" s="77"/>
      <c r="C158" s="77"/>
      <c r="D158" s="77"/>
      <c r="E158" s="185"/>
      <c r="F158" s="195"/>
      <c r="G158" s="77"/>
      <c r="H158" s="77"/>
      <c r="I158" s="77"/>
      <c r="J158" s="77"/>
      <c r="K158" s="169"/>
      <c r="L158" s="169"/>
      <c r="M158" s="77"/>
      <c r="N158" s="77"/>
      <c r="O158" s="77"/>
      <c r="P158" s="77"/>
      <c r="R158" s="197" t="s">
        <v>1129</v>
      </c>
      <c r="T158" s="197"/>
      <c r="U158" s="77"/>
    </row>
    <row r="159" spans="1:33" x14ac:dyDescent="0.2">
      <c r="B159" s="208" t="s">
        <v>653</v>
      </c>
      <c r="C159" s="208">
        <v>20</v>
      </c>
      <c r="D159" s="208"/>
      <c r="E159" s="209" t="s">
        <v>630</v>
      </c>
      <c r="F159" s="208" t="s">
        <v>473</v>
      </c>
      <c r="G159" s="208"/>
      <c r="H159" s="208"/>
      <c r="I159" s="208"/>
      <c r="J159" s="208"/>
      <c r="K159" s="218"/>
      <c r="L159" s="218"/>
      <c r="M159" s="208"/>
      <c r="N159" s="208">
        <v>95</v>
      </c>
      <c r="O159" s="208" t="s">
        <v>532</v>
      </c>
      <c r="P159" s="208" t="s">
        <v>656</v>
      </c>
      <c r="T159" s="197" t="s">
        <v>1168</v>
      </c>
      <c r="U159" s="77"/>
      <c r="W159" s="197" t="s">
        <v>1098</v>
      </c>
    </row>
    <row r="160" spans="1:33" x14ac:dyDescent="0.2">
      <c r="B160" s="208"/>
      <c r="C160" s="208"/>
      <c r="D160" s="208"/>
      <c r="E160" s="209"/>
      <c r="F160" s="208" t="s">
        <v>474</v>
      </c>
      <c r="G160" s="208"/>
      <c r="H160" s="208"/>
      <c r="I160" s="208"/>
      <c r="J160" s="208"/>
      <c r="K160" s="218"/>
      <c r="L160" s="218"/>
      <c r="M160" s="208"/>
      <c r="N160" s="208">
        <v>95</v>
      </c>
      <c r="O160" s="208" t="s">
        <v>508</v>
      </c>
      <c r="P160" s="208" t="s">
        <v>657</v>
      </c>
      <c r="R160" s="197" t="s">
        <v>1131</v>
      </c>
      <c r="T160" s="197" t="s">
        <v>43</v>
      </c>
      <c r="U160" s="77" t="s">
        <v>1063</v>
      </c>
      <c r="X160" s="207" t="s">
        <v>1153</v>
      </c>
    </row>
    <row r="161" spans="1:33" x14ac:dyDescent="0.2">
      <c r="B161" s="208"/>
      <c r="C161" s="208"/>
      <c r="D161" s="208"/>
      <c r="E161" s="209"/>
      <c r="F161" s="208"/>
      <c r="G161" s="208"/>
      <c r="H161" s="208"/>
      <c r="I161" s="208"/>
      <c r="J161" s="208"/>
      <c r="K161" s="218"/>
      <c r="L161" s="218"/>
      <c r="M161" s="208"/>
      <c r="N161" s="208"/>
      <c r="O161" s="208"/>
      <c r="P161" s="208"/>
      <c r="R161" s="197" t="s">
        <v>1132</v>
      </c>
      <c r="T161" s="197" t="s">
        <v>1169</v>
      </c>
      <c r="U161" s="77"/>
      <c r="W161" s="197" t="s">
        <v>1099</v>
      </c>
    </row>
    <row r="162" spans="1:33" x14ac:dyDescent="0.2">
      <c r="B162" s="208"/>
      <c r="C162" s="208"/>
      <c r="D162" s="208"/>
      <c r="E162" s="209"/>
      <c r="F162" s="208"/>
      <c r="G162" s="208"/>
      <c r="H162" s="208"/>
      <c r="I162" s="208"/>
      <c r="J162" s="208"/>
      <c r="K162" s="218"/>
      <c r="L162" s="218"/>
      <c r="M162" s="208"/>
      <c r="N162" s="208"/>
      <c r="O162" s="208"/>
      <c r="P162" s="208"/>
      <c r="R162" s="197" t="s">
        <v>1133</v>
      </c>
      <c r="T162" s="197" t="s">
        <v>43</v>
      </c>
      <c r="U162" s="77" t="s">
        <v>1064</v>
      </c>
      <c r="X162" s="198" t="s">
        <v>917</v>
      </c>
    </row>
    <row r="163" spans="1:33" x14ac:dyDescent="0.2">
      <c r="B163" s="77"/>
      <c r="C163" s="77"/>
      <c r="D163" s="77"/>
      <c r="E163" s="185"/>
      <c r="F163" s="195"/>
      <c r="G163" s="195"/>
      <c r="H163" s="77"/>
      <c r="I163" s="77"/>
      <c r="J163" s="77"/>
      <c r="K163" s="169"/>
      <c r="L163" s="169"/>
      <c r="M163" s="77"/>
      <c r="N163" s="195"/>
      <c r="O163" s="195"/>
      <c r="P163" s="195"/>
      <c r="R163" s="197" t="s">
        <v>1134</v>
      </c>
      <c r="T163" s="197"/>
      <c r="U163" s="77"/>
      <c r="W163" s="197" t="s">
        <v>43</v>
      </c>
    </row>
    <row r="164" spans="1:33" x14ac:dyDescent="0.2">
      <c r="B164" s="208" t="s">
        <v>649</v>
      </c>
      <c r="C164" s="208">
        <v>21</v>
      </c>
      <c r="D164" s="208"/>
      <c r="E164" s="209" t="s">
        <v>648</v>
      </c>
      <c r="F164" s="208" t="s">
        <v>473</v>
      </c>
      <c r="G164" s="208"/>
      <c r="H164" s="208"/>
      <c r="I164" s="208"/>
      <c r="J164" s="208"/>
      <c r="K164" s="218"/>
      <c r="L164" s="218"/>
      <c r="M164" s="208"/>
      <c r="N164" s="208">
        <v>93</v>
      </c>
      <c r="O164" s="208" t="s">
        <v>507</v>
      </c>
      <c r="P164" s="208" t="s">
        <v>650</v>
      </c>
      <c r="T164" s="197" t="s">
        <v>1170</v>
      </c>
      <c r="U164" s="77"/>
      <c r="W164" s="197" t="s">
        <v>1100</v>
      </c>
    </row>
    <row r="165" spans="1:33" x14ac:dyDescent="0.2">
      <c r="B165" s="208"/>
      <c r="C165" s="208"/>
      <c r="D165" s="208"/>
      <c r="E165" s="226"/>
      <c r="F165" s="208" t="s">
        <v>474</v>
      </c>
      <c r="G165" s="208"/>
      <c r="H165" s="208"/>
      <c r="I165" s="208"/>
      <c r="J165" s="208"/>
      <c r="K165" s="218"/>
      <c r="L165" s="218"/>
      <c r="M165" s="208"/>
      <c r="N165" s="208">
        <v>93</v>
      </c>
      <c r="O165" s="208" t="s">
        <v>534</v>
      </c>
      <c r="P165" s="208" t="s">
        <v>651</v>
      </c>
      <c r="R165" s="197" t="s">
        <v>1135</v>
      </c>
      <c r="T165" s="197" t="s">
        <v>43</v>
      </c>
      <c r="U165" s="77" t="s">
        <v>1065</v>
      </c>
      <c r="W165" s="197" t="s">
        <v>43</v>
      </c>
      <c r="X165" s="207" t="s">
        <v>1154</v>
      </c>
    </row>
    <row r="166" spans="1:33" x14ac:dyDescent="0.2">
      <c r="B166" s="208"/>
      <c r="C166" s="208"/>
      <c r="D166" s="208"/>
      <c r="E166" s="226"/>
      <c r="F166" s="208" t="s">
        <v>475</v>
      </c>
      <c r="G166" s="208"/>
      <c r="H166" s="208"/>
      <c r="I166" s="208"/>
      <c r="J166" s="208"/>
      <c r="K166" s="218"/>
      <c r="L166" s="218"/>
      <c r="M166" s="208"/>
      <c r="N166" s="208">
        <v>93</v>
      </c>
      <c r="O166" s="208" t="s">
        <v>507</v>
      </c>
      <c r="P166" s="208" t="s">
        <v>652</v>
      </c>
      <c r="R166" s="197" t="s">
        <v>1136</v>
      </c>
      <c r="T166" s="197" t="s">
        <v>1171</v>
      </c>
      <c r="U166" s="77"/>
      <c r="W166" s="197" t="s">
        <v>1101</v>
      </c>
    </row>
    <row r="167" spans="1:33" x14ac:dyDescent="0.2">
      <c r="R167" s="197" t="s">
        <v>1137</v>
      </c>
      <c r="T167" s="197"/>
      <c r="U167" s="77" t="s">
        <v>1066</v>
      </c>
      <c r="X167" s="198" t="s">
        <v>917</v>
      </c>
    </row>
    <row r="168" spans="1:33" s="195" customFormat="1" x14ac:dyDescent="0.2">
      <c r="A168" s="185"/>
      <c r="B168" s="215"/>
      <c r="C168" s="198"/>
      <c r="D168" s="198"/>
      <c r="E168" s="190"/>
      <c r="F168" s="196"/>
      <c r="G168" s="196"/>
      <c r="H168" s="198"/>
      <c r="I168" s="198"/>
      <c r="J168" s="198"/>
      <c r="K168" s="212"/>
      <c r="L168" s="212"/>
      <c r="M168" s="198"/>
      <c r="N168" s="215"/>
      <c r="O168" s="215"/>
      <c r="P168" s="215"/>
      <c r="Q168" s="77" t="s">
        <v>43</v>
      </c>
      <c r="R168" s="197" t="s">
        <v>1138</v>
      </c>
      <c r="S168" s="77"/>
      <c r="T168" s="219"/>
      <c r="U168" s="77"/>
      <c r="V168" s="77"/>
      <c r="W168" s="197"/>
      <c r="X168" s="198"/>
      <c r="Z168" s="77"/>
      <c r="AA168" s="77"/>
      <c r="AB168" s="77"/>
      <c r="AC168" s="201"/>
      <c r="AD168" s="169"/>
      <c r="AE168" s="199"/>
      <c r="AF168" s="199"/>
      <c r="AG168" s="199"/>
    </row>
    <row r="169" spans="1:33" s="195" customFormat="1" x14ac:dyDescent="0.2">
      <c r="A169" s="264" t="s">
        <v>647</v>
      </c>
      <c r="B169" s="215"/>
      <c r="C169" s="198"/>
      <c r="D169" s="198"/>
      <c r="E169" s="190"/>
      <c r="F169" s="196"/>
      <c r="G169" s="196"/>
      <c r="H169" s="198"/>
      <c r="I169" s="198"/>
      <c r="J169" s="198"/>
      <c r="K169" s="212"/>
      <c r="L169" s="212"/>
      <c r="M169" s="198"/>
      <c r="N169" s="215"/>
      <c r="O169" s="215"/>
      <c r="P169" s="215"/>
      <c r="Q169" s="77" t="s">
        <v>43</v>
      </c>
      <c r="R169" s="219"/>
      <c r="S169" s="77"/>
      <c r="T169" s="219"/>
      <c r="U169" s="77"/>
      <c r="V169" s="77"/>
      <c r="W169" s="219"/>
      <c r="X169" s="77"/>
      <c r="Z169" s="77"/>
      <c r="AA169" s="77"/>
      <c r="AB169" s="77"/>
      <c r="AC169" s="201"/>
      <c r="AD169" s="169"/>
      <c r="AE169" s="199"/>
      <c r="AF169" s="199"/>
      <c r="AG169" s="199"/>
    </row>
    <row r="170" spans="1:33" s="195" customFormat="1" x14ac:dyDescent="0.2">
      <c r="A170" s="185"/>
      <c r="B170" s="215"/>
      <c r="C170" s="198"/>
      <c r="D170" s="198"/>
      <c r="E170" s="190"/>
      <c r="F170" s="196"/>
      <c r="G170" s="196"/>
      <c r="H170" s="198"/>
      <c r="I170" s="198"/>
      <c r="J170" s="198"/>
      <c r="K170" s="212"/>
      <c r="L170" s="212"/>
      <c r="M170" s="198"/>
      <c r="N170" s="215"/>
      <c r="O170" s="215"/>
      <c r="P170" s="215"/>
      <c r="Q170" s="77" t="s">
        <v>43</v>
      </c>
      <c r="R170" s="219"/>
      <c r="S170" s="77"/>
      <c r="T170" s="219"/>
      <c r="U170" s="77"/>
      <c r="V170" s="77"/>
      <c r="W170" s="219"/>
      <c r="X170" s="77"/>
      <c r="Z170" s="77"/>
      <c r="AA170" s="77"/>
      <c r="AB170" s="77"/>
      <c r="AC170" s="201"/>
      <c r="AD170" s="169"/>
      <c r="AE170" s="199"/>
      <c r="AF170" s="199"/>
      <c r="AG170" s="199"/>
    </row>
    <row r="171" spans="1:33" s="195" customFormat="1" x14ac:dyDescent="0.2">
      <c r="A171" s="185"/>
      <c r="B171" s="215"/>
      <c r="C171" s="198"/>
      <c r="D171" s="198"/>
      <c r="E171" s="190"/>
      <c r="F171" s="196"/>
      <c r="G171" s="196"/>
      <c r="H171" s="198"/>
      <c r="I171" s="198"/>
      <c r="J171" s="198"/>
      <c r="K171" s="212"/>
      <c r="L171" s="212"/>
      <c r="M171" s="198"/>
      <c r="N171" s="215"/>
      <c r="O171" s="215"/>
      <c r="P171" s="215"/>
      <c r="Q171" s="77" t="s">
        <v>43</v>
      </c>
      <c r="R171" s="219"/>
      <c r="S171" s="77"/>
      <c r="T171" s="219"/>
      <c r="U171" s="77"/>
      <c r="V171" s="77"/>
      <c r="W171" s="219"/>
      <c r="Z171" s="77"/>
      <c r="AA171" s="77"/>
      <c r="AB171" s="77"/>
      <c r="AC171" s="201"/>
      <c r="AD171" s="169"/>
      <c r="AE171" s="199"/>
      <c r="AF171" s="199"/>
      <c r="AG171" s="199"/>
    </row>
    <row r="172" spans="1:33" s="195" customFormat="1" x14ac:dyDescent="0.2">
      <c r="A172" s="185"/>
      <c r="K172" s="227"/>
      <c r="L172" s="227"/>
      <c r="Q172" s="77"/>
      <c r="R172" s="219"/>
      <c r="S172" s="77"/>
      <c r="T172" s="219"/>
      <c r="U172" s="77"/>
      <c r="V172" s="77"/>
      <c r="W172" s="219"/>
      <c r="X172" s="77"/>
      <c r="Z172" s="77"/>
      <c r="AA172" s="77"/>
      <c r="AB172" s="77"/>
      <c r="AC172" s="201"/>
      <c r="AD172" s="169"/>
      <c r="AE172" s="199"/>
      <c r="AF172" s="199"/>
      <c r="AG172" s="199"/>
    </row>
    <row r="173" spans="1:33" s="195" customFormat="1" x14ac:dyDescent="0.2">
      <c r="A173" s="263" t="s">
        <v>1356</v>
      </c>
      <c r="K173" s="227"/>
      <c r="L173" s="227"/>
      <c r="Q173" s="77" t="s">
        <v>43</v>
      </c>
      <c r="R173" s="219"/>
      <c r="S173" s="77"/>
      <c r="T173" s="219"/>
      <c r="U173" s="77"/>
      <c r="V173" s="77"/>
      <c r="W173" s="219"/>
      <c r="X173" s="77"/>
      <c r="Z173" s="77"/>
      <c r="AA173" s="77"/>
      <c r="AB173" s="77"/>
      <c r="AC173" s="201"/>
      <c r="AD173" s="169"/>
      <c r="AE173" s="199"/>
      <c r="AF173" s="199"/>
      <c r="AG173" s="199"/>
    </row>
    <row r="174" spans="1:33" s="195" customFormat="1" x14ac:dyDescent="0.2">
      <c r="K174" s="227"/>
      <c r="L174" s="227"/>
      <c r="Q174" s="77" t="s">
        <v>43</v>
      </c>
      <c r="R174" s="219"/>
      <c r="S174" s="77"/>
      <c r="T174" s="219"/>
      <c r="U174" s="77"/>
      <c r="V174" s="77"/>
      <c r="W174" s="219"/>
      <c r="X174" s="77"/>
      <c r="Z174" s="77"/>
      <c r="AA174" s="77"/>
      <c r="AB174" s="77"/>
      <c r="AC174" s="201"/>
      <c r="AD174" s="169"/>
      <c r="AE174" s="199"/>
      <c r="AF174" s="199"/>
      <c r="AG174" s="199"/>
    </row>
    <row r="175" spans="1:33" s="195" customFormat="1" x14ac:dyDescent="0.2">
      <c r="A175" s="185" t="s">
        <v>1358</v>
      </c>
      <c r="K175" s="227"/>
      <c r="L175" s="227"/>
      <c r="Q175" s="77" t="s">
        <v>43</v>
      </c>
      <c r="R175" s="219"/>
      <c r="S175" s="77"/>
      <c r="T175" s="219"/>
      <c r="U175" s="77"/>
      <c r="V175" s="77"/>
      <c r="W175" s="219"/>
      <c r="X175" s="77"/>
      <c r="Z175" s="77"/>
      <c r="AA175" s="77"/>
      <c r="AB175" s="77"/>
      <c r="AC175" s="201"/>
      <c r="AD175" s="169"/>
      <c r="AE175" s="199"/>
      <c r="AF175" s="199"/>
      <c r="AG175" s="199"/>
    </row>
    <row r="176" spans="1:33" s="195" customFormat="1" x14ac:dyDescent="0.2">
      <c r="A176" s="185"/>
      <c r="K176" s="227"/>
      <c r="L176" s="227"/>
      <c r="Q176" s="77" t="s">
        <v>43</v>
      </c>
      <c r="R176" s="219"/>
      <c r="S176" s="77"/>
      <c r="T176" s="219"/>
      <c r="U176" s="77"/>
      <c r="V176" s="77"/>
      <c r="W176" s="219"/>
      <c r="Z176" s="77"/>
      <c r="AA176" s="77"/>
      <c r="AB176" s="77"/>
      <c r="AC176" s="201"/>
      <c r="AD176" s="169"/>
      <c r="AE176" s="199"/>
      <c r="AF176" s="199"/>
      <c r="AG176" s="199"/>
    </row>
    <row r="177" spans="1:24" x14ac:dyDescent="0.2">
      <c r="A177" s="190" t="s">
        <v>1359</v>
      </c>
      <c r="B177" s="195"/>
      <c r="C177" s="195"/>
      <c r="D177" s="195"/>
      <c r="E177" s="195"/>
      <c r="F177" s="195"/>
      <c r="G177" s="195"/>
      <c r="H177" s="195"/>
      <c r="I177" s="195"/>
      <c r="J177" s="195"/>
      <c r="K177" s="227"/>
      <c r="L177" s="227"/>
      <c r="M177" s="195"/>
      <c r="N177" s="195"/>
      <c r="O177" s="195"/>
      <c r="P177" s="195"/>
      <c r="R177" s="219"/>
      <c r="W177" s="219"/>
      <c r="X177" s="77"/>
    </row>
    <row r="178" spans="1:24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227"/>
      <c r="L178" s="227"/>
      <c r="M178" s="195"/>
      <c r="N178" s="195"/>
      <c r="O178" s="195"/>
      <c r="P178" s="195"/>
    </row>
    <row r="179" spans="1:24" x14ac:dyDescent="0.2">
      <c r="A179" s="190" t="s">
        <v>1360</v>
      </c>
      <c r="B179" s="195"/>
      <c r="C179" s="195"/>
      <c r="D179" s="195"/>
      <c r="E179" s="195"/>
      <c r="F179" s="195"/>
      <c r="G179" s="195"/>
      <c r="H179" s="195"/>
      <c r="I179" s="195"/>
      <c r="J179" s="195"/>
      <c r="K179" s="227"/>
      <c r="L179" s="227"/>
      <c r="M179" s="195"/>
      <c r="N179" s="195"/>
      <c r="O179" s="195"/>
      <c r="P179" s="195"/>
    </row>
    <row r="180" spans="1:24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227"/>
      <c r="L180" s="227"/>
      <c r="M180" s="195"/>
      <c r="N180" s="195"/>
      <c r="O180" s="195"/>
      <c r="P180" s="195"/>
    </row>
    <row r="181" spans="1:24" x14ac:dyDescent="0.2">
      <c r="A181" s="190" t="s">
        <v>1361</v>
      </c>
    </row>
    <row r="183" spans="1:24" x14ac:dyDescent="0.2">
      <c r="A183" s="190" t="s">
        <v>1362</v>
      </c>
    </row>
    <row r="185" spans="1:24" x14ac:dyDescent="0.2">
      <c r="A185" s="190" t="s">
        <v>1363</v>
      </c>
    </row>
    <row r="187" spans="1:24" x14ac:dyDescent="0.2">
      <c r="A187" s="190" t="s">
        <v>1364</v>
      </c>
    </row>
    <row r="189" spans="1:24" x14ac:dyDescent="0.2">
      <c r="A189" s="190" t="s">
        <v>1365</v>
      </c>
    </row>
    <row r="191" spans="1:24" ht="25.5" x14ac:dyDescent="0.2">
      <c r="A191" s="263" t="s">
        <v>1357</v>
      </c>
    </row>
    <row r="193" spans="1:1" x14ac:dyDescent="0.2">
      <c r="A193" s="190" t="s">
        <v>1366</v>
      </c>
    </row>
    <row r="195" spans="1:1" x14ac:dyDescent="0.2">
      <c r="A195" s="190" t="s">
        <v>1367</v>
      </c>
    </row>
  </sheetData>
  <mergeCells count="5">
    <mergeCell ref="J1:M1"/>
    <mergeCell ref="AE1:AG1"/>
    <mergeCell ref="AE2:AG2"/>
    <mergeCell ref="AE3:AG3"/>
    <mergeCell ref="J2:M2"/>
  </mergeCells>
  <printOptions gridLines="1"/>
  <pageMargins left="0.25" right="0.25" top="0.75" bottom="0.75" header="0.3" footer="0.3"/>
  <pageSetup paperSize="17" scale="32" fitToHeight="0" orientation="landscape" r:id="rId1"/>
  <headerFooter>
    <oddFooter>&amp;L&amp;Z&amp;F&amp;C&amp;A&amp;R&amp;P / &amp;N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shapeId="13313" r:id="rId4">
          <objectPr defaultSize="0" autoPict="0" r:id="rId5">
            <anchor moveWithCells="1">
              <from>
                <xdr:col>5</xdr:col>
                <xdr:colOff>276225</xdr:colOff>
                <xdr:row>199</xdr:row>
                <xdr:rowOff>38100</xdr:rowOff>
              </from>
              <to>
                <xdr:col>12</xdr:col>
                <xdr:colOff>466725</xdr:colOff>
                <xdr:row>249</xdr:row>
                <xdr:rowOff>142875</xdr:rowOff>
              </to>
            </anchor>
          </objectPr>
        </oleObject>
      </mc:Choice>
      <mc:Fallback>
        <oleObject progId="AcroExch.Document.DC"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8" sqref="L18"/>
    </sheetView>
  </sheetViews>
  <sheetFormatPr defaultRowHeight="12.75" x14ac:dyDescent="0.2"/>
  <cols>
    <col min="2" max="2" width="14.28515625" customWidth="1"/>
    <col min="4" max="4" width="10.7109375" customWidth="1"/>
    <col min="8" max="8" width="16" customWidth="1"/>
  </cols>
  <sheetData>
    <row r="1" spans="1:8" x14ac:dyDescent="0.2">
      <c r="A1" s="12" t="s">
        <v>43</v>
      </c>
    </row>
    <row r="2" spans="1:8" x14ac:dyDescent="0.2">
      <c r="D2" s="12" t="s">
        <v>1383</v>
      </c>
    </row>
    <row r="3" spans="1:8" x14ac:dyDescent="0.2">
      <c r="B3" s="12" t="s">
        <v>1379</v>
      </c>
      <c r="D3" s="12" t="s">
        <v>1381</v>
      </c>
    </row>
    <row r="4" spans="1:8" x14ac:dyDescent="0.2">
      <c r="B4" s="15" t="s">
        <v>851</v>
      </c>
      <c r="C4" s="15" t="s">
        <v>506</v>
      </c>
    </row>
    <row r="5" spans="1:8" x14ac:dyDescent="0.2">
      <c r="B5" s="15" t="s">
        <v>618</v>
      </c>
      <c r="C5" s="15" t="s">
        <v>1380</v>
      </c>
      <c r="H5" s="15" t="s">
        <v>1395</v>
      </c>
    </row>
    <row r="6" spans="1:8" x14ac:dyDescent="0.2">
      <c r="B6" s="77">
        <v>4.22</v>
      </c>
      <c r="C6" s="77">
        <v>1.8379000000000001</v>
      </c>
      <c r="H6" s="12" t="s">
        <v>1390</v>
      </c>
    </row>
    <row r="7" spans="1:8" x14ac:dyDescent="0.2">
      <c r="B7" s="77">
        <v>77.349999999999994</v>
      </c>
      <c r="C7" s="77">
        <v>6.6759000000000004</v>
      </c>
    </row>
    <row r="8" spans="1:8" x14ac:dyDescent="0.2">
      <c r="B8" s="77">
        <v>273.2</v>
      </c>
      <c r="C8" s="77">
        <v>27.006</v>
      </c>
    </row>
    <row r="11" spans="1:8" x14ac:dyDescent="0.2">
      <c r="B11" s="12" t="s">
        <v>1382</v>
      </c>
      <c r="D11" s="12" t="s">
        <v>1383</v>
      </c>
      <c r="H11" s="15" t="s">
        <v>1391</v>
      </c>
    </row>
    <row r="12" spans="1:8" x14ac:dyDescent="0.2">
      <c r="B12" s="12" t="s">
        <v>804</v>
      </c>
      <c r="C12" s="268">
        <v>1E-4</v>
      </c>
      <c r="D12" s="269">
        <v>1.0000000000000001E-5</v>
      </c>
      <c r="H12" s="268">
        <f>-0.2178*D12^2+16.9703*D12</f>
        <v>1.6970297822000002E-4</v>
      </c>
    </row>
    <row r="14" spans="1:8" x14ac:dyDescent="0.2">
      <c r="B14" s="12" t="s">
        <v>1384</v>
      </c>
      <c r="D14" s="12" t="s">
        <v>1383</v>
      </c>
    </row>
    <row r="15" spans="1:8" x14ac:dyDescent="0.2">
      <c r="B15" s="12" t="s">
        <v>1385</v>
      </c>
      <c r="D15" s="268">
        <v>3.2000000000000003E-4</v>
      </c>
      <c r="H15" s="268">
        <f t="shared" ref="H15:H17" si="0">-0.2178*D15^2+16.9703*D15</f>
        <v>5.430473697280001E-3</v>
      </c>
    </row>
    <row r="16" spans="1:8" x14ac:dyDescent="0.2">
      <c r="B16" s="271" t="s">
        <v>1386</v>
      </c>
      <c r="C16" s="272"/>
      <c r="D16" s="273">
        <v>1.6000000000000001E-4</v>
      </c>
      <c r="H16" s="268">
        <f t="shared" si="0"/>
        <v>2.7152424243200002E-3</v>
      </c>
    </row>
    <row r="17" spans="2:10" x14ac:dyDescent="0.2">
      <c r="B17" s="12" t="s">
        <v>1387</v>
      </c>
      <c r="D17" s="268">
        <v>8.0000000000000007E-5</v>
      </c>
      <c r="H17" s="268">
        <f t="shared" si="0"/>
        <v>1.3576226060800002E-3</v>
      </c>
    </row>
    <row r="20" spans="2:10" x14ac:dyDescent="0.2">
      <c r="B20" s="12" t="s">
        <v>1388</v>
      </c>
    </row>
    <row r="21" spans="2:10" x14ac:dyDescent="0.2">
      <c r="B21" s="12" t="s">
        <v>1389</v>
      </c>
      <c r="C21" s="12" t="s">
        <v>1393</v>
      </c>
      <c r="D21">
        <f>0.01*0.0003</f>
        <v>2.9999999999999997E-6</v>
      </c>
      <c r="E21" s="270">
        <v>2.9999999999999997E-4</v>
      </c>
      <c r="H21" s="268">
        <f t="shared" ref="H21:H22" si="1">-0.2178*D21^2+16.9703*D21</f>
        <v>5.09108980398E-5</v>
      </c>
    </row>
    <row r="22" spans="2:10" x14ac:dyDescent="0.2">
      <c r="C22" s="12" t="s">
        <v>1392</v>
      </c>
      <c r="D22" s="268">
        <v>5.0000000000000004E-6</v>
      </c>
      <c r="E22" s="12" t="s">
        <v>1394</v>
      </c>
      <c r="H22" s="268">
        <f t="shared" si="1"/>
        <v>8.4851494555000012E-5</v>
      </c>
    </row>
    <row r="24" spans="2:10" x14ac:dyDescent="0.2">
      <c r="H24" s="15" t="s">
        <v>1396</v>
      </c>
    </row>
    <row r="25" spans="2:10" x14ac:dyDescent="0.2">
      <c r="H25" s="268">
        <f>H12+H16+H21</f>
        <v>2.9358563005798003E-3</v>
      </c>
      <c r="I25" s="12" t="s">
        <v>618</v>
      </c>
      <c r="J25" s="12" t="s">
        <v>1397</v>
      </c>
    </row>
    <row r="26" spans="2:10" x14ac:dyDescent="0.2">
      <c r="H26" s="15" t="s">
        <v>1398</v>
      </c>
    </row>
    <row r="27" spans="2:10" x14ac:dyDescent="0.2">
      <c r="H27" s="268">
        <f>SQRT(H12^2+H16^2+H21^2+H22^2)</f>
        <v>2.7223394753981963E-3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Ruler="0" view="pageLayout" topLeftCell="B1" zoomScaleNormal="100" workbookViewId="0">
      <selection activeCell="E5" sqref="E5:M7"/>
    </sheetView>
  </sheetViews>
  <sheetFormatPr defaultColWidth="7.85546875" defaultRowHeight="12.75" x14ac:dyDescent="0.2"/>
  <cols>
    <col min="1" max="1" width="37" style="15" customWidth="1"/>
    <col min="2" max="8" width="12.7109375" style="15" customWidth="1"/>
    <col min="9" max="9" width="14.42578125" style="128" customWidth="1"/>
    <col min="10" max="10" width="7.7109375" style="15" customWidth="1"/>
    <col min="11" max="12" width="18" style="15" customWidth="1"/>
    <col min="13" max="13" width="12.7109375" style="15" customWidth="1"/>
    <col min="14" max="14" width="13" style="144" customWidth="1"/>
    <col min="15" max="15" width="7.7109375" style="12" customWidth="1"/>
    <col min="16" max="16" width="15.85546875" style="15" customWidth="1"/>
    <col min="17" max="17" width="15.85546875" style="144" customWidth="1"/>
    <col min="18" max="18" width="7.7109375" style="12" customWidth="1"/>
    <col min="19" max="19" width="10.28515625" style="145" customWidth="1"/>
    <col min="20" max="20" width="13.140625" style="12" customWidth="1"/>
    <col min="21" max="21" width="24.42578125" style="15" customWidth="1"/>
    <col min="22" max="23" width="7.85546875" style="15"/>
    <col min="24" max="24" width="12" style="130" bestFit="1" customWidth="1"/>
    <col min="25" max="25" width="7.85546875" style="15"/>
    <col min="26" max="16384" width="7.85546875" style="12"/>
  </cols>
  <sheetData>
    <row r="1" spans="1:25" s="153" customFormat="1" ht="44.25" customHeight="1" x14ac:dyDescent="0.2">
      <c r="A1" s="168" t="s">
        <v>316</v>
      </c>
      <c r="B1" s="168" t="s">
        <v>752</v>
      </c>
      <c r="C1" s="168" t="s">
        <v>778</v>
      </c>
      <c r="D1" s="168" t="s">
        <v>478</v>
      </c>
      <c r="E1" s="291" t="s">
        <v>1276</v>
      </c>
      <c r="F1" s="291"/>
      <c r="G1" s="291"/>
      <c r="H1" s="291"/>
      <c r="I1" s="168" t="s">
        <v>779</v>
      </c>
      <c r="J1" s="168" t="s">
        <v>476</v>
      </c>
      <c r="K1" s="152" t="s">
        <v>484</v>
      </c>
      <c r="L1" s="152" t="s">
        <v>1231</v>
      </c>
      <c r="M1" s="168" t="s">
        <v>489</v>
      </c>
      <c r="N1" s="158" t="s">
        <v>886</v>
      </c>
      <c r="O1" s="168" t="s">
        <v>489</v>
      </c>
      <c r="P1" s="152" t="s">
        <v>220</v>
      </c>
      <c r="Q1" s="154" t="s">
        <v>938</v>
      </c>
      <c r="R1" s="152" t="s">
        <v>489</v>
      </c>
      <c r="S1" s="154" t="s">
        <v>1184</v>
      </c>
      <c r="T1" s="152" t="s">
        <v>885</v>
      </c>
      <c r="X1" s="160"/>
    </row>
    <row r="2" spans="1:25" s="167" customFormat="1" ht="89.25" customHeight="1" x14ac:dyDescent="0.2">
      <c r="A2" s="161" t="s">
        <v>315</v>
      </c>
      <c r="B2" s="162" t="s">
        <v>43</v>
      </c>
      <c r="C2" s="162"/>
      <c r="D2" s="168" t="s">
        <v>743</v>
      </c>
      <c r="E2" s="291" t="s">
        <v>1273</v>
      </c>
      <c r="F2" s="291"/>
      <c r="G2" s="291"/>
      <c r="H2" s="291"/>
      <c r="I2" s="168" t="s">
        <v>43</v>
      </c>
      <c r="J2" s="163"/>
      <c r="K2" s="152" t="s">
        <v>742</v>
      </c>
      <c r="L2" s="152"/>
      <c r="M2" s="163"/>
      <c r="N2" s="164"/>
      <c r="O2" s="155"/>
      <c r="P2" s="161" t="s">
        <v>1185</v>
      </c>
      <c r="Q2" s="165" t="s">
        <v>1186</v>
      </c>
      <c r="R2" s="161"/>
      <c r="S2" s="164"/>
      <c r="T2" s="157" t="s">
        <v>1213</v>
      </c>
      <c r="U2" s="163"/>
      <c r="V2" s="163"/>
      <c r="W2" s="163"/>
      <c r="X2" s="166"/>
      <c r="Y2" s="163"/>
    </row>
    <row r="3" spans="1:25" s="167" customFormat="1" ht="51" x14ac:dyDescent="0.2">
      <c r="A3" s="163"/>
      <c r="E3" s="156" t="s">
        <v>1242</v>
      </c>
      <c r="F3" s="159" t="s">
        <v>1275</v>
      </c>
      <c r="G3" s="159"/>
      <c r="H3" s="156" t="s">
        <v>1239</v>
      </c>
      <c r="I3" s="236" t="s">
        <v>43</v>
      </c>
      <c r="J3" s="237"/>
      <c r="K3" s="237"/>
      <c r="L3" s="237"/>
      <c r="M3" s="163"/>
      <c r="N3" s="165" t="s">
        <v>1183</v>
      </c>
      <c r="O3" s="237"/>
      <c r="P3" s="163"/>
      <c r="Q3" s="164"/>
      <c r="R3" s="163"/>
      <c r="S3" s="165" t="s">
        <v>1195</v>
      </c>
      <c r="U3" s="163"/>
      <c r="V3" s="163"/>
      <c r="W3" s="163"/>
      <c r="X3" s="166"/>
      <c r="Y3" s="163"/>
    </row>
    <row r="4" spans="1:25" s="233" customFormat="1" ht="51" x14ac:dyDescent="0.2">
      <c r="A4" s="229"/>
      <c r="B4" s="229"/>
      <c r="C4" s="229"/>
      <c r="D4" s="229"/>
      <c r="E4" s="230" t="s">
        <v>1242</v>
      </c>
      <c r="F4" s="231" t="s">
        <v>1274</v>
      </c>
      <c r="G4" s="231" t="s">
        <v>1251</v>
      </c>
      <c r="H4" s="230" t="s">
        <v>1286</v>
      </c>
      <c r="I4" s="153"/>
      <c r="J4" s="229" t="s">
        <v>506</v>
      </c>
      <c r="K4" s="229" t="s">
        <v>1301</v>
      </c>
      <c r="L4" s="229" t="s">
        <v>846</v>
      </c>
      <c r="M4" s="229" t="s">
        <v>839</v>
      </c>
      <c r="N4" s="232"/>
      <c r="P4" s="229"/>
      <c r="Q4" s="232"/>
      <c r="S4" s="234"/>
      <c r="U4" s="229"/>
      <c r="V4" s="229"/>
      <c r="W4" s="229"/>
      <c r="X4" s="235"/>
      <c r="Y4" s="229"/>
    </row>
    <row r="5" spans="1:25" s="233" customFormat="1" ht="25.5" customHeight="1" x14ac:dyDescent="0.2">
      <c r="A5" s="229"/>
      <c r="B5" s="229"/>
      <c r="C5" s="229"/>
      <c r="D5" s="229"/>
      <c r="E5" s="292" t="s">
        <v>1293</v>
      </c>
      <c r="F5" s="292"/>
      <c r="G5" s="231">
        <v>4.12</v>
      </c>
      <c r="H5" s="230" t="s">
        <v>1292</v>
      </c>
      <c r="I5" s="153"/>
      <c r="J5" s="229">
        <f>K5*L5/M5</f>
        <v>4.0000000000000009</v>
      </c>
      <c r="K5" s="238">
        <v>2.1875200000000003E-8</v>
      </c>
      <c r="L5" s="238">
        <v>12500</v>
      </c>
      <c r="M5" s="238">
        <v>6.8360000000000003E-5</v>
      </c>
      <c r="N5" s="232"/>
      <c r="P5" s="229"/>
      <c r="Q5" s="232"/>
      <c r="S5" s="234"/>
      <c r="U5" s="229"/>
      <c r="V5" s="229"/>
      <c r="W5" s="229"/>
      <c r="X5" s="235"/>
      <c r="Y5" s="229"/>
    </row>
    <row r="6" spans="1:25" x14ac:dyDescent="0.2">
      <c r="A6" s="15" t="s">
        <v>794</v>
      </c>
      <c r="E6" s="292" t="s">
        <v>1293</v>
      </c>
      <c r="F6" s="292"/>
      <c r="G6" s="15">
        <v>3.99</v>
      </c>
      <c r="H6" s="15" t="s">
        <v>1297</v>
      </c>
      <c r="J6" s="229">
        <f>K6*L6/M6</f>
        <v>4.0000000000000009</v>
      </c>
      <c r="K6" s="238">
        <v>2.7E-8</v>
      </c>
      <c r="L6" s="238">
        <v>10127.407407407409</v>
      </c>
      <c r="M6" s="238">
        <v>6.8360000000000003E-5</v>
      </c>
    </row>
    <row r="7" spans="1:25" ht="25.5" x14ac:dyDescent="0.2">
      <c r="E7" s="128" t="s">
        <v>1296</v>
      </c>
      <c r="F7" s="15" t="s">
        <v>1295</v>
      </c>
      <c r="G7" s="15" t="s">
        <v>1294</v>
      </c>
      <c r="H7" s="15" t="s">
        <v>1298</v>
      </c>
      <c r="J7" s="229">
        <f>K7*L7/M7</f>
        <v>4.0001348096013256</v>
      </c>
      <c r="K7" s="238">
        <v>2.7E-8</v>
      </c>
      <c r="L7" s="238">
        <v>12500</v>
      </c>
      <c r="M7" s="238">
        <v>8.4372156455806316E-5</v>
      </c>
    </row>
    <row r="8" spans="1:25" x14ac:dyDescent="0.2">
      <c r="E8" s="128"/>
    </row>
    <row r="9" spans="1:25" x14ac:dyDescent="0.2">
      <c r="A9" s="15" t="s">
        <v>792</v>
      </c>
      <c r="B9" s="15" t="s">
        <v>744</v>
      </c>
      <c r="E9" s="15" t="s">
        <v>1282</v>
      </c>
      <c r="F9" s="15">
        <v>1.35</v>
      </c>
      <c r="G9" s="15">
        <v>3.88</v>
      </c>
      <c r="H9" s="15">
        <f>G9-F9</f>
        <v>2.5299999999999998</v>
      </c>
      <c r="L9" s="15" t="s">
        <v>1230</v>
      </c>
      <c r="N9" s="144" t="s">
        <v>892</v>
      </c>
      <c r="P9" s="15">
        <v>3</v>
      </c>
      <c r="Q9" s="144" t="s">
        <v>1187</v>
      </c>
      <c r="S9" s="144" t="s">
        <v>892</v>
      </c>
      <c r="T9" s="86" t="s">
        <v>1200</v>
      </c>
    </row>
    <row r="10" spans="1:25" x14ac:dyDescent="0.2">
      <c r="A10" s="15" t="s">
        <v>790</v>
      </c>
      <c r="B10" s="15" t="s">
        <v>746</v>
      </c>
      <c r="C10" s="15" t="s">
        <v>43</v>
      </c>
      <c r="D10" s="15" t="s">
        <v>43</v>
      </c>
      <c r="E10" s="15" t="s">
        <v>1283</v>
      </c>
      <c r="F10" s="15">
        <v>1.35</v>
      </c>
      <c r="G10" s="15">
        <v>3.89</v>
      </c>
      <c r="H10" s="15">
        <f t="shared" ref="H10:H25" si="0">G10-F10</f>
        <v>2.54</v>
      </c>
      <c r="I10" s="128" t="s">
        <v>748</v>
      </c>
      <c r="J10" s="15" t="s">
        <v>506</v>
      </c>
      <c r="K10" s="15" t="s">
        <v>749</v>
      </c>
      <c r="L10" s="15" t="s">
        <v>1230</v>
      </c>
      <c r="N10" s="144" t="s">
        <v>894</v>
      </c>
      <c r="P10" s="15">
        <v>2</v>
      </c>
      <c r="Q10" s="144" t="s">
        <v>1188</v>
      </c>
      <c r="R10" s="12" t="s">
        <v>43</v>
      </c>
      <c r="S10" s="144" t="s">
        <v>894</v>
      </c>
      <c r="T10" s="86" t="s">
        <v>1201</v>
      </c>
    </row>
    <row r="11" spans="1:25" x14ac:dyDescent="0.2">
      <c r="E11" s="15" t="s">
        <v>1285</v>
      </c>
      <c r="F11" s="15">
        <v>1.37</v>
      </c>
      <c r="H11" s="15">
        <f t="shared" si="0"/>
        <v>-1.37</v>
      </c>
      <c r="S11" s="144"/>
      <c r="T11" s="86"/>
    </row>
    <row r="12" spans="1:25" x14ac:dyDescent="0.2">
      <c r="A12" s="15" t="s">
        <v>793</v>
      </c>
      <c r="B12" s="15" t="s">
        <v>745</v>
      </c>
      <c r="C12" s="128"/>
      <c r="E12" s="15" t="s">
        <v>1281</v>
      </c>
      <c r="F12" s="15">
        <v>1.35</v>
      </c>
      <c r="H12" s="15">
        <f t="shared" si="0"/>
        <v>-1.35</v>
      </c>
      <c r="I12" s="126"/>
      <c r="J12" s="126"/>
      <c r="K12" s="126"/>
      <c r="L12" s="15" t="s">
        <v>1230</v>
      </c>
      <c r="N12" s="144" t="s">
        <v>896</v>
      </c>
      <c r="P12" s="15">
        <v>3</v>
      </c>
      <c r="Q12" s="144" t="s">
        <v>1189</v>
      </c>
      <c r="S12" s="144" t="s">
        <v>896</v>
      </c>
      <c r="T12" s="86" t="s">
        <v>1202</v>
      </c>
    </row>
    <row r="13" spans="1:25" x14ac:dyDescent="0.2">
      <c r="A13" s="15" t="s">
        <v>791</v>
      </c>
      <c r="B13" s="15" t="s">
        <v>747</v>
      </c>
      <c r="E13" s="15" t="s">
        <v>1284</v>
      </c>
      <c r="F13" s="15">
        <v>1.35</v>
      </c>
      <c r="H13" s="15">
        <f t="shared" si="0"/>
        <v>-1.35</v>
      </c>
      <c r="I13" s="128" t="s">
        <v>750</v>
      </c>
      <c r="J13" s="15" t="s">
        <v>788</v>
      </c>
      <c r="K13" s="15" t="s">
        <v>751</v>
      </c>
      <c r="L13" s="15" t="s">
        <v>1230</v>
      </c>
      <c r="N13" s="144" t="s">
        <v>898</v>
      </c>
      <c r="P13" s="15">
        <v>2</v>
      </c>
      <c r="Q13" s="144" t="s">
        <v>1190</v>
      </c>
      <c r="S13" s="144" t="s">
        <v>898</v>
      </c>
      <c r="T13" s="86" t="s">
        <v>1203</v>
      </c>
    </row>
    <row r="14" spans="1:25" x14ac:dyDescent="0.2">
      <c r="H14" s="15" t="s">
        <v>43</v>
      </c>
      <c r="S14" s="144"/>
      <c r="T14" s="86"/>
    </row>
    <row r="15" spans="1:25" x14ac:dyDescent="0.2">
      <c r="A15" s="15" t="s">
        <v>1214</v>
      </c>
      <c r="B15" s="15" t="s">
        <v>753</v>
      </c>
      <c r="C15" s="128" t="s">
        <v>755</v>
      </c>
      <c r="D15" s="15" t="s">
        <v>756</v>
      </c>
      <c r="E15" s="15" t="s">
        <v>1277</v>
      </c>
      <c r="F15" s="15">
        <v>2.41</v>
      </c>
      <c r="G15" s="15">
        <v>5.17</v>
      </c>
      <c r="H15" s="15">
        <f t="shared" si="0"/>
        <v>2.76</v>
      </c>
      <c r="I15" s="133" t="s">
        <v>757</v>
      </c>
      <c r="J15" s="133" t="s">
        <v>535</v>
      </c>
      <c r="K15" s="133" t="s">
        <v>780</v>
      </c>
      <c r="L15" s="15" t="s">
        <v>1230</v>
      </c>
      <c r="N15" s="144" t="s">
        <v>900</v>
      </c>
      <c r="P15" s="15">
        <v>3</v>
      </c>
      <c r="Q15" s="144" t="s">
        <v>1191</v>
      </c>
      <c r="S15" s="144" t="s">
        <v>900</v>
      </c>
      <c r="T15" s="86" t="s">
        <v>1204</v>
      </c>
    </row>
    <row r="16" spans="1:25" x14ac:dyDescent="0.2">
      <c r="A16" s="15" t="s">
        <v>1215</v>
      </c>
      <c r="B16" s="15" t="s">
        <v>774</v>
      </c>
      <c r="C16" s="15" t="s">
        <v>775</v>
      </c>
      <c r="D16" s="15" t="s">
        <v>776</v>
      </c>
      <c r="H16" s="15" t="s">
        <v>43</v>
      </c>
      <c r="I16" s="128" t="s">
        <v>777</v>
      </c>
      <c r="J16" s="15" t="s">
        <v>507</v>
      </c>
      <c r="K16" s="15" t="s">
        <v>787</v>
      </c>
      <c r="L16" s="15" t="s">
        <v>1230</v>
      </c>
      <c r="N16" s="144" t="s">
        <v>902</v>
      </c>
      <c r="P16" s="15">
        <v>2</v>
      </c>
      <c r="Q16" s="144" t="s">
        <v>1192</v>
      </c>
      <c r="S16" s="144" t="s">
        <v>902</v>
      </c>
      <c r="T16" s="86" t="s">
        <v>1205</v>
      </c>
    </row>
    <row r="17" spans="1:20" x14ac:dyDescent="0.2">
      <c r="H17" s="15" t="s">
        <v>43</v>
      </c>
      <c r="S17" s="144"/>
      <c r="T17" s="86"/>
    </row>
    <row r="18" spans="1:20" x14ac:dyDescent="0.2">
      <c r="A18" s="15" t="s">
        <v>1215</v>
      </c>
      <c r="B18" s="15" t="s">
        <v>774</v>
      </c>
      <c r="C18" s="15" t="s">
        <v>775</v>
      </c>
      <c r="D18" s="15" t="s">
        <v>776</v>
      </c>
      <c r="E18" s="15" t="s">
        <v>1278</v>
      </c>
      <c r="F18" s="15">
        <v>2.42</v>
      </c>
      <c r="G18" s="15">
        <v>5.0199999999999996</v>
      </c>
      <c r="H18" s="15">
        <f t="shared" si="0"/>
        <v>2.5999999999999996</v>
      </c>
      <c r="I18" s="128" t="s">
        <v>777</v>
      </c>
      <c r="J18" s="15" t="s">
        <v>507</v>
      </c>
      <c r="K18" s="15" t="s">
        <v>787</v>
      </c>
      <c r="N18" s="144" t="s">
        <v>902</v>
      </c>
      <c r="P18" s="15">
        <v>3</v>
      </c>
      <c r="Q18" s="144" t="s">
        <v>1193</v>
      </c>
      <c r="S18" s="144" t="s">
        <v>902</v>
      </c>
      <c r="T18" s="86" t="s">
        <v>1206</v>
      </c>
    </row>
    <row r="19" spans="1:20" x14ac:dyDescent="0.2">
      <c r="A19" s="15" t="s">
        <v>1216</v>
      </c>
      <c r="B19" s="15" t="s">
        <v>754</v>
      </c>
      <c r="C19" s="15" t="s">
        <v>758</v>
      </c>
      <c r="D19" s="15" t="s">
        <v>759</v>
      </c>
      <c r="H19" s="15" t="s">
        <v>43</v>
      </c>
      <c r="I19" s="128" t="s">
        <v>760</v>
      </c>
      <c r="J19" s="15" t="s">
        <v>782</v>
      </c>
      <c r="K19" s="15" t="s">
        <v>781</v>
      </c>
      <c r="L19" s="15" t="s">
        <v>1230</v>
      </c>
      <c r="N19" s="144" t="s">
        <v>904</v>
      </c>
      <c r="P19" s="15">
        <v>2</v>
      </c>
      <c r="Q19" s="144" t="s">
        <v>1194</v>
      </c>
      <c r="S19" s="144" t="s">
        <v>904</v>
      </c>
      <c r="T19" s="86" t="s">
        <v>1207</v>
      </c>
    </row>
    <row r="20" spans="1:20" x14ac:dyDescent="0.2">
      <c r="A20" s="15" t="s">
        <v>43</v>
      </c>
      <c r="B20" s="15" t="s">
        <v>43</v>
      </c>
      <c r="H20" s="15" t="s">
        <v>43</v>
      </c>
    </row>
    <row r="21" spans="1:20" x14ac:dyDescent="0.2">
      <c r="H21" s="15" t="s">
        <v>43</v>
      </c>
      <c r="P21" s="12"/>
      <c r="Q21" s="12"/>
      <c r="S21" s="144"/>
    </row>
    <row r="22" spans="1:20" x14ac:dyDescent="0.2">
      <c r="A22" s="15" t="s">
        <v>795</v>
      </c>
      <c r="B22" s="15" t="s">
        <v>761</v>
      </c>
      <c r="C22" s="15" t="s">
        <v>763</v>
      </c>
      <c r="D22" s="15" t="s">
        <v>765</v>
      </c>
      <c r="E22" s="15" t="s">
        <v>1279</v>
      </c>
      <c r="F22" s="15">
        <v>2.93</v>
      </c>
      <c r="G22" s="15">
        <v>25.02</v>
      </c>
      <c r="H22" s="15">
        <f t="shared" si="0"/>
        <v>22.09</v>
      </c>
      <c r="I22" s="128" t="s">
        <v>767</v>
      </c>
      <c r="J22" s="15" t="s">
        <v>477</v>
      </c>
      <c r="K22" s="15" t="s">
        <v>783</v>
      </c>
      <c r="L22" s="15" t="s">
        <v>1230</v>
      </c>
      <c r="N22" s="144" t="s">
        <v>906</v>
      </c>
      <c r="P22" s="15">
        <v>3</v>
      </c>
      <c r="Q22" s="144" t="s">
        <v>1196</v>
      </c>
      <c r="S22" s="144" t="s">
        <v>906</v>
      </c>
      <c r="T22" s="86" t="s">
        <v>1208</v>
      </c>
    </row>
    <row r="23" spans="1:20" x14ac:dyDescent="0.2">
      <c r="C23" s="15" t="s">
        <v>764</v>
      </c>
      <c r="D23" s="15" t="s">
        <v>766</v>
      </c>
      <c r="H23" s="15" t="s">
        <v>43</v>
      </c>
      <c r="I23" s="128" t="s">
        <v>768</v>
      </c>
      <c r="J23" s="15" t="s">
        <v>532</v>
      </c>
      <c r="K23" s="15" t="s">
        <v>784</v>
      </c>
      <c r="L23" s="15" t="s">
        <v>1230</v>
      </c>
      <c r="N23" s="144" t="s">
        <v>924</v>
      </c>
      <c r="P23" s="15">
        <v>2</v>
      </c>
      <c r="Q23" s="144" t="s">
        <v>1197</v>
      </c>
      <c r="S23" s="144" t="s">
        <v>924</v>
      </c>
      <c r="T23" s="86" t="s">
        <v>1209</v>
      </c>
    </row>
    <row r="24" spans="1:20" x14ac:dyDescent="0.2">
      <c r="H24" s="15" t="s">
        <v>43</v>
      </c>
      <c r="K24" s="15" t="s">
        <v>43</v>
      </c>
      <c r="S24" s="144"/>
    </row>
    <row r="25" spans="1:20" x14ac:dyDescent="0.2">
      <c r="A25" s="15" t="s">
        <v>796</v>
      </c>
      <c r="B25" s="15" t="s">
        <v>762</v>
      </c>
      <c r="C25" s="15" t="s">
        <v>769</v>
      </c>
      <c r="D25" s="15" t="s">
        <v>789</v>
      </c>
      <c r="E25" s="15" t="s">
        <v>1280</v>
      </c>
      <c r="F25" s="15">
        <v>2.35</v>
      </c>
      <c r="G25" s="15">
        <v>24.63</v>
      </c>
      <c r="H25" s="15">
        <f t="shared" si="0"/>
        <v>22.279999999999998</v>
      </c>
      <c r="I25" s="128" t="s">
        <v>770</v>
      </c>
      <c r="J25" s="15" t="s">
        <v>507</v>
      </c>
      <c r="K25" s="15" t="s">
        <v>785</v>
      </c>
      <c r="L25" s="15" t="s">
        <v>1230</v>
      </c>
      <c r="N25" s="144" t="s">
        <v>926</v>
      </c>
      <c r="P25" s="15">
        <v>3</v>
      </c>
      <c r="Q25" s="144" t="s">
        <v>1198</v>
      </c>
      <c r="S25" s="144" t="s">
        <v>926</v>
      </c>
      <c r="T25" s="86" t="s">
        <v>1210</v>
      </c>
    </row>
    <row r="26" spans="1:20" x14ac:dyDescent="0.2">
      <c r="C26" s="15" t="s">
        <v>772</v>
      </c>
      <c r="D26" s="15" t="s">
        <v>771</v>
      </c>
      <c r="I26" s="128" t="s">
        <v>773</v>
      </c>
      <c r="J26" s="15" t="s">
        <v>532</v>
      </c>
      <c r="K26" s="15" t="s">
        <v>786</v>
      </c>
      <c r="L26" s="15" t="s">
        <v>1230</v>
      </c>
      <c r="N26" s="144" t="s">
        <v>928</v>
      </c>
      <c r="P26" s="15">
        <v>2</v>
      </c>
      <c r="Q26" s="144" t="s">
        <v>1199</v>
      </c>
      <c r="S26" s="144" t="s">
        <v>928</v>
      </c>
      <c r="T26" s="86" t="s">
        <v>1211</v>
      </c>
    </row>
    <row r="27" spans="1:20" x14ac:dyDescent="0.2">
      <c r="K27" s="15" t="s">
        <v>43</v>
      </c>
    </row>
    <row r="30" spans="1:20" ht="15" x14ac:dyDescent="0.25">
      <c r="B30" s="290" t="s">
        <v>1217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</row>
    <row r="31" spans="1:20" x14ac:dyDescent="0.2">
      <c r="P31" s="146"/>
      <c r="Q31" s="146"/>
      <c r="R31" s="146"/>
    </row>
    <row r="32" spans="1:20" x14ac:dyDescent="0.2">
      <c r="A32" s="15" t="s">
        <v>792</v>
      </c>
      <c r="B32" s="15" t="s">
        <v>744</v>
      </c>
      <c r="N32" s="144" t="s">
        <v>893</v>
      </c>
      <c r="P32" s="15" t="s">
        <v>1218</v>
      </c>
    </row>
    <row r="33" spans="1:16" x14ac:dyDescent="0.2">
      <c r="A33" s="15" t="s">
        <v>790</v>
      </c>
      <c r="B33" s="15" t="s">
        <v>746</v>
      </c>
      <c r="C33" s="15" t="s">
        <v>43</v>
      </c>
      <c r="D33" s="15" t="s">
        <v>43</v>
      </c>
      <c r="I33" s="128" t="s">
        <v>748</v>
      </c>
      <c r="J33" s="15" t="s">
        <v>506</v>
      </c>
      <c r="K33" s="15" t="s">
        <v>749</v>
      </c>
      <c r="N33" s="144" t="s">
        <v>895</v>
      </c>
      <c r="P33" s="15" t="s">
        <v>1219</v>
      </c>
    </row>
    <row r="35" spans="1:16" x14ac:dyDescent="0.2">
      <c r="A35" s="15" t="s">
        <v>793</v>
      </c>
      <c r="B35" s="15" t="s">
        <v>745</v>
      </c>
      <c r="C35" s="128"/>
      <c r="I35" s="126"/>
      <c r="J35" s="126"/>
      <c r="K35" s="126"/>
      <c r="L35" s="126"/>
      <c r="N35" s="144" t="s">
        <v>897</v>
      </c>
      <c r="P35" s="15" t="s">
        <v>1222</v>
      </c>
    </row>
    <row r="36" spans="1:16" x14ac:dyDescent="0.2">
      <c r="A36" s="15" t="s">
        <v>791</v>
      </c>
      <c r="B36" s="15" t="s">
        <v>747</v>
      </c>
      <c r="I36" s="128" t="s">
        <v>750</v>
      </c>
      <c r="J36" s="15" t="s">
        <v>788</v>
      </c>
      <c r="K36" s="15" t="s">
        <v>751</v>
      </c>
      <c r="N36" s="144" t="s">
        <v>899</v>
      </c>
      <c r="P36" s="15" t="s">
        <v>1223</v>
      </c>
    </row>
    <row r="38" spans="1:16" x14ac:dyDescent="0.2">
      <c r="A38" s="15" t="s">
        <v>1214</v>
      </c>
      <c r="B38" s="15" t="s">
        <v>753</v>
      </c>
      <c r="C38" s="128" t="s">
        <v>755</v>
      </c>
      <c r="D38" s="15" t="s">
        <v>756</v>
      </c>
      <c r="I38" s="133" t="s">
        <v>757</v>
      </c>
      <c r="J38" s="133" t="s">
        <v>535</v>
      </c>
      <c r="K38" s="133" t="s">
        <v>780</v>
      </c>
      <c r="L38" s="133"/>
      <c r="N38" s="144" t="s">
        <v>901</v>
      </c>
      <c r="P38" s="15" t="s">
        <v>1220</v>
      </c>
    </row>
    <row r="39" spans="1:16" x14ac:dyDescent="0.2">
      <c r="A39" s="15" t="s">
        <v>1215</v>
      </c>
      <c r="B39" s="15" t="s">
        <v>774</v>
      </c>
      <c r="C39" s="15" t="s">
        <v>775</v>
      </c>
      <c r="D39" s="15" t="s">
        <v>776</v>
      </c>
      <c r="I39" s="128" t="s">
        <v>777</v>
      </c>
      <c r="J39" s="15" t="s">
        <v>507</v>
      </c>
      <c r="K39" s="15" t="s">
        <v>787</v>
      </c>
      <c r="N39" s="144" t="s">
        <v>903</v>
      </c>
      <c r="P39" s="15" t="s">
        <v>1221</v>
      </c>
    </row>
    <row r="41" spans="1:16" x14ac:dyDescent="0.2">
      <c r="A41" s="15" t="s">
        <v>1215</v>
      </c>
      <c r="B41" s="15" t="s">
        <v>774</v>
      </c>
      <c r="C41" s="15" t="s">
        <v>775</v>
      </c>
      <c r="D41" s="15" t="s">
        <v>776</v>
      </c>
      <c r="I41" s="128" t="s">
        <v>777</v>
      </c>
      <c r="J41" s="15" t="s">
        <v>507</v>
      </c>
      <c r="K41" s="15" t="s">
        <v>787</v>
      </c>
      <c r="N41" s="144" t="s">
        <v>903</v>
      </c>
      <c r="P41" s="15" t="s">
        <v>1227</v>
      </c>
    </row>
    <row r="42" spans="1:16" x14ac:dyDescent="0.2">
      <c r="A42" s="15" t="s">
        <v>1216</v>
      </c>
      <c r="B42" s="15" t="s">
        <v>754</v>
      </c>
      <c r="C42" s="15" t="s">
        <v>758</v>
      </c>
      <c r="D42" s="15" t="s">
        <v>759</v>
      </c>
      <c r="I42" s="128" t="s">
        <v>760</v>
      </c>
      <c r="J42" s="15" t="s">
        <v>782</v>
      </c>
      <c r="K42" s="15" t="s">
        <v>781</v>
      </c>
      <c r="N42" s="144" t="s">
        <v>905</v>
      </c>
      <c r="P42" s="15" t="s">
        <v>1228</v>
      </c>
    </row>
    <row r="43" spans="1:16" x14ac:dyDescent="0.2">
      <c r="A43" s="15" t="s">
        <v>43</v>
      </c>
      <c r="B43" s="15" t="s">
        <v>43</v>
      </c>
    </row>
    <row r="45" spans="1:16" x14ac:dyDescent="0.2">
      <c r="A45" s="15" t="s">
        <v>795</v>
      </c>
      <c r="B45" s="15" t="s">
        <v>761</v>
      </c>
      <c r="C45" s="15" t="s">
        <v>763</v>
      </c>
      <c r="D45" s="15" t="s">
        <v>765</v>
      </c>
      <c r="I45" s="128" t="s">
        <v>767</v>
      </c>
      <c r="J45" s="15" t="s">
        <v>477</v>
      </c>
      <c r="K45" s="15" t="s">
        <v>783</v>
      </c>
      <c r="N45" s="144" t="s">
        <v>907</v>
      </c>
      <c r="P45" s="15" t="s">
        <v>1229</v>
      </c>
    </row>
    <row r="46" spans="1:16" x14ac:dyDescent="0.2">
      <c r="A46" s="15" t="s">
        <v>1289</v>
      </c>
      <c r="C46" s="15" t="s">
        <v>764</v>
      </c>
      <c r="D46" s="15" t="s">
        <v>766</v>
      </c>
      <c r="I46" s="128" t="s">
        <v>768</v>
      </c>
      <c r="J46" s="15" t="s">
        <v>532</v>
      </c>
      <c r="K46" s="15" t="s">
        <v>784</v>
      </c>
      <c r="N46" s="144" t="s">
        <v>925</v>
      </c>
      <c r="P46" s="15" t="s">
        <v>1224</v>
      </c>
    </row>
    <row r="47" spans="1:16" x14ac:dyDescent="0.2">
      <c r="K47" s="15" t="s">
        <v>43</v>
      </c>
    </row>
    <row r="48" spans="1:16" x14ac:dyDescent="0.2">
      <c r="A48" s="15" t="s">
        <v>796</v>
      </c>
      <c r="B48" s="15" t="s">
        <v>762</v>
      </c>
      <c r="C48" s="15" t="s">
        <v>769</v>
      </c>
      <c r="D48" s="15" t="s">
        <v>789</v>
      </c>
      <c r="I48" s="128" t="s">
        <v>770</v>
      </c>
      <c r="J48" s="15" t="s">
        <v>507</v>
      </c>
      <c r="K48" s="15" t="s">
        <v>785</v>
      </c>
      <c r="N48" s="144" t="s">
        <v>927</v>
      </c>
      <c r="P48" s="15" t="s">
        <v>1226</v>
      </c>
    </row>
    <row r="49" spans="1:16" x14ac:dyDescent="0.2">
      <c r="A49" s="15" t="s">
        <v>1289</v>
      </c>
      <c r="C49" s="15" t="s">
        <v>772</v>
      </c>
      <c r="D49" s="15" t="s">
        <v>771</v>
      </c>
      <c r="I49" s="128" t="s">
        <v>773</v>
      </c>
      <c r="J49" s="15" t="s">
        <v>532</v>
      </c>
      <c r="K49" s="15" t="s">
        <v>786</v>
      </c>
      <c r="N49" s="144" t="s">
        <v>929</v>
      </c>
      <c r="P49" s="15" t="s">
        <v>1225</v>
      </c>
    </row>
    <row r="50" spans="1:16" x14ac:dyDescent="0.2">
      <c r="K50" s="15" t="s">
        <v>43</v>
      </c>
    </row>
    <row r="51" spans="1:16" x14ac:dyDescent="0.2">
      <c r="A51" s="15" t="s">
        <v>1287</v>
      </c>
    </row>
    <row r="52" spans="1:16" x14ac:dyDescent="0.2">
      <c r="A52" s="15" t="s">
        <v>1288</v>
      </c>
    </row>
    <row r="53" spans="1:16" x14ac:dyDescent="0.2">
      <c r="A53" s="15" t="s">
        <v>1291</v>
      </c>
    </row>
    <row r="54" spans="1:16" x14ac:dyDescent="0.2">
      <c r="A54" s="15" t="s">
        <v>1290</v>
      </c>
      <c r="E54" s="15" t="s">
        <v>1299</v>
      </c>
    </row>
    <row r="55" spans="1:16" x14ac:dyDescent="0.2">
      <c r="E55" s="15" t="s">
        <v>1300</v>
      </c>
    </row>
  </sheetData>
  <mergeCells count="5">
    <mergeCell ref="B30:P30"/>
    <mergeCell ref="E1:H1"/>
    <mergeCell ref="E2:H2"/>
    <mergeCell ref="E5:F5"/>
    <mergeCell ref="E6:F6"/>
  </mergeCells>
  <printOptions gridLines="1"/>
  <pageMargins left="0.25" right="0.25" top="0.75" bottom="0.75" header="0.3" footer="0.3"/>
  <pageSetup paperSize="17" scale="48" fitToHeight="0" orientation="landscape" r:id="rId1"/>
  <headerFooter>
    <oddFooter>&amp;L&amp;Z&amp;F&amp;C&amp;A&amp;R&amp;P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3"/>
  <sheetViews>
    <sheetView workbookViewId="0">
      <selection activeCell="J21" sqref="J21"/>
    </sheetView>
  </sheetViews>
  <sheetFormatPr defaultRowHeight="12.75" x14ac:dyDescent="0.2"/>
  <cols>
    <col min="1" max="1" width="19.28515625" customWidth="1"/>
    <col min="2" max="2" width="15.28515625" customWidth="1"/>
    <col min="5" max="5" width="12.42578125" customWidth="1"/>
    <col min="7" max="7" width="12.140625" customWidth="1"/>
    <col min="19" max="19" width="10.140625" bestFit="1" customWidth="1"/>
  </cols>
  <sheetData>
    <row r="4" spans="1:27" s="239" customFormat="1" ht="24" customHeight="1" x14ac:dyDescent="0.2">
      <c r="D4" s="239" t="s">
        <v>1302</v>
      </c>
      <c r="G4" s="239" t="s">
        <v>1303</v>
      </c>
      <c r="H4" s="239" t="s">
        <v>1304</v>
      </c>
      <c r="I4" s="239" t="s">
        <v>1306</v>
      </c>
      <c r="J4" s="239" t="s">
        <v>1308</v>
      </c>
      <c r="O4" s="239" t="s">
        <v>1310</v>
      </c>
      <c r="P4" s="239" t="s">
        <v>1311</v>
      </c>
      <c r="Q4" s="239" t="s">
        <v>1312</v>
      </c>
      <c r="R4" s="239" t="s">
        <v>1313</v>
      </c>
      <c r="S4" s="239" t="s">
        <v>1314</v>
      </c>
      <c r="T4" s="239" t="s">
        <v>1315</v>
      </c>
      <c r="U4" s="239" t="s">
        <v>1316</v>
      </c>
      <c r="V4" s="239" t="s">
        <v>1317</v>
      </c>
      <c r="W4" s="239" t="s">
        <v>1318</v>
      </c>
    </row>
    <row r="5" spans="1:27" s="240" customFormat="1" ht="20.100000000000001" customHeight="1" x14ac:dyDescent="0.2">
      <c r="D5" s="240" t="s">
        <v>1239</v>
      </c>
      <c r="H5" s="240" t="s">
        <v>1305</v>
      </c>
      <c r="I5" s="240" t="s">
        <v>1307</v>
      </c>
      <c r="J5" s="240" t="s">
        <v>1309</v>
      </c>
      <c r="O5" s="240" t="s">
        <v>1307</v>
      </c>
      <c r="P5" s="240" t="s">
        <v>1307</v>
      </c>
      <c r="Q5" s="240" t="s">
        <v>1307</v>
      </c>
      <c r="R5" s="240" t="s">
        <v>1307</v>
      </c>
      <c r="U5" s="240" t="s">
        <v>1307</v>
      </c>
      <c r="V5" s="240" t="s">
        <v>1307</v>
      </c>
      <c r="W5" s="240" t="s">
        <v>1307</v>
      </c>
    </row>
    <row r="6" spans="1:27" s="19" customFormat="1" ht="20.100000000000001" customHeight="1" x14ac:dyDescent="0.2">
      <c r="A6" s="242" t="s">
        <v>1292</v>
      </c>
      <c r="B6" s="293" t="s">
        <v>1293</v>
      </c>
      <c r="C6" s="293"/>
      <c r="D6" s="243">
        <v>4.12</v>
      </c>
      <c r="F6" s="128" t="s">
        <v>1300</v>
      </c>
      <c r="G6" s="244">
        <f>H6*I6/J6</f>
        <v>4.990515203758136</v>
      </c>
      <c r="H6" s="245">
        <v>2.7240000000000001E-8</v>
      </c>
      <c r="I6" s="245">
        <f>W6</f>
        <v>12523.921414423869</v>
      </c>
      <c r="J6" s="245">
        <f>S11*0.000001</f>
        <v>6.8360000000000003E-5</v>
      </c>
      <c r="K6" s="150"/>
      <c r="L6" s="150"/>
      <c r="M6" s="150"/>
      <c r="N6" s="150"/>
      <c r="O6" s="246">
        <f>1.54+0.008</f>
        <v>1.548</v>
      </c>
      <c r="P6" s="247">
        <f>1.54+0.008+0.016</f>
        <v>1.5640000000000001</v>
      </c>
      <c r="Q6" s="247">
        <f>PI()*2*O6</f>
        <v>9.7263708555140003</v>
      </c>
      <c r="R6" s="247">
        <f>PI()*2*P6</f>
        <v>9.8269018204288727</v>
      </c>
      <c r="S6" s="247">
        <v>640</v>
      </c>
      <c r="T6" s="247">
        <v>641</v>
      </c>
      <c r="U6" s="247">
        <f>Q6*S6</f>
        <v>6224.8773475289599</v>
      </c>
      <c r="V6" s="247">
        <f>R6*T6</f>
        <v>6299.0440668949077</v>
      </c>
      <c r="W6" s="248">
        <f>U6+V6</f>
        <v>12523.921414423869</v>
      </c>
      <c r="X6" s="150"/>
      <c r="Y6" s="150"/>
      <c r="Z6" s="150"/>
      <c r="AA6" s="150"/>
    </row>
    <row r="7" spans="1:27" s="19" customFormat="1" ht="20.100000000000001" customHeight="1" x14ac:dyDescent="0.2">
      <c r="A7" s="15" t="s">
        <v>1297</v>
      </c>
      <c r="B7" s="293" t="s">
        <v>1293</v>
      </c>
      <c r="C7" s="293"/>
      <c r="D7" s="15">
        <v>3.99</v>
      </c>
      <c r="F7" s="128" t="s">
        <v>1327</v>
      </c>
      <c r="G7" s="244">
        <f>H7*I7/J7</f>
        <v>43.572809921016379</v>
      </c>
      <c r="H7" s="245">
        <v>1.6700000000000001E-8</v>
      </c>
      <c r="I7" s="245">
        <f>W6</f>
        <v>12523.921414423869</v>
      </c>
      <c r="J7" s="245">
        <f>Q11*0.000001</f>
        <v>4.7999999999999998E-6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</row>
    <row r="8" spans="1:27" ht="20.100000000000001" customHeight="1" x14ac:dyDescent="0.2">
      <c r="B8" s="128" t="s">
        <v>43</v>
      </c>
      <c r="C8" s="15" t="s">
        <v>43</v>
      </c>
      <c r="D8" s="15" t="s">
        <v>43</v>
      </c>
      <c r="E8" s="15" t="s">
        <v>43</v>
      </c>
      <c r="F8" s="128" t="s">
        <v>305</v>
      </c>
      <c r="G8" s="241">
        <f>(G6*G7)/(G6+G7)</f>
        <v>4.4776746613333396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</row>
    <row r="9" spans="1:27" ht="20.100000000000001" customHeight="1" x14ac:dyDescent="0.2">
      <c r="G9" s="253" t="s">
        <v>43</v>
      </c>
      <c r="O9" s="12" t="s">
        <v>1308</v>
      </c>
      <c r="P9" s="12" t="s">
        <v>1321</v>
      </c>
      <c r="Q9" s="12" t="s">
        <v>1322</v>
      </c>
      <c r="R9" s="12" t="s">
        <v>1323</v>
      </c>
      <c r="S9" s="12" t="s">
        <v>1324</v>
      </c>
      <c r="T9" s="12" t="s">
        <v>43</v>
      </c>
    </row>
    <row r="10" spans="1:27" ht="20.100000000000001" customHeight="1" x14ac:dyDescent="0.2">
      <c r="O10" s="12" t="s">
        <v>1325</v>
      </c>
      <c r="P10" s="12" t="s">
        <v>1326</v>
      </c>
      <c r="S10" s="12" t="s">
        <v>1309</v>
      </c>
    </row>
    <row r="11" spans="1:27" s="19" customFormat="1" ht="20.100000000000001" customHeight="1" x14ac:dyDescent="0.2">
      <c r="G11" s="28"/>
      <c r="H11" s="245"/>
      <c r="I11" s="245"/>
      <c r="J11" s="245"/>
      <c r="O11" s="146" t="s">
        <v>1320</v>
      </c>
      <c r="P11" s="250">
        <f>2*0.2*(16+5.1)</f>
        <v>8.4400000000000013</v>
      </c>
      <c r="Q11" s="250">
        <f>1.2*4</f>
        <v>4.8</v>
      </c>
      <c r="R11" s="250"/>
      <c r="S11" s="249">
        <f>16*5.1-P11-Q11</f>
        <v>68.36</v>
      </c>
      <c r="T11" s="251" t="s">
        <v>43</v>
      </c>
      <c r="U11" s="150"/>
      <c r="V11" s="150"/>
      <c r="W11" s="150"/>
      <c r="X11" s="150"/>
    </row>
    <row r="12" spans="1:27" s="19" customFormat="1" ht="20.100000000000001" customHeight="1" x14ac:dyDescent="0.2">
      <c r="G12" s="28"/>
      <c r="H12" s="245"/>
      <c r="I12" s="245"/>
      <c r="J12" s="245"/>
      <c r="O12" s="146" t="s">
        <v>1319</v>
      </c>
      <c r="P12" s="250">
        <f>2*0.2*(16+4.89)</f>
        <v>8.3559999999999999</v>
      </c>
      <c r="Q12" s="250"/>
      <c r="R12" s="250">
        <f>1.2*4*9/11</f>
        <v>3.9272727272727268</v>
      </c>
      <c r="S12" s="249">
        <f>16*4.89-P12-R12</f>
        <v>65.956727272727278</v>
      </c>
      <c r="T12" s="252" t="s">
        <v>43</v>
      </c>
      <c r="U12" s="150"/>
      <c r="V12" s="150"/>
      <c r="W12" s="150"/>
      <c r="X12" s="150"/>
    </row>
    <row r="13" spans="1:27" x14ac:dyDescent="0.2">
      <c r="P13" s="150"/>
      <c r="Q13" s="150"/>
      <c r="R13" s="150"/>
      <c r="S13" s="150"/>
      <c r="T13" s="150"/>
      <c r="U13" s="150"/>
      <c r="V13" s="150"/>
      <c r="W13" s="150"/>
      <c r="X13" s="150"/>
    </row>
  </sheetData>
  <mergeCells count="2">
    <mergeCell ref="B6:C6"/>
    <mergeCell ref="B7:C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8"/>
  <sheetViews>
    <sheetView view="pageLayout" topLeftCell="A7" zoomScaleNormal="100" workbookViewId="0">
      <selection activeCell="A70" sqref="A70:XFD80"/>
    </sheetView>
  </sheetViews>
  <sheetFormatPr defaultColWidth="8.85546875" defaultRowHeight="11.25" x14ac:dyDescent="0.2"/>
  <cols>
    <col min="1" max="1" width="3.140625" style="1" bestFit="1" customWidth="1"/>
    <col min="2" max="2" width="18.42578125" style="1" customWidth="1"/>
    <col min="3" max="3" width="44.85546875" style="1" customWidth="1"/>
    <col min="4" max="4" width="8.85546875" style="3" customWidth="1"/>
    <col min="5" max="5" width="13.7109375" style="3" customWidth="1"/>
    <col min="6" max="6" width="8.85546875" style="1"/>
    <col min="7" max="7" width="17.140625" style="1" customWidth="1"/>
    <col min="8" max="8" width="8.85546875" style="1"/>
    <col min="9" max="9" width="11.42578125" style="1" customWidth="1"/>
    <col min="10" max="11" width="8.85546875" style="1"/>
    <col min="12" max="12" width="9.5703125" style="1" bestFit="1" customWidth="1"/>
    <col min="13" max="13" width="10.140625" style="64" bestFit="1" customWidth="1"/>
    <col min="14" max="14" width="10.140625" style="63" customWidth="1"/>
    <col min="15" max="15" width="9" style="63" bestFit="1" customWidth="1"/>
    <col min="16" max="17" width="8.85546875" style="1"/>
    <col min="18" max="18" width="10.85546875" style="1" customWidth="1"/>
    <col min="19" max="16384" width="8.85546875" style="1"/>
  </cols>
  <sheetData>
    <row r="1" spans="1:19" ht="15.75" x14ac:dyDescent="0.25">
      <c r="C1" s="59" t="s">
        <v>401</v>
      </c>
      <c r="E1" s="31">
        <v>0.74</v>
      </c>
    </row>
    <row r="2" spans="1:19" ht="15.75" x14ac:dyDescent="0.25">
      <c r="C2" s="6" t="s">
        <v>402</v>
      </c>
    </row>
    <row r="3" spans="1:19" x14ac:dyDescent="0.2">
      <c r="A3" s="1" t="s">
        <v>0</v>
      </c>
      <c r="B3" s="1" t="s">
        <v>1</v>
      </c>
      <c r="C3" s="1" t="s">
        <v>2</v>
      </c>
      <c r="D3" s="4" t="s">
        <v>42</v>
      </c>
      <c r="E3" s="4" t="s">
        <v>40</v>
      </c>
    </row>
    <row r="4" spans="1:19" x14ac:dyDescent="0.2">
      <c r="C4" s="2" t="s">
        <v>43</v>
      </c>
      <c r="G4" s="2"/>
    </row>
    <row r="5" spans="1:19" ht="12.75" x14ac:dyDescent="0.2">
      <c r="C5" s="2" t="s">
        <v>45</v>
      </c>
      <c r="E5" s="5"/>
      <c r="G5" s="2"/>
      <c r="M5" s="20" t="s">
        <v>215</v>
      </c>
      <c r="N5" s="21" t="s">
        <v>211</v>
      </c>
      <c r="O5" s="15" t="s">
        <v>244</v>
      </c>
      <c r="P5" s="17" t="s">
        <v>212</v>
      </c>
      <c r="Q5" s="24" t="s">
        <v>213</v>
      </c>
      <c r="R5" s="24" t="s">
        <v>214</v>
      </c>
    </row>
    <row r="6" spans="1:19" x14ac:dyDescent="0.2">
      <c r="A6" s="55">
        <v>0</v>
      </c>
      <c r="B6" s="97" t="s">
        <v>46</v>
      </c>
      <c r="C6" s="97" t="s">
        <v>53</v>
      </c>
      <c r="D6" s="98">
        <v>5500</v>
      </c>
      <c r="E6" s="3">
        <f t="shared" ref="E6:E12" si="0">D6*A6</f>
        <v>0</v>
      </c>
      <c r="M6" s="66">
        <v>43312</v>
      </c>
      <c r="N6" s="99">
        <v>378847</v>
      </c>
      <c r="P6" s="1">
        <v>33000</v>
      </c>
    </row>
    <row r="7" spans="1:19" x14ac:dyDescent="0.2">
      <c r="A7" s="55">
        <v>1</v>
      </c>
      <c r="B7" s="97" t="s">
        <v>47</v>
      </c>
      <c r="C7" s="97" t="s">
        <v>48</v>
      </c>
      <c r="D7" s="98">
        <v>2810</v>
      </c>
      <c r="E7" s="3">
        <f t="shared" si="0"/>
        <v>2810</v>
      </c>
      <c r="F7" s="1" t="s">
        <v>43</v>
      </c>
    </row>
    <row r="8" spans="1:19" x14ac:dyDescent="0.2">
      <c r="A8" s="55" t="s">
        <v>838</v>
      </c>
      <c r="B8" s="97" t="s">
        <v>294</v>
      </c>
      <c r="C8" s="97" t="s">
        <v>295</v>
      </c>
      <c r="D8" s="98">
        <v>16700</v>
      </c>
      <c r="E8" s="3" t="e">
        <f t="shared" si="0"/>
        <v>#VALUE!</v>
      </c>
      <c r="M8" s="65" t="s">
        <v>43</v>
      </c>
      <c r="N8" s="100"/>
      <c r="P8" s="1" t="s">
        <v>43</v>
      </c>
      <c r="Q8" s="3" t="s">
        <v>43</v>
      </c>
      <c r="R8" s="3" t="s">
        <v>43</v>
      </c>
    </row>
    <row r="9" spans="1:19" x14ac:dyDescent="0.2">
      <c r="A9" s="55">
        <v>4</v>
      </c>
      <c r="B9" s="97" t="s">
        <v>49</v>
      </c>
      <c r="C9" s="97" t="s">
        <v>50</v>
      </c>
      <c r="D9" s="98">
        <v>2780</v>
      </c>
      <c r="E9" s="3">
        <f t="shared" si="0"/>
        <v>11120</v>
      </c>
    </row>
    <row r="10" spans="1:19" x14ac:dyDescent="0.2">
      <c r="A10" s="55">
        <v>1</v>
      </c>
      <c r="B10" s="97" t="s">
        <v>403</v>
      </c>
      <c r="C10" s="97" t="s">
        <v>404</v>
      </c>
      <c r="D10" s="98">
        <v>18600</v>
      </c>
      <c r="E10" s="3">
        <f t="shared" si="0"/>
        <v>18600</v>
      </c>
    </row>
    <row r="11" spans="1:19" x14ac:dyDescent="0.2">
      <c r="A11" s="55">
        <v>1</v>
      </c>
      <c r="B11" s="97" t="s">
        <v>405</v>
      </c>
      <c r="C11" s="97" t="s">
        <v>406</v>
      </c>
      <c r="D11" s="98">
        <v>554</v>
      </c>
      <c r="E11" s="3">
        <f t="shared" si="0"/>
        <v>554</v>
      </c>
      <c r="Q11" s="1" t="s">
        <v>304</v>
      </c>
      <c r="R11" s="5">
        <f>SUM(R6:R10)</f>
        <v>0</v>
      </c>
    </row>
    <row r="12" spans="1:19" x14ac:dyDescent="0.2">
      <c r="A12" s="55">
        <v>1</v>
      </c>
      <c r="B12" s="97" t="s">
        <v>51</v>
      </c>
      <c r="C12" s="97" t="s">
        <v>52</v>
      </c>
      <c r="D12" s="98">
        <v>2400</v>
      </c>
      <c r="E12" s="3">
        <f t="shared" si="0"/>
        <v>2400</v>
      </c>
    </row>
    <row r="13" spans="1:19" ht="12.75" x14ac:dyDescent="0.2">
      <c r="A13" s="55"/>
      <c r="D13" s="3" t="s">
        <v>16</v>
      </c>
      <c r="E13" s="5" t="e">
        <f>SUM(E6:E12)</f>
        <v>#VALUE!</v>
      </c>
      <c r="M13" s="20" t="s">
        <v>215</v>
      </c>
      <c r="N13" s="21"/>
      <c r="O13" s="15" t="s">
        <v>244</v>
      </c>
      <c r="P13" s="17" t="s">
        <v>212</v>
      </c>
      <c r="Q13" s="56" t="s">
        <v>278</v>
      </c>
      <c r="R13" s="24" t="s">
        <v>214</v>
      </c>
      <c r="S13"/>
    </row>
    <row r="14" spans="1:19" x14ac:dyDescent="0.2">
      <c r="A14" s="55"/>
      <c r="E14" s="5"/>
      <c r="G14" s="2" t="s">
        <v>277</v>
      </c>
      <c r="M14" s="66"/>
      <c r="N14" s="99"/>
      <c r="Q14" s="68"/>
      <c r="R14" s="68"/>
    </row>
    <row r="15" spans="1:19" x14ac:dyDescent="0.2">
      <c r="A15" s="55"/>
      <c r="C15" s="2" t="s">
        <v>17</v>
      </c>
      <c r="G15" s="1" t="s">
        <v>205</v>
      </c>
      <c r="H15" s="1" t="s">
        <v>206</v>
      </c>
      <c r="M15" s="66"/>
      <c r="N15" s="99"/>
      <c r="Q15" s="68"/>
      <c r="R15" s="68"/>
    </row>
    <row r="16" spans="1:19" x14ac:dyDescent="0.2">
      <c r="A16" s="55">
        <v>2</v>
      </c>
      <c r="B16" s="97" t="s">
        <v>407</v>
      </c>
      <c r="C16" s="97" t="s">
        <v>54</v>
      </c>
      <c r="D16" s="98">
        <v>290</v>
      </c>
      <c r="E16" s="3">
        <f t="shared" ref="E16:E26" si="1">D16*A16</f>
        <v>580</v>
      </c>
      <c r="G16" s="1" t="s">
        <v>22</v>
      </c>
      <c r="H16" s="1" t="s">
        <v>23</v>
      </c>
      <c r="M16" s="66"/>
      <c r="N16" s="99"/>
      <c r="Q16" s="68"/>
      <c r="R16" s="68"/>
    </row>
    <row r="17" spans="1:20" x14ac:dyDescent="0.2">
      <c r="A17" s="55">
        <v>4</v>
      </c>
      <c r="B17" s="97" t="s">
        <v>5</v>
      </c>
      <c r="C17" s="97" t="s">
        <v>6</v>
      </c>
      <c r="D17" s="98">
        <v>1715</v>
      </c>
      <c r="E17" s="3">
        <f t="shared" si="1"/>
        <v>6860</v>
      </c>
      <c r="G17" s="1" t="s">
        <v>24</v>
      </c>
      <c r="H17" s="1" t="s">
        <v>25</v>
      </c>
      <c r="M17" s="66"/>
      <c r="N17" s="99"/>
      <c r="Q17" s="68"/>
      <c r="R17" s="68"/>
    </row>
    <row r="18" spans="1:20" x14ac:dyDescent="0.2">
      <c r="A18" s="55">
        <v>2</v>
      </c>
      <c r="B18" s="97" t="s">
        <v>18</v>
      </c>
      <c r="C18" s="97" t="s">
        <v>19</v>
      </c>
      <c r="D18" s="98">
        <v>2356</v>
      </c>
      <c r="E18" s="3">
        <f t="shared" si="1"/>
        <v>4712</v>
      </c>
      <c r="G18" s="1" t="s">
        <v>5</v>
      </c>
      <c r="H18" s="1" t="s">
        <v>6</v>
      </c>
      <c r="M18" s="66"/>
      <c r="N18" s="99"/>
      <c r="Q18" s="68"/>
      <c r="R18" s="68"/>
    </row>
    <row r="19" spans="1:20" x14ac:dyDescent="0.2">
      <c r="A19" s="55">
        <v>2</v>
      </c>
      <c r="B19" s="97" t="s">
        <v>408</v>
      </c>
      <c r="C19" s="97" t="s">
        <v>409</v>
      </c>
      <c r="D19" s="98">
        <v>6864</v>
      </c>
      <c r="E19" s="3">
        <f t="shared" si="1"/>
        <v>13728</v>
      </c>
      <c r="G19" s="1" t="s">
        <v>18</v>
      </c>
      <c r="H19" s="1" t="s">
        <v>19</v>
      </c>
      <c r="M19" s="66"/>
      <c r="N19" s="99"/>
      <c r="Q19" s="68"/>
      <c r="R19" s="68"/>
    </row>
    <row r="20" spans="1:20" x14ac:dyDescent="0.2">
      <c r="A20" s="55">
        <v>2</v>
      </c>
      <c r="B20" s="97" t="s">
        <v>20</v>
      </c>
      <c r="C20" s="97" t="s">
        <v>21</v>
      </c>
      <c r="D20" s="98">
        <v>25</v>
      </c>
      <c r="E20" s="3">
        <f t="shared" si="1"/>
        <v>50</v>
      </c>
      <c r="G20" s="1" t="s">
        <v>20</v>
      </c>
      <c r="H20" s="1" t="s">
        <v>21</v>
      </c>
      <c r="M20" s="66"/>
      <c r="N20" s="99"/>
      <c r="Q20" s="68"/>
      <c r="R20" s="68"/>
    </row>
    <row r="21" spans="1:20" x14ac:dyDescent="0.2">
      <c r="A21" s="55">
        <v>2</v>
      </c>
      <c r="B21" s="97" t="s">
        <v>410</v>
      </c>
      <c r="C21" s="97" t="s">
        <v>411</v>
      </c>
      <c r="D21" s="98">
        <v>975</v>
      </c>
      <c r="E21" s="3">
        <f t="shared" si="1"/>
        <v>1950</v>
      </c>
      <c r="G21" s="1" t="s">
        <v>12</v>
      </c>
      <c r="H21" s="1" t="s">
        <v>13</v>
      </c>
      <c r="M21" s="66"/>
      <c r="N21" s="99"/>
      <c r="Q21" s="68"/>
      <c r="R21" s="68"/>
    </row>
    <row r="22" spans="1:20" x14ac:dyDescent="0.2">
      <c r="A22" s="55">
        <v>1</v>
      </c>
      <c r="B22" s="97" t="s">
        <v>412</v>
      </c>
      <c r="C22" s="97" t="s">
        <v>413</v>
      </c>
      <c r="D22" s="98">
        <v>172</v>
      </c>
      <c r="E22" s="3">
        <f t="shared" si="1"/>
        <v>172</v>
      </c>
      <c r="G22" s="1" t="s">
        <v>26</v>
      </c>
      <c r="H22" s="1" t="s">
        <v>27</v>
      </c>
      <c r="M22" s="66"/>
      <c r="N22" s="99"/>
      <c r="Q22" s="68"/>
      <c r="R22" s="68"/>
    </row>
    <row r="23" spans="1:20" x14ac:dyDescent="0.2">
      <c r="A23" s="55">
        <v>2</v>
      </c>
      <c r="B23" s="97" t="s">
        <v>414</v>
      </c>
      <c r="C23" s="97" t="s">
        <v>25</v>
      </c>
      <c r="D23" s="98">
        <v>4990</v>
      </c>
      <c r="E23" s="3">
        <f t="shared" si="1"/>
        <v>9980</v>
      </c>
      <c r="G23" s="1" t="s">
        <v>28</v>
      </c>
      <c r="H23" s="1" t="s">
        <v>29</v>
      </c>
      <c r="M23" s="66"/>
      <c r="N23" s="99"/>
      <c r="Q23" s="68"/>
      <c r="R23" s="68"/>
    </row>
    <row r="24" spans="1:20" x14ac:dyDescent="0.2">
      <c r="A24" s="55">
        <v>2</v>
      </c>
      <c r="B24" s="97" t="s">
        <v>26</v>
      </c>
      <c r="C24" s="97" t="s">
        <v>27</v>
      </c>
      <c r="D24" s="98">
        <v>11</v>
      </c>
      <c r="E24" s="3">
        <f t="shared" si="1"/>
        <v>22</v>
      </c>
      <c r="G24" s="1" t="s">
        <v>14</v>
      </c>
      <c r="H24" s="1" t="s">
        <v>15</v>
      </c>
      <c r="M24" s="66"/>
      <c r="N24" s="99"/>
      <c r="Q24" s="68"/>
      <c r="R24" s="68"/>
    </row>
    <row r="25" spans="1:20" x14ac:dyDescent="0.2">
      <c r="A25" s="55">
        <v>14</v>
      </c>
      <c r="B25" s="97" t="s">
        <v>28</v>
      </c>
      <c r="C25" s="97" t="s">
        <v>29</v>
      </c>
      <c r="D25" s="98">
        <v>130</v>
      </c>
      <c r="E25" s="3">
        <f t="shared" si="1"/>
        <v>1820</v>
      </c>
      <c r="G25" s="1" t="s">
        <v>33</v>
      </c>
      <c r="H25" s="1" t="s">
        <v>208</v>
      </c>
      <c r="M25" s="66"/>
      <c r="N25" s="99"/>
      <c r="Q25" s="68"/>
      <c r="R25" s="68"/>
    </row>
    <row r="26" spans="1:20" x14ac:dyDescent="0.2">
      <c r="A26" s="55">
        <v>1</v>
      </c>
      <c r="B26" s="1" t="s">
        <v>30</v>
      </c>
      <c r="C26" s="1" t="s">
        <v>31</v>
      </c>
      <c r="D26" s="3">
        <v>568</v>
      </c>
      <c r="E26" s="3">
        <f t="shared" si="1"/>
        <v>568</v>
      </c>
      <c r="G26" s="1" t="s">
        <v>161</v>
      </c>
      <c r="H26" s="1" t="s">
        <v>231</v>
      </c>
      <c r="M26" s="66"/>
      <c r="N26" s="99"/>
      <c r="Q26" s="68"/>
      <c r="R26" s="68"/>
    </row>
    <row r="27" spans="1:20" x14ac:dyDescent="0.2">
      <c r="A27" s="55"/>
      <c r="C27" s="2"/>
      <c r="D27" s="3" t="s">
        <v>16</v>
      </c>
      <c r="E27" s="5">
        <f>SUM(E16:E26)</f>
        <v>40442</v>
      </c>
      <c r="G27" s="55" t="s">
        <v>242</v>
      </c>
      <c r="H27" s="1" t="s">
        <v>308</v>
      </c>
      <c r="M27" s="66"/>
      <c r="N27" s="99"/>
      <c r="Q27" s="68"/>
      <c r="R27" s="68"/>
    </row>
    <row r="28" spans="1:20" x14ac:dyDescent="0.2">
      <c r="A28" s="55"/>
      <c r="C28" s="2"/>
      <c r="G28" s="1" t="s">
        <v>10</v>
      </c>
      <c r="H28" s="1" t="s">
        <v>11</v>
      </c>
      <c r="M28" s="66"/>
      <c r="N28" s="99"/>
      <c r="Q28" s="68"/>
      <c r="R28" s="68"/>
      <c r="T28" s="3" t="s">
        <v>43</v>
      </c>
    </row>
    <row r="29" spans="1:20" x14ac:dyDescent="0.2">
      <c r="A29" s="55"/>
      <c r="C29" s="2" t="s">
        <v>415</v>
      </c>
      <c r="G29" s="1" t="s">
        <v>8</v>
      </c>
      <c r="H29" s="1" t="s">
        <v>9</v>
      </c>
      <c r="M29" s="66"/>
      <c r="N29" s="99"/>
      <c r="Q29" s="68"/>
      <c r="R29" s="68"/>
    </row>
    <row r="30" spans="1:20" x14ac:dyDescent="0.2">
      <c r="A30" s="55">
        <v>1</v>
      </c>
      <c r="B30" s="97" t="s">
        <v>3</v>
      </c>
      <c r="C30" s="97" t="s">
        <v>4</v>
      </c>
      <c r="D30" s="98">
        <v>540</v>
      </c>
      <c r="E30" s="3">
        <f t="shared" ref="E30:E40" si="2">D30*A30</f>
        <v>540</v>
      </c>
      <c r="G30" s="1" t="s">
        <v>407</v>
      </c>
      <c r="H30" s="1" t="s">
        <v>416</v>
      </c>
      <c r="M30" s="66"/>
      <c r="N30" s="99"/>
      <c r="Q30" s="68"/>
      <c r="R30" s="68"/>
    </row>
    <row r="31" spans="1:20" x14ac:dyDescent="0.2">
      <c r="A31" s="55">
        <v>1</v>
      </c>
      <c r="B31" s="1" t="s">
        <v>5</v>
      </c>
      <c r="C31" s="1" t="s">
        <v>6</v>
      </c>
      <c r="D31" s="3">
        <v>1312</v>
      </c>
      <c r="E31" s="3">
        <f t="shared" si="2"/>
        <v>1312</v>
      </c>
      <c r="G31" s="1" t="s">
        <v>3</v>
      </c>
      <c r="H31" s="1" t="s">
        <v>243</v>
      </c>
      <c r="M31" s="66"/>
      <c r="N31" s="99"/>
      <c r="Q31" s="68"/>
      <c r="R31" s="68"/>
      <c r="T31" s="3" t="s">
        <v>43</v>
      </c>
    </row>
    <row r="32" spans="1:20" x14ac:dyDescent="0.2">
      <c r="A32" s="55">
        <v>1</v>
      </c>
      <c r="B32" s="97" t="s">
        <v>161</v>
      </c>
      <c r="C32" s="97" t="s">
        <v>32</v>
      </c>
      <c r="D32" s="98">
        <v>315</v>
      </c>
      <c r="E32" s="3">
        <f t="shared" si="2"/>
        <v>315</v>
      </c>
      <c r="G32" s="101" t="s">
        <v>229</v>
      </c>
      <c r="H32" s="101" t="s">
        <v>230</v>
      </c>
      <c r="I32" s="101"/>
      <c r="M32" s="66"/>
      <c r="N32" s="99"/>
      <c r="Q32" s="68"/>
      <c r="R32" s="68"/>
    </row>
    <row r="33" spans="1:21" x14ac:dyDescent="0.2">
      <c r="A33" s="55">
        <v>1</v>
      </c>
      <c r="B33" s="1" t="s">
        <v>7</v>
      </c>
      <c r="C33" s="1" t="s">
        <v>162</v>
      </c>
      <c r="D33" s="3">
        <v>1397</v>
      </c>
      <c r="E33" s="3">
        <f t="shared" si="2"/>
        <v>1397</v>
      </c>
      <c r="G33" s="1" t="s">
        <v>38</v>
      </c>
      <c r="H33" s="1" t="s">
        <v>39</v>
      </c>
      <c r="M33" s="66"/>
      <c r="N33" s="99"/>
      <c r="Q33" s="68"/>
      <c r="R33" s="68"/>
    </row>
    <row r="34" spans="1:21" x14ac:dyDescent="0.2">
      <c r="A34" s="55">
        <v>2</v>
      </c>
      <c r="B34" s="97" t="s">
        <v>10</v>
      </c>
      <c r="C34" s="97" t="s">
        <v>11</v>
      </c>
      <c r="D34" s="98">
        <v>550</v>
      </c>
      <c r="E34" s="3">
        <f t="shared" si="2"/>
        <v>1100</v>
      </c>
      <c r="G34" s="1" t="s">
        <v>34</v>
      </c>
      <c r="H34" s="1" t="s">
        <v>35</v>
      </c>
      <c r="M34" s="66"/>
      <c r="N34" s="99"/>
      <c r="Q34" s="68"/>
      <c r="R34" s="68"/>
      <c r="S34" s="68" t="s">
        <v>43</v>
      </c>
      <c r="T34" s="68" t="s">
        <v>43</v>
      </c>
      <c r="U34" s="1" t="s">
        <v>43</v>
      </c>
    </row>
    <row r="35" spans="1:21" x14ac:dyDescent="0.2">
      <c r="A35" s="55">
        <v>5</v>
      </c>
      <c r="B35" s="97" t="s">
        <v>8</v>
      </c>
      <c r="C35" s="97" t="s">
        <v>9</v>
      </c>
      <c r="D35" s="98">
        <v>1352</v>
      </c>
      <c r="E35" s="3">
        <f t="shared" si="2"/>
        <v>6760</v>
      </c>
      <c r="G35" s="1" t="s">
        <v>36</v>
      </c>
      <c r="H35" s="1" t="s">
        <v>37</v>
      </c>
      <c r="M35" s="66"/>
      <c r="N35" s="99"/>
      <c r="Q35" s="68"/>
      <c r="R35" s="68"/>
      <c r="U35" s="1" t="s">
        <v>43</v>
      </c>
    </row>
    <row r="36" spans="1:21" x14ac:dyDescent="0.2">
      <c r="A36" s="55">
        <v>1</v>
      </c>
      <c r="B36" s="1" t="s">
        <v>12</v>
      </c>
      <c r="C36" s="1" t="s">
        <v>13</v>
      </c>
      <c r="D36" s="3">
        <v>805</v>
      </c>
      <c r="E36" s="3">
        <f t="shared" si="2"/>
        <v>805</v>
      </c>
      <c r="G36" s="55" t="s">
        <v>274</v>
      </c>
      <c r="H36" s="1" t="s">
        <v>296</v>
      </c>
      <c r="M36" s="66"/>
      <c r="N36" s="99"/>
      <c r="Q36" s="68"/>
      <c r="R36" s="68"/>
    </row>
    <row r="37" spans="1:21" x14ac:dyDescent="0.2">
      <c r="A37" s="55">
        <v>9</v>
      </c>
      <c r="B37" s="97" t="s">
        <v>14</v>
      </c>
      <c r="C37" s="97" t="s">
        <v>15</v>
      </c>
      <c r="D37" s="98">
        <v>75</v>
      </c>
      <c r="E37" s="3">
        <f t="shared" si="2"/>
        <v>675</v>
      </c>
      <c r="G37" s="1" t="s">
        <v>119</v>
      </c>
      <c r="H37" s="55" t="s">
        <v>276</v>
      </c>
      <c r="M37" s="66"/>
      <c r="N37" s="99"/>
      <c r="Q37" s="68"/>
      <c r="R37" s="68"/>
    </row>
    <row r="38" spans="1:21" x14ac:dyDescent="0.2">
      <c r="A38" s="55">
        <v>1</v>
      </c>
      <c r="B38" s="97" t="s">
        <v>34</v>
      </c>
      <c r="C38" s="97" t="s">
        <v>35</v>
      </c>
      <c r="D38" s="98">
        <v>671</v>
      </c>
      <c r="E38" s="3">
        <f t="shared" si="2"/>
        <v>671</v>
      </c>
      <c r="G38" s="1" t="s">
        <v>118</v>
      </c>
      <c r="H38" s="1" t="s">
        <v>275</v>
      </c>
      <c r="M38" s="66"/>
      <c r="N38" s="99"/>
      <c r="Q38" s="68"/>
      <c r="R38" s="68"/>
      <c r="T38" s="35"/>
    </row>
    <row r="39" spans="1:21" x14ac:dyDescent="0.2">
      <c r="A39" s="55">
        <v>1</v>
      </c>
      <c r="B39" s="97" t="s">
        <v>36</v>
      </c>
      <c r="C39" s="97" t="s">
        <v>37</v>
      </c>
      <c r="D39" s="98">
        <v>188</v>
      </c>
      <c r="E39" s="3">
        <f t="shared" si="2"/>
        <v>188</v>
      </c>
      <c r="G39" s="55" t="s">
        <v>279</v>
      </c>
      <c r="H39" s="55" t="s">
        <v>282</v>
      </c>
      <c r="M39" s="66"/>
      <c r="N39" s="99"/>
      <c r="Q39" s="68"/>
      <c r="R39" s="68"/>
    </row>
    <row r="40" spans="1:21" x14ac:dyDescent="0.2">
      <c r="A40" s="55">
        <v>1</v>
      </c>
      <c r="B40" s="1" t="s">
        <v>38</v>
      </c>
      <c r="C40" s="1" t="s">
        <v>39</v>
      </c>
      <c r="D40" s="3">
        <v>1056</v>
      </c>
      <c r="E40" s="3">
        <f t="shared" si="2"/>
        <v>1056</v>
      </c>
      <c r="G40" s="55" t="s">
        <v>280</v>
      </c>
      <c r="H40" s="55" t="s">
        <v>283</v>
      </c>
      <c r="M40" s="66"/>
      <c r="N40" s="99"/>
      <c r="Q40" s="68"/>
      <c r="R40" s="68"/>
    </row>
    <row r="41" spans="1:21" x14ac:dyDescent="0.2">
      <c r="D41" s="3" t="s">
        <v>16</v>
      </c>
      <c r="E41" s="5">
        <f>SUM(E30:E40)</f>
        <v>14819</v>
      </c>
      <c r="G41" s="55" t="s">
        <v>281</v>
      </c>
      <c r="H41" s="55" t="s">
        <v>284</v>
      </c>
      <c r="M41" s="66"/>
      <c r="N41" s="99"/>
      <c r="Q41" s="68"/>
      <c r="R41" s="68"/>
    </row>
    <row r="42" spans="1:21" x14ac:dyDescent="0.2">
      <c r="C42" s="2"/>
      <c r="G42" s="55" t="s">
        <v>285</v>
      </c>
      <c r="H42" s="55" t="s">
        <v>287</v>
      </c>
      <c r="M42" s="66"/>
      <c r="N42" s="99"/>
      <c r="Q42" s="68"/>
      <c r="R42" s="68"/>
    </row>
    <row r="43" spans="1:21" x14ac:dyDescent="0.2">
      <c r="C43" s="2" t="s">
        <v>163</v>
      </c>
      <c r="G43" s="55" t="s">
        <v>286</v>
      </c>
      <c r="H43" s="55" t="s">
        <v>288</v>
      </c>
      <c r="M43" s="66"/>
      <c r="N43" s="99"/>
      <c r="Q43" s="68"/>
      <c r="R43" s="68"/>
    </row>
    <row r="44" spans="1:21" x14ac:dyDescent="0.2">
      <c r="A44" s="1">
        <v>1</v>
      </c>
      <c r="B44" s="1" t="s">
        <v>3</v>
      </c>
      <c r="C44" s="1" t="s">
        <v>4</v>
      </c>
      <c r="D44" s="3">
        <v>542</v>
      </c>
      <c r="E44" s="3">
        <f t="shared" ref="E44:E53" si="3">D44*A44</f>
        <v>542</v>
      </c>
      <c r="G44" s="1" t="s">
        <v>292</v>
      </c>
      <c r="H44" s="55" t="s">
        <v>309</v>
      </c>
      <c r="M44" s="66"/>
      <c r="N44" s="99"/>
      <c r="Q44" s="68"/>
      <c r="R44" s="68"/>
    </row>
    <row r="45" spans="1:21" x14ac:dyDescent="0.2">
      <c r="A45" s="1">
        <v>1</v>
      </c>
      <c r="B45" s="1" t="s">
        <v>5</v>
      </c>
      <c r="C45" s="1" t="s">
        <v>6</v>
      </c>
      <c r="D45" s="3">
        <v>1312</v>
      </c>
      <c r="E45" s="3">
        <f t="shared" si="3"/>
        <v>1312</v>
      </c>
      <c r="G45" s="55" t="s">
        <v>293</v>
      </c>
      <c r="H45" s="55" t="s">
        <v>310</v>
      </c>
      <c r="M45" s="66"/>
      <c r="N45" s="99"/>
      <c r="Q45" s="68"/>
      <c r="R45" s="68"/>
    </row>
    <row r="46" spans="1:21" x14ac:dyDescent="0.2">
      <c r="A46" s="1">
        <v>2</v>
      </c>
      <c r="B46" s="1" t="s">
        <v>7</v>
      </c>
      <c r="C46" s="1" t="s">
        <v>162</v>
      </c>
      <c r="D46" s="3">
        <v>542</v>
      </c>
      <c r="E46" s="3">
        <f t="shared" si="3"/>
        <v>1084</v>
      </c>
      <c r="G46" s="55" t="s">
        <v>249</v>
      </c>
      <c r="H46" s="55" t="s">
        <v>300</v>
      </c>
      <c r="M46" s="66"/>
      <c r="N46" s="99"/>
      <c r="Q46" s="1" t="s">
        <v>222</v>
      </c>
      <c r="R46" s="69">
        <f>SUM(R14:R45)+R11</f>
        <v>0</v>
      </c>
    </row>
    <row r="47" spans="1:21" x14ac:dyDescent="0.2">
      <c r="A47" s="1">
        <v>5</v>
      </c>
      <c r="B47" s="1" t="s">
        <v>8</v>
      </c>
      <c r="C47" s="1" t="s">
        <v>9</v>
      </c>
      <c r="D47" s="3">
        <v>1397</v>
      </c>
      <c r="E47" s="3">
        <f t="shared" si="3"/>
        <v>6985</v>
      </c>
      <c r="G47" s="55"/>
      <c r="H47" s="55"/>
      <c r="M47" s="66"/>
      <c r="N47" s="99"/>
    </row>
    <row r="48" spans="1:21" x14ac:dyDescent="0.2">
      <c r="A48" s="1">
        <v>2</v>
      </c>
      <c r="B48" s="1" t="s">
        <v>10</v>
      </c>
      <c r="C48" s="1" t="s">
        <v>11</v>
      </c>
      <c r="D48" s="3">
        <v>559</v>
      </c>
      <c r="E48" s="3">
        <f t="shared" si="3"/>
        <v>1118</v>
      </c>
      <c r="G48" s="55"/>
      <c r="H48" s="55"/>
      <c r="M48" s="66"/>
      <c r="N48" s="99"/>
    </row>
    <row r="49" spans="1:16" x14ac:dyDescent="0.2">
      <c r="A49" s="1">
        <v>1</v>
      </c>
      <c r="B49" s="1" t="s">
        <v>12</v>
      </c>
      <c r="C49" s="1" t="s">
        <v>13</v>
      </c>
      <c r="D49" s="3">
        <v>805</v>
      </c>
      <c r="E49" s="3">
        <f t="shared" si="3"/>
        <v>805</v>
      </c>
      <c r="G49" s="55"/>
      <c r="H49" s="55"/>
      <c r="M49" s="66"/>
      <c r="N49" s="99"/>
    </row>
    <row r="50" spans="1:16" x14ac:dyDescent="0.2">
      <c r="A50" s="1">
        <v>9</v>
      </c>
      <c r="B50" s="1" t="s">
        <v>14</v>
      </c>
      <c r="C50" s="1" t="s">
        <v>15</v>
      </c>
      <c r="D50" s="3">
        <v>67</v>
      </c>
      <c r="E50" s="3">
        <f t="shared" si="3"/>
        <v>603</v>
      </c>
      <c r="G50" s="55"/>
      <c r="H50" s="55"/>
      <c r="P50" s="34" t="s">
        <v>43</v>
      </c>
    </row>
    <row r="51" spans="1:16" x14ac:dyDescent="0.2">
      <c r="A51" s="1">
        <v>1</v>
      </c>
      <c r="B51" s="1" t="s">
        <v>34</v>
      </c>
      <c r="C51" s="1" t="s">
        <v>35</v>
      </c>
      <c r="D51" s="3">
        <v>671</v>
      </c>
      <c r="E51" s="3">
        <f t="shared" si="3"/>
        <v>671</v>
      </c>
    </row>
    <row r="52" spans="1:16" x14ac:dyDescent="0.2">
      <c r="A52" s="1">
        <v>1</v>
      </c>
      <c r="B52" s="1" t="s">
        <v>36</v>
      </c>
      <c r="C52" s="1" t="s">
        <v>37</v>
      </c>
      <c r="D52" s="3">
        <v>190</v>
      </c>
      <c r="E52" s="3">
        <f t="shared" si="3"/>
        <v>190</v>
      </c>
    </row>
    <row r="53" spans="1:16" x14ac:dyDescent="0.2">
      <c r="A53" s="1">
        <v>1</v>
      </c>
      <c r="B53" s="1" t="s">
        <v>38</v>
      </c>
      <c r="C53" s="1" t="s">
        <v>39</v>
      </c>
      <c r="D53" s="3">
        <v>1056</v>
      </c>
      <c r="E53" s="3">
        <f t="shared" si="3"/>
        <v>1056</v>
      </c>
    </row>
    <row r="54" spans="1:16" x14ac:dyDescent="0.2">
      <c r="D54" s="3" t="s">
        <v>16</v>
      </c>
      <c r="E54" s="5">
        <f>SUM(E44:E53)</f>
        <v>14366</v>
      </c>
    </row>
    <row r="55" spans="1:16" x14ac:dyDescent="0.2">
      <c r="G55" s="30"/>
      <c r="H55" s="2"/>
      <c r="I55" s="5"/>
      <c r="J55" s="58"/>
      <c r="K55" s="2"/>
    </row>
    <row r="56" spans="1:16" ht="12.75" x14ac:dyDescent="0.2">
      <c r="B56" s="10" t="s">
        <v>417</v>
      </c>
      <c r="C56" s="102"/>
      <c r="D56" s="23"/>
      <c r="E56" s="23"/>
    </row>
    <row r="57" spans="1:16" ht="12.75" x14ac:dyDescent="0.2">
      <c r="A57" s="103">
        <v>1</v>
      </c>
      <c r="C57" s="13" t="s">
        <v>418</v>
      </c>
      <c r="D57" s="23">
        <v>2875</v>
      </c>
      <c r="E57" s="23">
        <f t="shared" ref="E57:E68" si="4">A57*D57</f>
        <v>2875</v>
      </c>
    </row>
    <row r="58" spans="1:16" ht="12.75" x14ac:dyDescent="0.2">
      <c r="A58" s="103">
        <v>1</v>
      </c>
      <c r="C58" s="13" t="s">
        <v>419</v>
      </c>
      <c r="D58" s="23">
        <v>2000</v>
      </c>
      <c r="E58" s="23">
        <f t="shared" si="4"/>
        <v>2000</v>
      </c>
    </row>
    <row r="59" spans="1:16" ht="12.75" x14ac:dyDescent="0.2">
      <c r="A59" s="103">
        <v>2</v>
      </c>
      <c r="C59" s="13" t="s">
        <v>420</v>
      </c>
      <c r="D59" s="23">
        <v>582</v>
      </c>
      <c r="E59" s="23">
        <f t="shared" si="4"/>
        <v>1164</v>
      </c>
    </row>
    <row r="60" spans="1:16" ht="12.75" x14ac:dyDescent="0.2">
      <c r="A60" s="103">
        <v>2</v>
      </c>
      <c r="C60" s="13" t="s">
        <v>421</v>
      </c>
      <c r="D60" s="23">
        <f>6633/2</f>
        <v>3316.5</v>
      </c>
      <c r="E60" s="23">
        <f t="shared" si="4"/>
        <v>6633</v>
      </c>
    </row>
    <row r="61" spans="1:16" ht="12.75" x14ac:dyDescent="0.2">
      <c r="A61" s="104">
        <v>2</v>
      </c>
      <c r="C61" s="13" t="s">
        <v>422</v>
      </c>
      <c r="D61" s="23">
        <f>3464/2</f>
        <v>1732</v>
      </c>
      <c r="E61" s="23">
        <f t="shared" si="4"/>
        <v>3464</v>
      </c>
    </row>
    <row r="62" spans="1:16" ht="12.75" x14ac:dyDescent="0.2">
      <c r="A62" s="104">
        <v>2</v>
      </c>
      <c r="C62" s="13" t="s">
        <v>392</v>
      </c>
      <c r="D62" s="23">
        <f>1062/2</f>
        <v>531</v>
      </c>
      <c r="E62" s="23">
        <f t="shared" si="4"/>
        <v>1062</v>
      </c>
    </row>
    <row r="63" spans="1:16" ht="12.75" x14ac:dyDescent="0.2">
      <c r="A63" s="104">
        <v>2</v>
      </c>
      <c r="C63" s="13" t="s">
        <v>423</v>
      </c>
      <c r="D63" s="23">
        <v>71</v>
      </c>
      <c r="E63" s="23">
        <f t="shared" si="4"/>
        <v>142</v>
      </c>
    </row>
    <row r="64" spans="1:16" ht="12.75" x14ac:dyDescent="0.2">
      <c r="A64" s="104">
        <v>2</v>
      </c>
      <c r="C64" s="13" t="s">
        <v>424</v>
      </c>
      <c r="D64" s="23">
        <f>5</f>
        <v>5</v>
      </c>
      <c r="E64" s="23">
        <f t="shared" si="4"/>
        <v>10</v>
      </c>
    </row>
    <row r="65" spans="1:5" ht="12.75" x14ac:dyDescent="0.2">
      <c r="A65" s="104">
        <v>1</v>
      </c>
      <c r="C65" s="23" t="s">
        <v>425</v>
      </c>
      <c r="D65" s="23">
        <v>104</v>
      </c>
      <c r="E65" s="23">
        <f t="shared" si="4"/>
        <v>104</v>
      </c>
    </row>
    <row r="66" spans="1:5" ht="12.75" x14ac:dyDescent="0.2">
      <c r="A66" s="104">
        <v>2</v>
      </c>
      <c r="C66" s="13" t="s">
        <v>426</v>
      </c>
      <c r="D66" s="23">
        <f>6412/2</f>
        <v>3206</v>
      </c>
      <c r="E66" s="23">
        <f t="shared" si="4"/>
        <v>6412</v>
      </c>
    </row>
    <row r="67" spans="1:5" ht="12.75" x14ac:dyDescent="0.2">
      <c r="A67" s="104">
        <v>1</v>
      </c>
      <c r="C67" s="23" t="s">
        <v>427</v>
      </c>
      <c r="D67" s="23">
        <v>48</v>
      </c>
      <c r="E67" s="23">
        <f t="shared" si="4"/>
        <v>48</v>
      </c>
    </row>
    <row r="68" spans="1:5" ht="12.75" x14ac:dyDescent="0.2">
      <c r="A68" s="103">
        <v>2</v>
      </c>
      <c r="C68" s="13" t="s">
        <v>428</v>
      </c>
      <c r="D68" s="23">
        <f>27/2</f>
        <v>13.5</v>
      </c>
      <c r="E68" s="23">
        <f t="shared" si="4"/>
        <v>27</v>
      </c>
    </row>
    <row r="69" spans="1:5" ht="12.75" x14ac:dyDescent="0.2">
      <c r="C69" s="105"/>
      <c r="D69" s="106" t="s">
        <v>429</v>
      </c>
      <c r="E69" s="23">
        <f>SUM(E57:E68)</f>
        <v>23941</v>
      </c>
    </row>
    <row r="95" spans="6:16" x14ac:dyDescent="0.2">
      <c r="F95" s="3"/>
      <c r="M95" s="1"/>
      <c r="O95" s="64"/>
      <c r="P95" s="63"/>
    </row>
    <row r="96" spans="6:16" x14ac:dyDescent="0.2">
      <c r="F96" s="3"/>
      <c r="M96" s="1"/>
      <c r="O96" s="64"/>
      <c r="P96" s="63"/>
    </row>
    <row r="97" spans="6:16" x14ac:dyDescent="0.2">
      <c r="F97" s="3"/>
      <c r="M97" s="1"/>
      <c r="O97" s="64"/>
      <c r="P97" s="63"/>
    </row>
    <row r="98" spans="6:16" x14ac:dyDescent="0.2">
      <c r="F98" s="3"/>
      <c r="M98" s="1"/>
      <c r="O98" s="64"/>
      <c r="P98" s="63"/>
    </row>
    <row r="99" spans="6:16" x14ac:dyDescent="0.2">
      <c r="F99" s="3"/>
      <c r="M99" s="1"/>
      <c r="O99" s="64"/>
      <c r="P99" s="63"/>
    </row>
    <row r="100" spans="6:16" x14ac:dyDescent="0.2">
      <c r="F100" s="3"/>
      <c r="M100" s="1"/>
      <c r="O100" s="64"/>
      <c r="P100" s="63"/>
    </row>
    <row r="101" spans="6:16" x14ac:dyDescent="0.2">
      <c r="F101" s="3"/>
      <c r="M101" s="1"/>
      <c r="O101" s="64"/>
      <c r="P101" s="63"/>
    </row>
    <row r="102" spans="6:16" x14ac:dyDescent="0.2">
      <c r="F102" s="3"/>
      <c r="M102" s="1"/>
      <c r="O102" s="64"/>
      <c r="P102" s="63"/>
    </row>
    <row r="103" spans="6:16" x14ac:dyDescent="0.2">
      <c r="F103" s="3"/>
      <c r="M103" s="1"/>
      <c r="O103" s="64"/>
      <c r="P103" s="63"/>
    </row>
    <row r="104" spans="6:16" x14ac:dyDescent="0.2">
      <c r="F104" s="3"/>
      <c r="M104" s="1"/>
      <c r="O104" s="64"/>
      <c r="P104" s="63"/>
    </row>
    <row r="105" spans="6:16" x14ac:dyDescent="0.2">
      <c r="F105" s="3"/>
      <c r="M105" s="1"/>
      <c r="O105" s="64"/>
      <c r="P105" s="63"/>
    </row>
    <row r="106" spans="6:16" x14ac:dyDescent="0.2">
      <c r="F106" s="3"/>
      <c r="M106" s="1"/>
      <c r="O106" s="64"/>
      <c r="P106" s="63"/>
    </row>
    <row r="107" spans="6:16" x14ac:dyDescent="0.2">
      <c r="F107" s="3"/>
      <c r="M107" s="1"/>
      <c r="O107" s="64"/>
      <c r="P107" s="63"/>
    </row>
    <row r="108" spans="6:16" x14ac:dyDescent="0.2">
      <c r="F108" s="3"/>
      <c r="M108" s="1"/>
      <c r="O108" s="64"/>
      <c r="P108" s="63"/>
    </row>
  </sheetData>
  <phoneticPr fontId="0" type="noConversion"/>
  <printOptions gridLines="1"/>
  <pageMargins left="0.25" right="0.25" top="0.75" bottom="0.75" header="0.3" footer="0.3"/>
  <pageSetup paperSize="17" fitToHeight="2" orientation="portrait" r:id="rId1"/>
  <headerFooter alignWithMargins="0">
    <oddFooter>&amp;L&amp;Z&amp;F&amp;C&amp;A&amp;R&amp;P /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G17" sqref="G17"/>
    </sheetView>
  </sheetViews>
  <sheetFormatPr defaultRowHeight="12.75" x14ac:dyDescent="0.2"/>
  <cols>
    <col min="1" max="1" width="7.85546875" style="15" customWidth="1"/>
    <col min="2" max="2" width="17" style="15" customWidth="1"/>
    <col min="3" max="3" width="44.42578125" style="15" customWidth="1"/>
    <col min="4" max="4" width="12.28515625" style="15" customWidth="1"/>
    <col min="5" max="5" width="14.42578125" style="15" customWidth="1"/>
    <col min="6" max="6" width="9.140625" style="15"/>
    <col min="7" max="7" width="20.28515625" style="15" customWidth="1"/>
    <col min="8" max="16384" width="9.140625" style="15"/>
  </cols>
  <sheetData>
    <row r="1" spans="1:7" x14ac:dyDescent="0.2">
      <c r="B1" s="15" t="s">
        <v>808</v>
      </c>
      <c r="D1" s="21"/>
      <c r="E1" s="21"/>
    </row>
    <row r="2" spans="1:7" x14ac:dyDescent="0.2">
      <c r="C2" s="16" t="s">
        <v>55</v>
      </c>
      <c r="E2" s="135">
        <v>1</v>
      </c>
    </row>
    <row r="3" spans="1:7" x14ac:dyDescent="0.2">
      <c r="A3" s="16" t="s">
        <v>0</v>
      </c>
      <c r="B3" s="16" t="s">
        <v>1</v>
      </c>
      <c r="C3" s="16" t="s">
        <v>2</v>
      </c>
      <c r="D3" s="36" t="s">
        <v>42</v>
      </c>
      <c r="E3" s="36" t="s">
        <v>214</v>
      </c>
      <c r="F3" s="36" t="s">
        <v>215</v>
      </c>
      <c r="G3" s="134" t="s">
        <v>234</v>
      </c>
    </row>
    <row r="4" spans="1:7" s="67" customFormat="1" x14ac:dyDescent="0.2">
      <c r="A4" s="67">
        <v>45</v>
      </c>
      <c r="B4" s="67" t="s">
        <v>806</v>
      </c>
      <c r="C4" s="67" t="s">
        <v>807</v>
      </c>
      <c r="D4" s="136">
        <v>164</v>
      </c>
      <c r="E4" s="136">
        <f t="shared" ref="E4:E13" si="0">A4*D4*$E$2</f>
        <v>7380</v>
      </c>
      <c r="F4" s="137"/>
      <c r="G4" s="137">
        <v>395689</v>
      </c>
    </row>
    <row r="5" spans="1:7" s="67" customFormat="1" x14ac:dyDescent="0.2">
      <c r="A5" s="67">
        <v>10</v>
      </c>
      <c r="B5" s="67" t="s">
        <v>56</v>
      </c>
      <c r="C5" s="67" t="s">
        <v>272</v>
      </c>
      <c r="D5" s="136">
        <v>164</v>
      </c>
      <c r="E5" s="136">
        <f t="shared" si="0"/>
        <v>1640</v>
      </c>
      <c r="F5" s="137"/>
      <c r="G5" s="137">
        <v>395689</v>
      </c>
    </row>
    <row r="6" spans="1:7" s="67" customFormat="1" x14ac:dyDescent="0.2">
      <c r="A6" s="67">
        <v>8</v>
      </c>
      <c r="B6" s="67" t="s">
        <v>299</v>
      </c>
      <c r="C6" s="67" t="s">
        <v>298</v>
      </c>
      <c r="D6" s="136">
        <v>164</v>
      </c>
      <c r="E6" s="136">
        <f t="shared" si="0"/>
        <v>1312</v>
      </c>
      <c r="F6" s="137"/>
      <c r="G6" s="137">
        <v>395689</v>
      </c>
    </row>
    <row r="7" spans="1:7" s="67" customFormat="1" x14ac:dyDescent="0.2">
      <c r="A7" s="67">
        <v>20</v>
      </c>
      <c r="B7" s="67" t="s">
        <v>884</v>
      </c>
      <c r="C7" s="67" t="s">
        <v>72</v>
      </c>
      <c r="D7" s="136">
        <v>195</v>
      </c>
      <c r="E7" s="136">
        <f t="shared" si="0"/>
        <v>3900</v>
      </c>
      <c r="F7" s="137"/>
      <c r="G7" s="137">
        <v>395689</v>
      </c>
    </row>
    <row r="8" spans="1:7" x14ac:dyDescent="0.2">
      <c r="A8" s="15">
        <v>0</v>
      </c>
      <c r="B8" s="15" t="s">
        <v>57</v>
      </c>
      <c r="C8" s="15" t="s">
        <v>73</v>
      </c>
      <c r="D8" s="20">
        <v>205</v>
      </c>
      <c r="E8" s="138">
        <f t="shared" si="0"/>
        <v>0</v>
      </c>
      <c r="F8" s="28"/>
      <c r="G8" s="139" t="s">
        <v>43</v>
      </c>
    </row>
    <row r="9" spans="1:7" s="67" customFormat="1" x14ac:dyDescent="0.2">
      <c r="A9" s="67">
        <v>5</v>
      </c>
      <c r="B9" s="67" t="s">
        <v>1442</v>
      </c>
      <c r="C9" s="67" t="s">
        <v>1443</v>
      </c>
      <c r="D9" s="136">
        <v>195</v>
      </c>
      <c r="E9" s="136">
        <f t="shared" si="0"/>
        <v>975</v>
      </c>
      <c r="F9" s="137"/>
      <c r="G9" s="137">
        <v>395689</v>
      </c>
    </row>
    <row r="10" spans="1:7" s="67" customFormat="1" x14ac:dyDescent="0.2">
      <c r="A10" s="67">
        <v>11</v>
      </c>
      <c r="B10" s="67" t="s">
        <v>58</v>
      </c>
      <c r="C10" s="67" t="s">
        <v>809</v>
      </c>
      <c r="D10" s="136">
        <v>39</v>
      </c>
      <c r="E10" s="136">
        <f t="shared" si="0"/>
        <v>429</v>
      </c>
      <c r="F10" s="137"/>
      <c r="G10" s="137">
        <v>395689</v>
      </c>
    </row>
    <row r="11" spans="1:7" s="67" customFormat="1" x14ac:dyDescent="0.2">
      <c r="A11" s="67">
        <v>11</v>
      </c>
      <c r="B11" s="67" t="s">
        <v>70</v>
      </c>
      <c r="C11" s="67" t="s">
        <v>71</v>
      </c>
      <c r="D11" s="136">
        <v>279</v>
      </c>
      <c r="E11" s="136">
        <f t="shared" si="0"/>
        <v>3069</v>
      </c>
      <c r="F11" s="137"/>
      <c r="G11" s="137">
        <v>395689</v>
      </c>
    </row>
    <row r="12" spans="1:7" s="67" customFormat="1" x14ac:dyDescent="0.2">
      <c r="A12" s="67">
        <v>11</v>
      </c>
      <c r="B12" s="67" t="s">
        <v>59</v>
      </c>
      <c r="C12" s="67" t="s">
        <v>60</v>
      </c>
      <c r="D12" s="136">
        <v>69</v>
      </c>
      <c r="E12" s="136">
        <f t="shared" si="0"/>
        <v>759</v>
      </c>
      <c r="F12" s="137"/>
      <c r="G12" s="137">
        <v>395689</v>
      </c>
    </row>
    <row r="13" spans="1:7" s="133" customFormat="1" x14ac:dyDescent="0.2">
      <c r="A13" s="133">
        <v>11</v>
      </c>
      <c r="B13" s="133" t="s">
        <v>61</v>
      </c>
      <c r="C13" s="133" t="s">
        <v>62</v>
      </c>
      <c r="D13" s="285">
        <v>67</v>
      </c>
      <c r="E13" s="285">
        <f t="shared" si="0"/>
        <v>737</v>
      </c>
      <c r="F13" s="286"/>
      <c r="G13" s="286"/>
    </row>
    <row r="14" spans="1:7" s="126" customFormat="1" x14ac:dyDescent="0.2">
      <c r="D14" s="138"/>
      <c r="E14" s="138"/>
      <c r="F14" s="139"/>
      <c r="G14" s="139"/>
    </row>
    <row r="15" spans="1:7" x14ac:dyDescent="0.2">
      <c r="D15" s="20"/>
      <c r="E15" s="138"/>
      <c r="F15" s="28"/>
      <c r="G15" s="139"/>
    </row>
    <row r="16" spans="1:7" x14ac:dyDescent="0.2">
      <c r="A16" s="15">
        <v>7</v>
      </c>
      <c r="B16" s="15" t="s">
        <v>209</v>
      </c>
      <c r="C16" s="15" t="s">
        <v>134</v>
      </c>
      <c r="D16" s="20">
        <v>425</v>
      </c>
      <c r="E16" s="138">
        <f>A16*D16*$E$2</f>
        <v>2975</v>
      </c>
      <c r="F16" s="28"/>
      <c r="G16" s="139"/>
    </row>
    <row r="18" spans="1:7" x14ac:dyDescent="0.2">
      <c r="D18" s="21"/>
      <c r="E18" s="21"/>
      <c r="F18" s="57"/>
      <c r="G18" s="126"/>
    </row>
    <row r="19" spans="1:7" x14ac:dyDescent="0.2">
      <c r="A19" s="15">
        <v>2</v>
      </c>
      <c r="B19" s="15" t="s">
        <v>237</v>
      </c>
      <c r="C19" s="15" t="s">
        <v>810</v>
      </c>
      <c r="D19" s="20">
        <v>410</v>
      </c>
      <c r="E19" s="138">
        <f>A19*D19*$E$2</f>
        <v>820</v>
      </c>
      <c r="F19" s="57"/>
      <c r="G19" s="126"/>
    </row>
    <row r="20" spans="1:7" x14ac:dyDescent="0.2">
      <c r="D20" s="21"/>
      <c r="F20" s="57"/>
      <c r="G20" s="126"/>
    </row>
    <row r="21" spans="1:7" x14ac:dyDescent="0.2">
      <c r="A21" s="15">
        <v>2</v>
      </c>
      <c r="B21" s="15" t="s">
        <v>135</v>
      </c>
      <c r="C21" s="15" t="s">
        <v>136</v>
      </c>
      <c r="D21" s="20">
        <v>92.4</v>
      </c>
      <c r="E21" s="138">
        <f>A21*D21*$E$2</f>
        <v>184.8</v>
      </c>
      <c r="F21" s="28"/>
      <c r="G21" s="139"/>
    </row>
    <row r="22" spans="1:7" x14ac:dyDescent="0.2">
      <c r="A22" s="15">
        <v>2</v>
      </c>
      <c r="B22" s="15" t="s">
        <v>216</v>
      </c>
      <c r="C22" s="15" t="s">
        <v>137</v>
      </c>
      <c r="D22" s="20">
        <v>292.3</v>
      </c>
      <c r="E22" s="138">
        <f>A22*D22*$E$2</f>
        <v>584.6</v>
      </c>
      <c r="F22" s="140"/>
      <c r="G22" s="139"/>
    </row>
    <row r="23" spans="1:7" x14ac:dyDescent="0.2">
      <c r="G23" s="126"/>
    </row>
    <row r="24" spans="1:7" x14ac:dyDescent="0.2">
      <c r="G24" s="126"/>
    </row>
    <row r="25" spans="1:7" x14ac:dyDescent="0.2">
      <c r="C25" s="15" t="s">
        <v>1237</v>
      </c>
      <c r="G25" s="126"/>
    </row>
    <row r="26" spans="1:7" x14ac:dyDescent="0.2">
      <c r="D26" s="15" t="s">
        <v>1236</v>
      </c>
      <c r="E26" s="20">
        <f>SUM(E4:E24)</f>
        <v>24765.399999999998</v>
      </c>
      <c r="G26" s="126"/>
    </row>
    <row r="27" spans="1:7" x14ac:dyDescent="0.2">
      <c r="G27" s="126"/>
    </row>
    <row r="28" spans="1:7" x14ac:dyDescent="0.2">
      <c r="D28" s="15" t="s">
        <v>1440</v>
      </c>
      <c r="E28" s="20">
        <f>E4+E6+E7+E10+E11+E12+E13</f>
        <v>17586</v>
      </c>
      <c r="F28" s="15" t="s">
        <v>43</v>
      </c>
      <c r="G28" s="15" t="s">
        <v>43</v>
      </c>
    </row>
    <row r="29" spans="1:7" x14ac:dyDescent="0.2">
      <c r="D29" s="15" t="s">
        <v>1441</v>
      </c>
      <c r="E29" s="20">
        <f>E26-E28</f>
        <v>7179.3999999999978</v>
      </c>
    </row>
    <row r="30" spans="1:7" x14ac:dyDescent="0.2">
      <c r="G30" s="21" t="s">
        <v>43</v>
      </c>
    </row>
    <row r="31" spans="1:7" x14ac:dyDescent="0.2">
      <c r="G31" s="15" t="s">
        <v>43</v>
      </c>
    </row>
  </sheetData>
  <phoneticPr fontId="0" type="noConversion"/>
  <printOptions gridLines="1"/>
  <pageMargins left="0.25" right="0.25" top="0.75" bottom="0.75" header="0.3" footer="0.3"/>
  <pageSetup orientation="landscape" horizontalDpi="4294967293" verticalDpi="4294967293" r:id="rId1"/>
  <headerFooter alignWithMargins="0">
    <oddFooter>&amp;L&amp;Z&amp;F&amp;C&amp;A&amp;R&amp;P /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31" zoomScaleNormal="100" workbookViewId="0">
      <pane ySplit="660" topLeftCell="A16" activePane="bottomLeft"/>
      <selection activeCell="A8" sqref="A8:XFD8"/>
      <selection pane="bottomLeft" activeCell="G74" sqref="G74"/>
    </sheetView>
  </sheetViews>
  <sheetFormatPr defaultRowHeight="12.75" x14ac:dyDescent="0.2"/>
  <cols>
    <col min="1" max="1" width="18.140625" customWidth="1"/>
    <col min="2" max="2" width="16" customWidth="1"/>
    <col min="3" max="3" width="39.85546875" customWidth="1"/>
    <col min="6" max="6" width="10.140625" bestFit="1" customWidth="1"/>
    <col min="7" max="7" width="11.140625" bestFit="1" customWidth="1"/>
    <col min="10" max="10" width="17.85546875" customWidth="1"/>
    <col min="12" max="12" width="9.140625" style="62"/>
    <col min="13" max="13" width="10.140625" style="62" bestFit="1" customWidth="1"/>
    <col min="15" max="15" width="10.140625" bestFit="1" customWidth="1"/>
  </cols>
  <sheetData>
    <row r="1" spans="1:13" x14ac:dyDescent="0.2">
      <c r="A1" s="1"/>
      <c r="B1" s="1"/>
      <c r="C1" s="1" t="s">
        <v>44</v>
      </c>
      <c r="D1" s="3"/>
      <c r="E1" s="3"/>
      <c r="F1" s="3"/>
      <c r="G1" s="1"/>
    </row>
    <row r="2" spans="1:13" ht="15.75" x14ac:dyDescent="0.25">
      <c r="A2" s="1"/>
      <c r="B2" s="1"/>
      <c r="C2" s="6" t="s">
        <v>204</v>
      </c>
      <c r="D2" s="3"/>
      <c r="E2" s="3"/>
      <c r="F2" s="3"/>
      <c r="G2" s="1"/>
      <c r="I2" s="21" t="s">
        <v>215</v>
      </c>
      <c r="J2" s="17" t="s">
        <v>234</v>
      </c>
      <c r="K2" s="17" t="s">
        <v>212</v>
      </c>
      <c r="L2" s="70" t="s">
        <v>213</v>
      </c>
      <c r="M2" s="70" t="s">
        <v>214</v>
      </c>
    </row>
    <row r="3" spans="1:13" x14ac:dyDescent="0.2">
      <c r="A3" s="33" t="s">
        <v>245</v>
      </c>
      <c r="B3" s="1" t="s">
        <v>1</v>
      </c>
      <c r="C3" s="1" t="s">
        <v>2</v>
      </c>
      <c r="D3" s="4" t="s">
        <v>42</v>
      </c>
      <c r="E3" s="4" t="s">
        <v>41</v>
      </c>
      <c r="F3" s="4" t="s">
        <v>40</v>
      </c>
      <c r="G3" s="1"/>
      <c r="I3" s="19"/>
      <c r="J3" s="19"/>
      <c r="K3" s="19"/>
      <c r="L3" s="71"/>
      <c r="M3" s="71"/>
    </row>
    <row r="4" spans="1:13" x14ac:dyDescent="0.2">
      <c r="A4" s="1"/>
      <c r="B4" s="1"/>
      <c r="C4" s="2" t="s">
        <v>43</v>
      </c>
      <c r="D4" s="3"/>
      <c r="E4" s="7">
        <v>1</v>
      </c>
      <c r="F4" s="3"/>
      <c r="G4" s="1"/>
    </row>
    <row r="5" spans="1:13" x14ac:dyDescent="0.2">
      <c r="A5" s="1"/>
      <c r="B5" s="1"/>
      <c r="C5" s="2" t="s">
        <v>150</v>
      </c>
      <c r="D5" s="3"/>
      <c r="E5" s="7">
        <v>0.73699999999999999</v>
      </c>
      <c r="F5" s="3"/>
      <c r="G5" s="1"/>
    </row>
    <row r="6" spans="1:13" x14ac:dyDescent="0.2">
      <c r="A6" s="1">
        <v>1</v>
      </c>
      <c r="B6" s="1" t="s">
        <v>74</v>
      </c>
      <c r="C6" s="1" t="s">
        <v>75</v>
      </c>
      <c r="D6" s="3">
        <v>663.52</v>
      </c>
      <c r="E6" s="3">
        <f t="shared" ref="E6:E13" si="0">D6*$E$4</f>
        <v>663.52</v>
      </c>
      <c r="F6" s="3">
        <f>E6*A6</f>
        <v>663.52</v>
      </c>
      <c r="G6" s="1"/>
    </row>
    <row r="7" spans="1:13" x14ac:dyDescent="0.2">
      <c r="A7" s="1">
        <v>4</v>
      </c>
      <c r="B7" s="1" t="s">
        <v>76</v>
      </c>
      <c r="C7" s="1" t="s">
        <v>77</v>
      </c>
      <c r="D7" s="3">
        <v>45</v>
      </c>
      <c r="E7" s="3">
        <f t="shared" si="0"/>
        <v>45</v>
      </c>
      <c r="F7" s="3">
        <f t="shared" ref="F7:F13" si="1">E7*A7</f>
        <v>180</v>
      </c>
      <c r="G7" s="1"/>
    </row>
    <row r="8" spans="1:13" x14ac:dyDescent="0.2">
      <c r="A8" s="1">
        <v>6</v>
      </c>
      <c r="B8" s="1" t="s">
        <v>63</v>
      </c>
      <c r="C8" s="1" t="s">
        <v>78</v>
      </c>
      <c r="D8" s="3">
        <v>105</v>
      </c>
      <c r="E8" s="3">
        <f t="shared" si="0"/>
        <v>105</v>
      </c>
      <c r="F8" s="3">
        <f t="shared" si="1"/>
        <v>630</v>
      </c>
      <c r="G8" s="1"/>
    </row>
    <row r="9" spans="1:13" x14ac:dyDescent="0.2">
      <c r="A9" s="1">
        <v>1</v>
      </c>
      <c r="B9" s="1" t="s">
        <v>79</v>
      </c>
      <c r="C9" s="1" t="s">
        <v>80</v>
      </c>
      <c r="D9" s="3">
        <v>160</v>
      </c>
      <c r="E9" s="3">
        <f t="shared" si="0"/>
        <v>160</v>
      </c>
      <c r="F9" s="3">
        <f t="shared" si="1"/>
        <v>160</v>
      </c>
      <c r="G9" s="1"/>
    </row>
    <row r="10" spans="1:13" x14ac:dyDescent="0.2">
      <c r="A10" s="1">
        <v>1</v>
      </c>
      <c r="B10" s="1" t="s">
        <v>82</v>
      </c>
      <c r="C10" s="1" t="s">
        <v>81</v>
      </c>
      <c r="D10" s="3">
        <v>160</v>
      </c>
      <c r="E10" s="3">
        <f t="shared" si="0"/>
        <v>160</v>
      </c>
      <c r="F10" s="3">
        <f t="shared" si="1"/>
        <v>160</v>
      </c>
      <c r="G10" s="1"/>
    </row>
    <row r="11" spans="1:13" x14ac:dyDescent="0.2">
      <c r="A11" s="1">
        <v>1</v>
      </c>
      <c r="B11" s="1" t="s">
        <v>84</v>
      </c>
      <c r="C11" s="1" t="s">
        <v>83</v>
      </c>
      <c r="D11" s="3">
        <v>36</v>
      </c>
      <c r="E11" s="3">
        <f t="shared" si="0"/>
        <v>36</v>
      </c>
      <c r="F11" s="3">
        <f t="shared" si="1"/>
        <v>36</v>
      </c>
      <c r="G11" s="1"/>
    </row>
    <row r="12" spans="1:13" x14ac:dyDescent="0.2">
      <c r="A12" s="1">
        <v>2</v>
      </c>
      <c r="B12" s="1" t="s">
        <v>86</v>
      </c>
      <c r="C12" s="1" t="s">
        <v>85</v>
      </c>
      <c r="D12" s="3">
        <v>130</v>
      </c>
      <c r="E12" s="3">
        <f t="shared" si="0"/>
        <v>130</v>
      </c>
      <c r="F12" s="3">
        <f t="shared" si="1"/>
        <v>260</v>
      </c>
      <c r="G12" s="1"/>
    </row>
    <row r="13" spans="1:13" x14ac:dyDescent="0.2">
      <c r="A13" s="1">
        <v>1</v>
      </c>
      <c r="B13" s="1" t="s">
        <v>88</v>
      </c>
      <c r="C13" s="1" t="s">
        <v>87</v>
      </c>
      <c r="D13" s="3">
        <v>40</v>
      </c>
      <c r="E13" s="3">
        <f t="shared" si="0"/>
        <v>40</v>
      </c>
      <c r="F13" s="3">
        <f t="shared" si="1"/>
        <v>40</v>
      </c>
      <c r="G13" s="1"/>
    </row>
    <row r="14" spans="1:13" x14ac:dyDescent="0.2">
      <c r="A14" s="1">
        <v>2</v>
      </c>
      <c r="B14" s="1" t="s">
        <v>66</v>
      </c>
      <c r="C14" s="1" t="s">
        <v>65</v>
      </c>
      <c r="D14" s="3">
        <v>28</v>
      </c>
      <c r="E14" s="3">
        <f t="shared" ref="E14:E52" si="2">D14*$E$4</f>
        <v>28</v>
      </c>
      <c r="F14" s="3">
        <f t="shared" ref="F14:F20" si="3">E14*A14</f>
        <v>56</v>
      </c>
      <c r="G14" s="1"/>
    </row>
    <row r="15" spans="1:13" x14ac:dyDescent="0.2">
      <c r="A15" s="1">
        <v>100</v>
      </c>
      <c r="B15" s="1" t="s">
        <v>67</v>
      </c>
      <c r="C15" s="1" t="s">
        <v>69</v>
      </c>
      <c r="D15" s="3">
        <v>0.4</v>
      </c>
      <c r="E15" s="3">
        <f t="shared" si="2"/>
        <v>0.4</v>
      </c>
      <c r="F15" s="3">
        <f t="shared" si="3"/>
        <v>40</v>
      </c>
      <c r="G15" s="1"/>
    </row>
    <row r="16" spans="1:13" x14ac:dyDescent="0.2">
      <c r="A16" s="1">
        <v>100</v>
      </c>
      <c r="B16" s="1" t="s">
        <v>68</v>
      </c>
      <c r="C16" s="1" t="s">
        <v>311</v>
      </c>
      <c r="D16" s="3">
        <v>0.28000000000000003</v>
      </c>
      <c r="E16" s="3">
        <f t="shared" si="2"/>
        <v>0.28000000000000003</v>
      </c>
      <c r="F16" s="3">
        <f t="shared" si="3"/>
        <v>28.000000000000004</v>
      </c>
      <c r="G16" s="1"/>
    </row>
    <row r="17" spans="1:15" x14ac:dyDescent="0.2">
      <c r="A17" s="1">
        <v>1</v>
      </c>
      <c r="B17" s="8">
        <v>446149</v>
      </c>
      <c r="C17" s="1" t="s">
        <v>89</v>
      </c>
      <c r="D17" s="3">
        <v>4</v>
      </c>
      <c r="E17" s="3">
        <f t="shared" si="2"/>
        <v>4</v>
      </c>
      <c r="F17" s="3">
        <f t="shared" si="3"/>
        <v>4</v>
      </c>
      <c r="G17" s="1"/>
    </row>
    <row r="18" spans="1:15" x14ac:dyDescent="0.2">
      <c r="A18" s="1">
        <v>1</v>
      </c>
      <c r="B18" s="8" t="s">
        <v>140</v>
      </c>
      <c r="C18" s="1" t="s">
        <v>141</v>
      </c>
      <c r="D18" s="3">
        <v>750</v>
      </c>
      <c r="E18" s="3">
        <f t="shared" si="2"/>
        <v>750</v>
      </c>
      <c r="F18" s="3">
        <f t="shared" si="3"/>
        <v>750</v>
      </c>
      <c r="G18" s="1"/>
    </row>
    <row r="19" spans="1:15" x14ac:dyDescent="0.2">
      <c r="A19" s="1">
        <v>1</v>
      </c>
      <c r="B19" s="8" t="s">
        <v>142</v>
      </c>
      <c r="C19" s="1" t="s">
        <v>143</v>
      </c>
      <c r="D19" s="3">
        <v>175</v>
      </c>
      <c r="E19" s="3">
        <f t="shared" si="2"/>
        <v>175</v>
      </c>
      <c r="F19" s="3">
        <f t="shared" si="3"/>
        <v>175</v>
      </c>
      <c r="G19" s="1"/>
      <c r="O19" s="1"/>
    </row>
    <row r="20" spans="1:15" x14ac:dyDescent="0.2">
      <c r="A20" s="1">
        <v>3</v>
      </c>
      <c r="B20" s="8" t="s">
        <v>64</v>
      </c>
      <c r="C20" s="1" t="s">
        <v>154</v>
      </c>
      <c r="D20" s="3">
        <v>51</v>
      </c>
      <c r="E20" s="3">
        <f t="shared" si="2"/>
        <v>51</v>
      </c>
      <c r="F20" s="3">
        <f t="shared" si="3"/>
        <v>153</v>
      </c>
      <c r="G20" s="1"/>
      <c r="J20" s="79"/>
      <c r="O20" s="1"/>
    </row>
    <row r="21" spans="1:15" x14ac:dyDescent="0.2">
      <c r="A21" s="1"/>
      <c r="B21" s="8"/>
      <c r="C21" s="1" t="s">
        <v>43</v>
      </c>
      <c r="D21" s="3"/>
      <c r="E21" s="3"/>
      <c r="F21" s="3"/>
      <c r="G21" s="1"/>
      <c r="J21" s="79"/>
      <c r="O21" s="1"/>
    </row>
    <row r="22" spans="1:15" x14ac:dyDescent="0.2">
      <c r="A22" s="1"/>
      <c r="B22" s="8"/>
      <c r="C22" s="1"/>
      <c r="D22" s="3" t="s">
        <v>16</v>
      </c>
      <c r="E22" s="3"/>
      <c r="F22" s="5">
        <f>SUM(F6:F21)</f>
        <v>3335.52</v>
      </c>
      <c r="G22" s="5">
        <f>5*F22</f>
        <v>16677.599999999999</v>
      </c>
      <c r="J22" s="79"/>
      <c r="O22" s="1"/>
    </row>
    <row r="23" spans="1:15" x14ac:dyDescent="0.2">
      <c r="A23" s="1"/>
      <c r="B23" s="8"/>
      <c r="C23" s="2" t="s">
        <v>149</v>
      </c>
      <c r="D23" s="3"/>
      <c r="E23" s="3"/>
      <c r="F23" s="3"/>
      <c r="G23" s="1"/>
      <c r="I23" s="21" t="s">
        <v>215</v>
      </c>
      <c r="J23" s="149" t="s">
        <v>234</v>
      </c>
      <c r="K23" s="17" t="s">
        <v>212</v>
      </c>
      <c r="L23" s="70" t="s">
        <v>213</v>
      </c>
      <c r="M23" s="70" t="s">
        <v>214</v>
      </c>
      <c r="O23" s="1"/>
    </row>
    <row r="24" spans="1:15" x14ac:dyDescent="0.2">
      <c r="A24" s="1">
        <v>800</v>
      </c>
      <c r="B24" s="8" t="s">
        <v>93</v>
      </c>
      <c r="C24" s="1" t="s">
        <v>90</v>
      </c>
      <c r="D24" s="3">
        <v>1.55</v>
      </c>
      <c r="E24" s="3">
        <f t="shared" si="2"/>
        <v>1.55</v>
      </c>
      <c r="F24" s="3">
        <f>E24*A24</f>
        <v>1240</v>
      </c>
      <c r="G24" s="1"/>
      <c r="I24" s="22">
        <v>40240</v>
      </c>
      <c r="J24" s="126" t="s">
        <v>235</v>
      </c>
      <c r="K24">
        <v>2000</v>
      </c>
      <c r="L24" s="62">
        <v>0.71</v>
      </c>
      <c r="M24" s="62">
        <f>L24*K24</f>
        <v>1420</v>
      </c>
      <c r="O24" s="1"/>
    </row>
    <row r="25" spans="1:15" x14ac:dyDescent="0.2">
      <c r="A25" s="1">
        <v>100</v>
      </c>
      <c r="B25" s="8" t="s">
        <v>108</v>
      </c>
      <c r="C25" s="1" t="s">
        <v>92</v>
      </c>
      <c r="D25" s="3">
        <v>3.4</v>
      </c>
      <c r="E25" s="3">
        <f t="shared" si="2"/>
        <v>3.4</v>
      </c>
      <c r="F25" s="3">
        <f>E25*A25</f>
        <v>340</v>
      </c>
      <c r="G25" s="1"/>
      <c r="I25" s="22">
        <v>40240</v>
      </c>
      <c r="J25" s="126" t="s">
        <v>235</v>
      </c>
      <c r="K25">
        <v>400</v>
      </c>
      <c r="L25" s="62">
        <v>2.0699999999999998</v>
      </c>
      <c r="M25" s="62">
        <f t="shared" ref="M25:M40" si="4">L25*K25</f>
        <v>827.99999999999989</v>
      </c>
      <c r="O25" s="1"/>
    </row>
    <row r="26" spans="1:15" x14ac:dyDescent="0.2">
      <c r="A26" s="1">
        <v>200</v>
      </c>
      <c r="B26" s="8" t="s">
        <v>113</v>
      </c>
      <c r="C26" s="1" t="s">
        <v>91</v>
      </c>
      <c r="D26" s="3">
        <v>5.05</v>
      </c>
      <c r="E26" s="3">
        <f t="shared" si="2"/>
        <v>5.05</v>
      </c>
      <c r="F26" s="3">
        <f>E26*A26</f>
        <v>1010</v>
      </c>
      <c r="G26" s="1"/>
      <c r="I26" s="22">
        <v>40240</v>
      </c>
      <c r="J26" s="126" t="s">
        <v>235</v>
      </c>
      <c r="K26">
        <v>900</v>
      </c>
      <c r="L26" s="62">
        <v>4.7</v>
      </c>
      <c r="M26" s="62">
        <f t="shared" si="4"/>
        <v>4230</v>
      </c>
      <c r="O26" s="1"/>
    </row>
    <row r="27" spans="1:15" x14ac:dyDescent="0.2">
      <c r="A27" s="1">
        <v>20</v>
      </c>
      <c r="B27" s="8" t="s">
        <v>102</v>
      </c>
      <c r="C27" s="1" t="s">
        <v>103</v>
      </c>
      <c r="D27" s="3">
        <v>0.6</v>
      </c>
      <c r="E27" s="3">
        <f t="shared" si="2"/>
        <v>0.6</v>
      </c>
      <c r="F27" s="3">
        <f t="shared" ref="F27:F38" si="5">E27*A27</f>
        <v>12</v>
      </c>
      <c r="G27" s="1"/>
      <c r="I27" s="22">
        <v>40240</v>
      </c>
      <c r="J27" s="126" t="s">
        <v>235</v>
      </c>
      <c r="K27">
        <v>50</v>
      </c>
      <c r="L27" s="62">
        <v>0.6</v>
      </c>
      <c r="M27" s="62">
        <f t="shared" si="4"/>
        <v>30</v>
      </c>
      <c r="O27" s="1"/>
    </row>
    <row r="28" spans="1:15" x14ac:dyDescent="0.2">
      <c r="A28" s="1">
        <v>30</v>
      </c>
      <c r="B28" s="8" t="s">
        <v>105</v>
      </c>
      <c r="C28" s="1" t="s">
        <v>104</v>
      </c>
      <c r="D28" s="3">
        <v>0.9</v>
      </c>
      <c r="E28" s="3">
        <f t="shared" si="2"/>
        <v>0.9</v>
      </c>
      <c r="F28" s="3">
        <f t="shared" si="5"/>
        <v>27</v>
      </c>
      <c r="G28" s="1"/>
      <c r="I28" s="22">
        <v>40240</v>
      </c>
      <c r="J28" s="126" t="s">
        <v>235</v>
      </c>
      <c r="K28">
        <v>50</v>
      </c>
      <c r="L28" s="62">
        <v>1.22</v>
      </c>
      <c r="M28" s="62">
        <f t="shared" si="4"/>
        <v>61</v>
      </c>
      <c r="O28" s="1"/>
    </row>
    <row r="29" spans="1:15" x14ac:dyDescent="0.2">
      <c r="A29" s="1">
        <v>30</v>
      </c>
      <c r="B29" s="8" t="s">
        <v>107</v>
      </c>
      <c r="C29" s="1" t="s">
        <v>106</v>
      </c>
      <c r="D29" s="3">
        <v>1.85</v>
      </c>
      <c r="E29" s="3">
        <f t="shared" si="2"/>
        <v>1.85</v>
      </c>
      <c r="F29" s="3">
        <f t="shared" si="5"/>
        <v>55.5</v>
      </c>
      <c r="G29" s="1"/>
      <c r="I29" s="22">
        <v>40240</v>
      </c>
      <c r="J29" s="126" t="s">
        <v>235</v>
      </c>
      <c r="K29">
        <v>100</v>
      </c>
      <c r="L29" s="62">
        <v>2.2000000000000002</v>
      </c>
      <c r="M29" s="62">
        <f t="shared" si="4"/>
        <v>220.00000000000003</v>
      </c>
      <c r="O29" s="1"/>
    </row>
    <row r="30" spans="1:15" x14ac:dyDescent="0.2">
      <c r="A30" s="1">
        <v>20</v>
      </c>
      <c r="B30" s="8" t="s">
        <v>109</v>
      </c>
      <c r="C30" s="1" t="s">
        <v>110</v>
      </c>
      <c r="D30" s="3">
        <v>1.01</v>
      </c>
      <c r="E30" s="3">
        <f t="shared" si="2"/>
        <v>1.01</v>
      </c>
      <c r="F30" s="3">
        <f t="shared" si="5"/>
        <v>20.2</v>
      </c>
      <c r="G30" s="1"/>
      <c r="I30" s="22">
        <v>40240</v>
      </c>
      <c r="J30" s="126" t="s">
        <v>235</v>
      </c>
      <c r="K30">
        <v>200</v>
      </c>
      <c r="L30" s="62">
        <v>0.77</v>
      </c>
      <c r="M30" s="62">
        <f t="shared" si="4"/>
        <v>154</v>
      </c>
      <c r="O30" s="1"/>
    </row>
    <row r="31" spans="1:15" x14ac:dyDescent="0.2">
      <c r="A31" s="1">
        <v>30</v>
      </c>
      <c r="B31" s="8" t="s">
        <v>111</v>
      </c>
      <c r="C31" s="1" t="s">
        <v>112</v>
      </c>
      <c r="D31" s="3">
        <v>3.4</v>
      </c>
      <c r="E31" s="3">
        <f t="shared" si="2"/>
        <v>3.4</v>
      </c>
      <c r="F31" s="3">
        <f t="shared" si="5"/>
        <v>102</v>
      </c>
      <c r="G31" s="1"/>
      <c r="I31" s="22">
        <v>40240</v>
      </c>
      <c r="J31" s="126" t="s">
        <v>235</v>
      </c>
      <c r="K31">
        <v>50</v>
      </c>
      <c r="L31" s="62">
        <v>2.42</v>
      </c>
      <c r="M31" s="62">
        <f t="shared" si="4"/>
        <v>121</v>
      </c>
      <c r="O31" s="1"/>
    </row>
    <row r="32" spans="1:15" x14ac:dyDescent="0.2">
      <c r="A32" s="1">
        <v>20</v>
      </c>
      <c r="B32" s="8" t="s">
        <v>114</v>
      </c>
      <c r="C32" s="1" t="s">
        <v>115</v>
      </c>
      <c r="D32" s="3">
        <v>1</v>
      </c>
      <c r="E32" s="3">
        <f t="shared" si="2"/>
        <v>1</v>
      </c>
      <c r="F32" s="3">
        <f t="shared" si="5"/>
        <v>20</v>
      </c>
      <c r="G32" s="1"/>
      <c r="I32" s="22">
        <v>40240</v>
      </c>
      <c r="J32" s="126" t="s">
        <v>235</v>
      </c>
      <c r="K32">
        <v>50</v>
      </c>
      <c r="L32" s="62">
        <v>0.97</v>
      </c>
      <c r="M32" s="62">
        <f t="shared" si="4"/>
        <v>48.5</v>
      </c>
      <c r="O32" s="1"/>
    </row>
    <row r="33" spans="1:15" x14ac:dyDescent="0.2">
      <c r="A33" s="1">
        <v>15</v>
      </c>
      <c r="B33" s="8" t="s">
        <v>116</v>
      </c>
      <c r="C33" s="1" t="s">
        <v>117</v>
      </c>
      <c r="D33" s="3">
        <v>5.5</v>
      </c>
      <c r="E33" s="3">
        <f t="shared" si="2"/>
        <v>5.5</v>
      </c>
      <c r="F33" s="3">
        <f t="shared" si="5"/>
        <v>82.5</v>
      </c>
      <c r="G33" s="1"/>
      <c r="I33" s="22">
        <v>40240</v>
      </c>
      <c r="J33" s="126" t="s">
        <v>235</v>
      </c>
      <c r="K33">
        <v>60</v>
      </c>
      <c r="L33" s="62">
        <v>5.12</v>
      </c>
      <c r="M33" s="62">
        <f t="shared" si="4"/>
        <v>307.2</v>
      </c>
      <c r="O33" s="1"/>
    </row>
    <row r="34" spans="1:15" x14ac:dyDescent="0.2">
      <c r="A34" s="1">
        <v>1</v>
      </c>
      <c r="B34" s="8" t="s">
        <v>118</v>
      </c>
      <c r="C34" s="1" t="s">
        <v>121</v>
      </c>
      <c r="D34" s="3">
        <v>133</v>
      </c>
      <c r="E34" s="3">
        <f t="shared" si="2"/>
        <v>133</v>
      </c>
      <c r="F34" s="3">
        <f t="shared" si="5"/>
        <v>133</v>
      </c>
      <c r="G34" s="1"/>
      <c r="I34" s="22">
        <v>40240</v>
      </c>
      <c r="J34" s="126" t="s">
        <v>235</v>
      </c>
      <c r="K34">
        <v>6</v>
      </c>
      <c r="L34" s="62">
        <v>87.15</v>
      </c>
      <c r="M34" s="62">
        <f t="shared" si="4"/>
        <v>522.90000000000009</v>
      </c>
      <c r="O34" s="1"/>
    </row>
    <row r="35" spans="1:15" x14ac:dyDescent="0.2">
      <c r="A35" s="1">
        <v>11</v>
      </c>
      <c r="B35" s="8" t="s">
        <v>119</v>
      </c>
      <c r="C35" s="1" t="s">
        <v>120</v>
      </c>
      <c r="D35" s="3">
        <v>62</v>
      </c>
      <c r="E35" s="3">
        <f t="shared" si="2"/>
        <v>62</v>
      </c>
      <c r="F35" s="3">
        <f t="shared" si="5"/>
        <v>682</v>
      </c>
      <c r="G35" s="1"/>
      <c r="I35" s="22">
        <v>40240</v>
      </c>
      <c r="J35" s="126" t="s">
        <v>235</v>
      </c>
      <c r="K35">
        <v>60</v>
      </c>
      <c r="L35" s="62">
        <v>56.9</v>
      </c>
      <c r="M35" s="62">
        <f t="shared" si="4"/>
        <v>3414</v>
      </c>
      <c r="O35" s="1"/>
    </row>
    <row r="36" spans="1:15" x14ac:dyDescent="0.2">
      <c r="A36" s="1">
        <v>1</v>
      </c>
      <c r="B36" s="8" t="s">
        <v>122</v>
      </c>
      <c r="C36" s="1" t="s">
        <v>123</v>
      </c>
      <c r="D36" s="3">
        <v>13</v>
      </c>
      <c r="E36" s="3">
        <f t="shared" si="2"/>
        <v>13</v>
      </c>
      <c r="F36" s="3">
        <f t="shared" si="5"/>
        <v>13</v>
      </c>
      <c r="G36" s="1"/>
      <c r="I36" s="22">
        <v>40240</v>
      </c>
      <c r="J36" s="126" t="s">
        <v>235</v>
      </c>
      <c r="K36">
        <v>6</v>
      </c>
      <c r="L36" s="62">
        <v>12.37</v>
      </c>
      <c r="M36" s="62">
        <f t="shared" si="4"/>
        <v>74.22</v>
      </c>
      <c r="O36" s="1"/>
    </row>
    <row r="37" spans="1:15" x14ac:dyDescent="0.2">
      <c r="A37" s="1">
        <v>1</v>
      </c>
      <c r="B37" s="8" t="s">
        <v>124</v>
      </c>
      <c r="C37" s="1" t="s">
        <v>125</v>
      </c>
      <c r="D37" s="3">
        <v>7</v>
      </c>
      <c r="E37" s="3">
        <f t="shared" si="2"/>
        <v>7</v>
      </c>
      <c r="F37" s="3">
        <f t="shared" si="5"/>
        <v>7</v>
      </c>
      <c r="G37" s="1"/>
      <c r="I37" s="22">
        <v>40240</v>
      </c>
      <c r="J37" s="126" t="s">
        <v>235</v>
      </c>
      <c r="K37">
        <v>6</v>
      </c>
      <c r="L37" s="62">
        <v>5.76</v>
      </c>
      <c r="M37" s="62">
        <f t="shared" si="4"/>
        <v>34.56</v>
      </c>
    </row>
    <row r="38" spans="1:15" x14ac:dyDescent="0.2">
      <c r="A38" s="1">
        <v>2</v>
      </c>
      <c r="B38" s="8" t="s">
        <v>126</v>
      </c>
      <c r="C38" s="1" t="s">
        <v>127</v>
      </c>
      <c r="D38" s="3">
        <v>44</v>
      </c>
      <c r="E38" s="3">
        <f t="shared" si="2"/>
        <v>44</v>
      </c>
      <c r="F38" s="3">
        <f t="shared" si="5"/>
        <v>88</v>
      </c>
      <c r="G38" s="1"/>
      <c r="I38" s="22">
        <v>40240</v>
      </c>
      <c r="J38" s="126" t="s">
        <v>235</v>
      </c>
      <c r="K38">
        <v>12</v>
      </c>
      <c r="L38" s="62">
        <v>44.93</v>
      </c>
      <c r="M38" s="62">
        <f t="shared" si="4"/>
        <v>539.16</v>
      </c>
    </row>
    <row r="39" spans="1:15" x14ac:dyDescent="0.2">
      <c r="A39" s="1">
        <v>10</v>
      </c>
      <c r="B39" s="8" t="s">
        <v>130</v>
      </c>
      <c r="C39" s="1" t="s">
        <v>131</v>
      </c>
      <c r="D39" s="3">
        <v>44</v>
      </c>
      <c r="E39" s="3">
        <f>D39*$E$4</f>
        <v>44</v>
      </c>
      <c r="F39" s="3">
        <f>E39*A39</f>
        <v>440</v>
      </c>
      <c r="G39" s="1"/>
      <c r="I39" s="22">
        <v>40240</v>
      </c>
      <c r="J39" s="126" t="s">
        <v>235</v>
      </c>
      <c r="K39">
        <v>6</v>
      </c>
      <c r="L39" s="62">
        <v>44.93</v>
      </c>
      <c r="M39" s="62">
        <f t="shared" si="4"/>
        <v>269.58</v>
      </c>
    </row>
    <row r="40" spans="1:15" x14ac:dyDescent="0.2">
      <c r="A40" s="1">
        <v>10</v>
      </c>
      <c r="B40" s="8" t="s">
        <v>128</v>
      </c>
      <c r="C40" s="1" t="s">
        <v>129</v>
      </c>
      <c r="D40" s="3">
        <v>44</v>
      </c>
      <c r="E40" s="3">
        <f>D40*$E$4</f>
        <v>44</v>
      </c>
      <c r="F40" s="3">
        <f>E40*A40</f>
        <v>440</v>
      </c>
      <c r="G40" s="1"/>
      <c r="I40" s="22">
        <v>40240</v>
      </c>
      <c r="J40" s="126" t="s">
        <v>235</v>
      </c>
      <c r="K40">
        <v>96</v>
      </c>
      <c r="L40" s="62">
        <v>44.93</v>
      </c>
      <c r="M40" s="62">
        <f t="shared" si="4"/>
        <v>4313.28</v>
      </c>
      <c r="O40" s="13" t="s">
        <v>43</v>
      </c>
    </row>
    <row r="41" spans="1:15" x14ac:dyDescent="0.2">
      <c r="A41" s="1">
        <v>10</v>
      </c>
      <c r="B41" s="8" t="s">
        <v>132</v>
      </c>
      <c r="C41" s="1" t="s">
        <v>133</v>
      </c>
      <c r="D41" s="3">
        <v>6.3</v>
      </c>
      <c r="E41" s="3">
        <f>D41*$E$4</f>
        <v>6.3</v>
      </c>
      <c r="F41" s="3">
        <f>E41*A41</f>
        <v>63</v>
      </c>
      <c r="I41" s="29" t="s">
        <v>43</v>
      </c>
      <c r="J41" s="126" t="s">
        <v>43</v>
      </c>
    </row>
    <row r="42" spans="1:15" x14ac:dyDescent="0.2">
      <c r="A42" s="1">
        <v>10</v>
      </c>
      <c r="B42" s="8" t="s">
        <v>138</v>
      </c>
      <c r="C42" s="1" t="s">
        <v>139</v>
      </c>
      <c r="D42" s="3">
        <v>2.4</v>
      </c>
      <c r="E42" s="3">
        <f>D42*$E$4</f>
        <v>2.4</v>
      </c>
      <c r="F42" s="3">
        <f>E42*A42</f>
        <v>24</v>
      </c>
      <c r="G42" s="1"/>
      <c r="I42" s="29" t="s">
        <v>43</v>
      </c>
      <c r="J42" s="126" t="s">
        <v>43</v>
      </c>
    </row>
    <row r="43" spans="1:15" x14ac:dyDescent="0.2">
      <c r="A43" s="1">
        <v>1</v>
      </c>
      <c r="B43" s="8" t="s">
        <v>144</v>
      </c>
      <c r="C43" s="1" t="s">
        <v>145</v>
      </c>
      <c r="D43" s="3">
        <v>84</v>
      </c>
      <c r="E43" s="3">
        <f t="shared" si="2"/>
        <v>84</v>
      </c>
      <c r="F43" s="3">
        <f>E43*A43</f>
        <v>84</v>
      </c>
      <c r="G43" s="1"/>
      <c r="I43" s="22">
        <v>40240</v>
      </c>
      <c r="J43" s="126" t="s">
        <v>235</v>
      </c>
      <c r="K43">
        <v>6</v>
      </c>
      <c r="L43" s="62">
        <v>173.91</v>
      </c>
      <c r="M43" s="62">
        <f>L43*K43</f>
        <v>1043.46</v>
      </c>
    </row>
    <row r="44" spans="1:15" x14ac:dyDescent="0.2">
      <c r="A44" s="1"/>
      <c r="B44" s="8"/>
      <c r="C44" s="1"/>
      <c r="D44" s="3"/>
      <c r="E44" s="3"/>
      <c r="F44" s="3"/>
      <c r="G44" s="1"/>
      <c r="J44" s="79"/>
    </row>
    <row r="45" spans="1:15" x14ac:dyDescent="0.2">
      <c r="A45" s="1"/>
      <c r="B45" s="8"/>
      <c r="C45" s="1"/>
      <c r="D45" s="3" t="s">
        <v>16</v>
      </c>
      <c r="E45" s="3"/>
      <c r="F45" s="5">
        <f>SUM(F24:F43)</f>
        <v>4883.2</v>
      </c>
      <c r="G45" s="5">
        <f>F45*5</f>
        <v>24416</v>
      </c>
      <c r="J45" s="79"/>
      <c r="M45" s="72">
        <f>SUM(M24:M43)</f>
        <v>17630.859999999997</v>
      </c>
    </row>
    <row r="46" spans="1:15" x14ac:dyDescent="0.2">
      <c r="A46" s="1"/>
      <c r="B46" s="8"/>
      <c r="C46" s="1"/>
      <c r="D46" s="3"/>
      <c r="E46" s="3"/>
      <c r="F46" s="5"/>
      <c r="G46" s="1"/>
      <c r="J46" s="79"/>
    </row>
    <row r="47" spans="1:15" x14ac:dyDescent="0.2">
      <c r="A47" s="1"/>
      <c r="B47" s="8"/>
      <c r="C47" s="2" t="s">
        <v>247</v>
      </c>
      <c r="D47" s="3"/>
      <c r="E47" s="3"/>
      <c r="F47" s="5"/>
      <c r="G47" s="1"/>
      <c r="J47" s="79"/>
    </row>
    <row r="48" spans="1:15" x14ac:dyDescent="0.2">
      <c r="A48" s="1">
        <v>30</v>
      </c>
      <c r="B48" s="8" t="s">
        <v>97</v>
      </c>
      <c r="C48" s="1" t="s">
        <v>94</v>
      </c>
      <c r="D48" s="3">
        <v>8</v>
      </c>
      <c r="E48" s="3">
        <f t="shared" si="2"/>
        <v>8</v>
      </c>
      <c r="F48" s="3">
        <f>E48*A48</f>
        <v>240</v>
      </c>
      <c r="G48" s="1"/>
      <c r="J48" s="79"/>
    </row>
    <row r="49" spans="1:13" x14ac:dyDescent="0.2">
      <c r="A49" s="1">
        <v>30</v>
      </c>
      <c r="B49" s="8" t="s">
        <v>96</v>
      </c>
      <c r="C49" s="1" t="s">
        <v>95</v>
      </c>
      <c r="D49" s="3">
        <v>2</v>
      </c>
      <c r="E49" s="3">
        <f t="shared" si="2"/>
        <v>2</v>
      </c>
      <c r="F49" s="3">
        <f>E49*A49</f>
        <v>60</v>
      </c>
      <c r="G49" s="1"/>
      <c r="J49" s="79"/>
    </row>
    <row r="50" spans="1:13" x14ac:dyDescent="0.2">
      <c r="A50" s="1">
        <v>30</v>
      </c>
      <c r="B50" s="8" t="s">
        <v>98</v>
      </c>
      <c r="C50" s="1" t="s">
        <v>99</v>
      </c>
      <c r="D50" s="3">
        <v>7.5</v>
      </c>
      <c r="E50" s="3">
        <f t="shared" si="2"/>
        <v>7.5</v>
      </c>
      <c r="F50" s="3">
        <f>E50*A50</f>
        <v>225</v>
      </c>
      <c r="G50" s="1"/>
      <c r="J50" s="148" t="s">
        <v>306</v>
      </c>
      <c r="M50" s="72">
        <v>4000</v>
      </c>
    </row>
    <row r="51" spans="1:13" x14ac:dyDescent="0.2">
      <c r="A51" s="1">
        <v>30</v>
      </c>
      <c r="B51" s="1" t="s">
        <v>100</v>
      </c>
      <c r="C51" s="1" t="s">
        <v>101</v>
      </c>
      <c r="D51" s="3">
        <v>1.5</v>
      </c>
      <c r="E51" s="3">
        <f t="shared" si="2"/>
        <v>1.5</v>
      </c>
      <c r="F51" s="3">
        <f>E51*A51</f>
        <v>45</v>
      </c>
      <c r="G51" s="1"/>
      <c r="J51" s="148" t="s">
        <v>43</v>
      </c>
      <c r="M51" s="61" t="s">
        <v>43</v>
      </c>
    </row>
    <row r="52" spans="1:13" x14ac:dyDescent="0.2">
      <c r="A52" s="1">
        <v>20</v>
      </c>
      <c r="B52" s="1" t="s">
        <v>147</v>
      </c>
      <c r="C52" s="1" t="s">
        <v>146</v>
      </c>
      <c r="D52" s="3">
        <v>50</v>
      </c>
      <c r="E52" s="3">
        <f t="shared" si="2"/>
        <v>50</v>
      </c>
      <c r="F52" s="3">
        <f>E52*A52</f>
        <v>1000</v>
      </c>
      <c r="G52" s="1"/>
      <c r="J52" s="79"/>
    </row>
    <row r="53" spans="1:13" x14ac:dyDescent="0.2">
      <c r="A53" s="1"/>
      <c r="B53" s="1"/>
      <c r="C53" s="1"/>
      <c r="D53" s="3"/>
      <c r="E53" s="3"/>
      <c r="F53" s="3"/>
      <c r="G53" s="1"/>
      <c r="J53" s="79"/>
    </row>
    <row r="54" spans="1:13" x14ac:dyDescent="0.2">
      <c r="A54" s="1"/>
      <c r="B54" s="1"/>
      <c r="C54" s="1"/>
      <c r="D54" s="3" t="s">
        <v>16</v>
      </c>
      <c r="E54" s="3"/>
      <c r="F54" s="5">
        <f>SUM(F48:F52)</f>
        <v>1570</v>
      </c>
      <c r="G54" s="5">
        <f>F54*5</f>
        <v>7850</v>
      </c>
      <c r="J54" s="79"/>
    </row>
    <row r="55" spans="1:13" x14ac:dyDescent="0.2">
      <c r="A55" s="1"/>
      <c r="B55" s="1"/>
      <c r="C55" s="1"/>
      <c r="D55" s="3"/>
      <c r="E55" s="3"/>
      <c r="F55" s="5"/>
      <c r="G55" s="1"/>
      <c r="J55" s="79"/>
    </row>
    <row r="56" spans="1:13" x14ac:dyDescent="0.2">
      <c r="A56" s="1"/>
      <c r="B56" s="1" t="s">
        <v>43</v>
      </c>
      <c r="C56" s="2" t="s">
        <v>151</v>
      </c>
      <c r="D56" s="3"/>
      <c r="E56" s="3"/>
      <c r="F56" s="5"/>
      <c r="G56" s="1"/>
      <c r="J56" s="79"/>
    </row>
    <row r="57" spans="1:13" x14ac:dyDescent="0.2">
      <c r="A57" s="1">
        <v>1</v>
      </c>
      <c r="B57" s="1" t="s">
        <v>156</v>
      </c>
      <c r="C57" s="1" t="s">
        <v>158</v>
      </c>
      <c r="D57" s="3">
        <f>0.4*500</f>
        <v>200</v>
      </c>
      <c r="E57" s="3">
        <f t="shared" ref="E57:E64" si="6">D57*$E$4</f>
        <v>200</v>
      </c>
      <c r="F57" s="3">
        <f>E57*A57</f>
        <v>200</v>
      </c>
      <c r="G57" s="1"/>
      <c r="I57" s="29">
        <v>41102</v>
      </c>
      <c r="J57" s="148" t="s">
        <v>289</v>
      </c>
      <c r="M57" s="61">
        <v>64396</v>
      </c>
    </row>
    <row r="58" spans="1:13" x14ac:dyDescent="0.2">
      <c r="A58" s="1">
        <v>7</v>
      </c>
      <c r="B58" s="1" t="s">
        <v>148</v>
      </c>
      <c r="C58" s="1" t="s">
        <v>159</v>
      </c>
      <c r="D58" s="3">
        <f>9.12*500</f>
        <v>4560</v>
      </c>
      <c r="E58" s="3">
        <f t="shared" si="6"/>
        <v>4560</v>
      </c>
      <c r="F58" s="3">
        <f t="shared" ref="F58:F64" si="7">E58*A58</f>
        <v>31920</v>
      </c>
      <c r="G58" s="1"/>
      <c r="I58" s="22">
        <v>41298</v>
      </c>
      <c r="J58" s="148" t="s">
        <v>302</v>
      </c>
      <c r="M58" s="62">
        <v>230</v>
      </c>
    </row>
    <row r="59" spans="1:13" x14ac:dyDescent="0.2">
      <c r="A59" s="1">
        <v>2</v>
      </c>
      <c r="B59" s="1" t="s">
        <v>157</v>
      </c>
      <c r="C59" s="1" t="s">
        <v>160</v>
      </c>
      <c r="D59" s="3">
        <f>6.25*500</f>
        <v>3125</v>
      </c>
      <c r="E59" s="3">
        <f t="shared" si="6"/>
        <v>3125</v>
      </c>
      <c r="F59" s="3">
        <f t="shared" si="7"/>
        <v>6250</v>
      </c>
      <c r="G59" s="1"/>
      <c r="J59" s="79"/>
    </row>
    <row r="60" spans="1:13" x14ac:dyDescent="0.2">
      <c r="A60" s="1"/>
      <c r="B60" s="1"/>
      <c r="C60" s="1" t="s">
        <v>303</v>
      </c>
      <c r="D60" s="3"/>
      <c r="E60" s="3">
        <f t="shared" si="6"/>
        <v>0</v>
      </c>
      <c r="F60" s="3">
        <f t="shared" si="7"/>
        <v>0</v>
      </c>
      <c r="G60" s="1"/>
      <c r="I60" s="29">
        <v>41341</v>
      </c>
      <c r="J60" s="148" t="s">
        <v>297</v>
      </c>
      <c r="M60" s="62">
        <v>3421.86</v>
      </c>
    </row>
    <row r="61" spans="1:13" x14ac:dyDescent="0.2">
      <c r="A61" s="1"/>
      <c r="B61" s="1"/>
      <c r="C61" s="1"/>
      <c r="D61" s="3"/>
      <c r="E61" s="3">
        <f t="shared" si="6"/>
        <v>0</v>
      </c>
      <c r="F61" s="3">
        <f t="shared" si="7"/>
        <v>0</v>
      </c>
      <c r="G61" s="1"/>
      <c r="I61" s="22">
        <v>40372</v>
      </c>
      <c r="J61" s="148" t="s">
        <v>301</v>
      </c>
      <c r="M61" s="62">
        <v>1145</v>
      </c>
    </row>
    <row r="62" spans="1:13" x14ac:dyDescent="0.2">
      <c r="A62" s="1"/>
      <c r="B62" s="1"/>
      <c r="C62" s="1"/>
      <c r="D62" s="3"/>
      <c r="E62" s="3">
        <f t="shared" si="6"/>
        <v>0</v>
      </c>
      <c r="F62" s="3">
        <f t="shared" si="7"/>
        <v>0</v>
      </c>
      <c r="G62" s="1"/>
      <c r="J62" s="79"/>
    </row>
    <row r="63" spans="1:13" x14ac:dyDescent="0.2">
      <c r="A63" s="1"/>
      <c r="B63" s="1"/>
      <c r="C63" s="1"/>
      <c r="D63" s="3"/>
      <c r="E63" s="3">
        <f t="shared" si="6"/>
        <v>0</v>
      </c>
      <c r="F63" s="3">
        <f t="shared" si="7"/>
        <v>0</v>
      </c>
      <c r="G63" s="1"/>
      <c r="J63" s="79"/>
    </row>
    <row r="64" spans="1:13" x14ac:dyDescent="0.2">
      <c r="A64" s="1"/>
      <c r="B64" s="1"/>
      <c r="C64" s="1"/>
      <c r="D64" s="3"/>
      <c r="E64" s="3">
        <f t="shared" si="6"/>
        <v>0</v>
      </c>
      <c r="F64" s="3">
        <f t="shared" si="7"/>
        <v>0</v>
      </c>
      <c r="G64" s="1"/>
      <c r="J64" s="79"/>
    </row>
    <row r="65" spans="1:14" x14ac:dyDescent="0.2">
      <c r="A65" s="1"/>
      <c r="B65" s="1"/>
      <c r="C65" s="1"/>
      <c r="D65" s="3"/>
      <c r="E65" s="3"/>
      <c r="F65" s="3"/>
      <c r="G65" s="3" t="s">
        <v>43</v>
      </c>
      <c r="J65" s="9"/>
      <c r="K65" s="9"/>
      <c r="L65" s="72"/>
      <c r="M65" s="72"/>
    </row>
    <row r="66" spans="1:14" x14ac:dyDescent="0.2">
      <c r="A66" s="1"/>
      <c r="B66" s="1"/>
      <c r="C66" s="1"/>
      <c r="D66" s="3" t="s">
        <v>16</v>
      </c>
      <c r="E66" s="3"/>
      <c r="F66" s="5">
        <f>SUM(F57:F64)</f>
        <v>38370</v>
      </c>
      <c r="G66" s="10">
        <f>F66*5</f>
        <v>191850</v>
      </c>
      <c r="J66" s="9" t="s">
        <v>291</v>
      </c>
      <c r="K66" s="9" t="s">
        <v>290</v>
      </c>
      <c r="L66" s="72"/>
      <c r="M66" s="72">
        <f>SUM(M57:M64)</f>
        <v>69192.86</v>
      </c>
    </row>
    <row r="67" spans="1:14" x14ac:dyDescent="0.2">
      <c r="A67" s="1"/>
      <c r="B67" s="1"/>
      <c r="C67" s="1"/>
      <c r="D67" s="3"/>
      <c r="E67" s="3"/>
      <c r="F67" s="5"/>
      <c r="G67" s="1"/>
    </row>
    <row r="70" spans="1:14" x14ac:dyDescent="0.2">
      <c r="G70" s="12" t="s">
        <v>43</v>
      </c>
    </row>
    <row r="71" spans="1:14" x14ac:dyDescent="0.2">
      <c r="E71" s="9" t="s">
        <v>152</v>
      </c>
      <c r="F71" s="10">
        <f>F22+F45+F54+F66</f>
        <v>48158.720000000001</v>
      </c>
      <c r="G71" s="10">
        <f>5*F71</f>
        <v>240793.60000000001</v>
      </c>
      <c r="L71" s="73" t="s">
        <v>305</v>
      </c>
      <c r="M71" s="72">
        <f>M45+M50+M66</f>
        <v>90823.72</v>
      </c>
      <c r="N71" s="60">
        <f>(M71-G71)/G71</f>
        <v>-0.62281505820752714</v>
      </c>
    </row>
    <row r="73" spans="1:14" x14ac:dyDescent="0.2">
      <c r="E73" t="s">
        <v>1444</v>
      </c>
      <c r="F73" s="23">
        <f>F71-F66</f>
        <v>9788.7200000000012</v>
      </c>
    </row>
  </sheetData>
  <phoneticPr fontId="0" type="noConversion"/>
  <printOptions gridLines="1"/>
  <pageMargins left="0.25" right="0.25" top="0.75" bottom="0.75" header="0.3" footer="0.3"/>
  <pageSetup paperSize="17" scale="56" orientation="landscape" r:id="rId1"/>
  <headerFooter alignWithMargins="0">
    <oddFooter xml:space="preserve">&amp;L&amp;Z&amp;F&amp;C&amp;A&amp;R&amp;P / &amp;N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other sensors</vt:lpstr>
      <vt:lpstr>Strain Gauges</vt:lpstr>
      <vt:lpstr>Temp Sensors</vt:lpstr>
      <vt:lpstr>Temp resolution</vt:lpstr>
      <vt:lpstr>Voltage taps</vt:lpstr>
      <vt:lpstr>Coil RT Measurement</vt:lpstr>
      <vt:lpstr>PLC Modules Software</vt:lpstr>
      <vt:lpstr>Signal Conditioners</vt:lpstr>
      <vt:lpstr>Rack Termination cabling</vt:lpstr>
      <vt:lpstr>PRs</vt:lpstr>
      <vt:lpstr>CLEOII-Chassis Layout</vt:lpstr>
      <vt:lpstr>PLC IO</vt:lpstr>
      <vt:lpstr>Instrumentation</vt:lpstr>
      <vt:lpstr>'Temp Sensors'!Print_Titles</vt:lpstr>
    </vt:vector>
  </TitlesOfParts>
  <Company>EECO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Dmiller</dc:creator>
  <cp:lastModifiedBy>Steve Lassiter</cp:lastModifiedBy>
  <cp:lastPrinted>2020-07-13T17:24:52Z</cp:lastPrinted>
  <dcterms:created xsi:type="dcterms:W3CDTF">2003-07-18T16:48:11Z</dcterms:created>
  <dcterms:modified xsi:type="dcterms:W3CDTF">2020-08-06T14:05:34Z</dcterms:modified>
</cp:coreProperties>
</file>