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P:\PROCUREMENT ELECTRONIC FILES\SUBCONTRACTS\0 FY 15 open subcontracts\15-C0587 - Fitz- Cavs - RI\F. CONTRACT ADMIN\Accruals\"/>
    </mc:Choice>
  </mc:AlternateContent>
  <bookViews>
    <workbookView xWindow="480" yWindow="108" windowWidth="11352" windowHeight="8388"/>
  </bookViews>
  <sheets>
    <sheet name="Form" sheetId="1" r:id="rId1"/>
    <sheet name="Process" sheetId="4" r:id="rId2"/>
    <sheet name=" Accting USE Data Entry Form" sheetId="3" r:id="rId3"/>
    <sheet name="Accrual Details" sheetId="8" state="hidden" r:id="rId4"/>
    <sheet name="Invoices" sheetId="6" r:id="rId5"/>
    <sheet name="Sheet1" sheetId="9" state="hidden" r:id="rId6"/>
    <sheet name="Cavity Status" sheetId="7" r:id="rId7"/>
    <sheet name="List" sheetId="5" r:id="rId8"/>
  </sheets>
  <externalReferences>
    <externalReference r:id="rId9"/>
  </externalReferences>
  <definedNames>
    <definedName name="_xlnm._FilterDatabase" localSheetId="7" hidden="1">List!$E$2:$F$62</definedName>
    <definedName name="_xlcn.LinkedTable_Accruals1" hidden="1">' Accting USE Data Entry Form'!$A$10:$AH$61</definedName>
    <definedName name="_xlcn.LinkedTable_CavityStatus1" hidden="1">CavityStatus[]</definedName>
    <definedName name="FNALDESPH3">[1]Details!$F$6</definedName>
    <definedName name="RICavMilestoneVal">List!$Y$3</definedName>
  </definedNames>
  <calcPr calcId="162913"/>
  <extLst>
    <ext xmlns:x15="http://schemas.microsoft.com/office/spreadsheetml/2010/11/main" uri="{FCE2AD5D-F65C-4FA6-A056-5C36A1767C68}">
      <x15:dataModel>
        <x15:modelTables>
          <x15:modelTable id="CavityStatus" name="CavityStatus" connection="LinkedTable_CavityStatus"/>
          <x15:modelTable id="Accruals" name="Accruals" connection="LinkedTable_Accruals"/>
        </x15:modelTables>
        <x15:modelRelationships>
          <x15:modelRelationship fromTable="CavityStatus" fromColumn="M/S#" toTable="Accruals" toColumn="PO Line #"/>
        </x15:modelRelationships>
        <x15:extLst>
          <ext xmlns:x16="http://schemas.microsoft.com/office/spreadsheetml/2014/11/main" uri="{9835A34E-60A6-4A7C-AAB8-D5F71C897F49}">
            <x16:modelTimeGroupings>
              <x16:modelTimeGrouping tableName="CavityStatus" columnName="Ship Date" columnId="Ship Date">
                <x16:calculatedTimeColumn columnName="Ship Date (Month Index)" columnId="Ship Date (Month Index)" contentType="monthsindex" isSelected="1"/>
                <x16:calculatedTimeColumn columnName="Ship Date (Month)" columnId="Ship Date (Month)" contentType="months" isSelected="1"/>
              </x16:modelTimeGrouping>
            </x16:modelTimeGroupings>
          </ext>
        </x15:extLst>
      </x15:dataModel>
    </ext>
  </extLst>
</workbook>
</file>

<file path=xl/calcChain.xml><?xml version="1.0" encoding="utf-8"?>
<calcChain xmlns="http://schemas.openxmlformats.org/spreadsheetml/2006/main">
  <c r="I34" i="3" l="1"/>
  <c r="Z51" i="7"/>
  <c r="Z52" i="7"/>
  <c r="P2" i="7"/>
  <c r="R2" i="7" s="1"/>
  <c r="Z2" i="7" s="1"/>
  <c r="P3" i="7"/>
  <c r="R3" i="7" s="1"/>
  <c r="Z3" i="7" s="1"/>
  <c r="P4" i="7"/>
  <c r="R4" i="7" s="1"/>
  <c r="Z4" i="7" s="1"/>
  <c r="P5" i="7"/>
  <c r="R5" i="7" s="1"/>
  <c r="Z5" i="7" s="1"/>
  <c r="P6" i="7"/>
  <c r="R6" i="7" s="1"/>
  <c r="Z6" i="7" s="1"/>
  <c r="P7" i="7"/>
  <c r="R7" i="7" s="1"/>
  <c r="Z7" i="7" s="1"/>
  <c r="P8" i="7"/>
  <c r="R8" i="7" s="1"/>
  <c r="Z8" i="7" s="1"/>
  <c r="P9" i="7"/>
  <c r="R9" i="7" s="1"/>
  <c r="Z9" i="7" s="1"/>
  <c r="P10" i="7"/>
  <c r="R10" i="7" s="1"/>
  <c r="Z10" i="7" s="1"/>
  <c r="P11" i="7"/>
  <c r="R11" i="7" s="1"/>
  <c r="Z11" i="7" s="1"/>
  <c r="P12" i="7"/>
  <c r="R12" i="7" s="1"/>
  <c r="Z12" i="7" s="1"/>
  <c r="P13" i="7"/>
  <c r="R13" i="7" s="1"/>
  <c r="Z13" i="7" s="1"/>
  <c r="P14" i="7"/>
  <c r="R14" i="7" s="1"/>
  <c r="Z14" i="7" s="1"/>
  <c r="P15" i="7"/>
  <c r="R15" i="7" s="1"/>
  <c r="Z15" i="7" s="1"/>
  <c r="P16" i="7"/>
  <c r="R16" i="7" s="1"/>
  <c r="Z16" i="7" s="1"/>
  <c r="P17" i="7"/>
  <c r="R17" i="7" s="1"/>
  <c r="Z17" i="7" s="1"/>
  <c r="P18" i="7"/>
  <c r="R18" i="7" s="1"/>
  <c r="Z18" i="7" s="1"/>
  <c r="P19" i="7"/>
  <c r="R19" i="7" s="1"/>
  <c r="Z19" i="7" s="1"/>
  <c r="P20" i="7"/>
  <c r="R20" i="7" s="1"/>
  <c r="Z20" i="7" s="1"/>
  <c r="P21" i="7"/>
  <c r="R21" i="7" s="1"/>
  <c r="Z21" i="7" s="1"/>
  <c r="P22" i="7"/>
  <c r="R22" i="7" s="1"/>
  <c r="Z22" i="7" s="1"/>
  <c r="P23" i="7"/>
  <c r="R23" i="7" s="1"/>
  <c r="Z23" i="7" s="1"/>
  <c r="P24" i="7"/>
  <c r="R24" i="7" s="1"/>
  <c r="Z24" i="7" s="1"/>
  <c r="P25" i="7"/>
  <c r="R25" i="7" s="1"/>
  <c r="Z25" i="7" s="1"/>
  <c r="P26" i="7"/>
  <c r="R26" i="7" s="1"/>
  <c r="Z26" i="7" s="1"/>
  <c r="P27" i="7"/>
  <c r="R27" i="7" s="1"/>
  <c r="Z27" i="7" s="1"/>
  <c r="P28" i="7"/>
  <c r="R28" i="7" s="1"/>
  <c r="Z28" i="7" s="1"/>
  <c r="P29" i="7"/>
  <c r="R29" i="7" s="1"/>
  <c r="Z29" i="7" s="1"/>
  <c r="P30" i="7"/>
  <c r="R30" i="7" s="1"/>
  <c r="Z30" i="7" s="1"/>
  <c r="P31" i="7"/>
  <c r="R31" i="7" s="1"/>
  <c r="Z31" i="7" s="1"/>
  <c r="P32" i="7"/>
  <c r="R32" i="7" s="1"/>
  <c r="Z32" i="7" s="1"/>
  <c r="P33" i="7"/>
  <c r="R33" i="7" s="1"/>
  <c r="Z33" i="7" s="1"/>
  <c r="P34" i="7"/>
  <c r="R34" i="7" s="1"/>
  <c r="Z34" i="7" s="1"/>
  <c r="P35" i="7"/>
  <c r="R35" i="7" s="1"/>
  <c r="Z35" i="7" s="1"/>
  <c r="P36" i="7"/>
  <c r="R36" i="7" s="1"/>
  <c r="Z36" i="7" s="1"/>
  <c r="P37" i="7"/>
  <c r="R37" i="7" s="1"/>
  <c r="Z37" i="7" s="1"/>
  <c r="P38" i="7"/>
  <c r="R38" i="7" s="1"/>
  <c r="Z38" i="7" s="1"/>
  <c r="P39" i="7"/>
  <c r="R39" i="7" s="1"/>
  <c r="Z39" i="7" s="1"/>
  <c r="P40" i="7"/>
  <c r="R40" i="7" s="1"/>
  <c r="Z40" i="7" s="1"/>
  <c r="P41" i="7"/>
  <c r="R41" i="7" s="1"/>
  <c r="Z41" i="7" s="1"/>
  <c r="P42" i="7"/>
  <c r="R42" i="7" s="1"/>
  <c r="Z42" i="7" s="1"/>
  <c r="P43" i="7"/>
  <c r="R43" i="7" s="1"/>
  <c r="Z43" i="7" s="1"/>
  <c r="P44" i="7"/>
  <c r="R44" i="7" s="1"/>
  <c r="Z44" i="7" s="1"/>
  <c r="P45" i="7"/>
  <c r="R45" i="7" s="1"/>
  <c r="Z45" i="7" s="1"/>
  <c r="P46" i="7"/>
  <c r="R46" i="7" s="1"/>
  <c r="Z46" i="7" s="1"/>
  <c r="P47" i="7"/>
  <c r="R47" i="7" s="1"/>
  <c r="Z47" i="7" s="1"/>
  <c r="P48" i="7"/>
  <c r="R48" i="7" s="1"/>
  <c r="Z48" i="7" s="1"/>
  <c r="P49" i="7"/>
  <c r="R49" i="7" s="1"/>
  <c r="Z49" i="7" s="1"/>
  <c r="P50" i="7"/>
  <c r="Z50" i="7" s="1"/>
  <c r="P51" i="7"/>
  <c r="P52" i="7"/>
  <c r="P53" i="7"/>
  <c r="Z53" i="7" s="1"/>
  <c r="P54" i="7"/>
  <c r="R54" i="7" s="1"/>
  <c r="Z54" i="7" s="1"/>
  <c r="P55" i="7"/>
  <c r="R55" i="7" s="1"/>
  <c r="Z55" i="7" s="1"/>
  <c r="P56" i="7"/>
  <c r="R56" i="7" s="1"/>
  <c r="Z56" i="7" s="1"/>
  <c r="P57" i="7"/>
  <c r="R57" i="7" s="1"/>
  <c r="Z57" i="7" s="1"/>
  <c r="P58" i="7"/>
  <c r="R58" i="7" s="1"/>
  <c r="Z58" i="7" s="1"/>
  <c r="P59" i="7"/>
  <c r="R59" i="7" s="1"/>
  <c r="Z59" i="7" s="1"/>
  <c r="P60" i="7"/>
  <c r="R60" i="7" s="1"/>
  <c r="Z60" i="7" s="1"/>
  <c r="P61" i="7"/>
  <c r="R61" i="7" s="1"/>
  <c r="Z61" i="7" s="1"/>
  <c r="P62" i="7"/>
  <c r="R62" i="7" s="1"/>
  <c r="Z62" i="7" s="1"/>
  <c r="P63" i="7"/>
  <c r="R63" i="7" s="1"/>
  <c r="Z63" i="7" s="1"/>
  <c r="P64" i="7"/>
  <c r="R64" i="7" s="1"/>
  <c r="Z64" i="7" s="1"/>
  <c r="P65" i="7"/>
  <c r="R65" i="7" s="1"/>
  <c r="Z65" i="7" s="1"/>
  <c r="P66" i="7"/>
  <c r="R66" i="7" s="1"/>
  <c r="Z66" i="7" s="1"/>
  <c r="P67" i="7"/>
  <c r="R67" i="7" s="1"/>
  <c r="Z67" i="7" s="1"/>
  <c r="P68" i="7"/>
  <c r="R68" i="7" s="1"/>
  <c r="Z68" i="7" s="1"/>
  <c r="P69" i="7"/>
  <c r="R69" i="7" s="1"/>
  <c r="Z69" i="7" s="1"/>
  <c r="P70" i="7"/>
  <c r="R70" i="7" s="1"/>
  <c r="Z70" i="7" s="1"/>
  <c r="P71" i="7"/>
  <c r="R71" i="7" s="1"/>
  <c r="Z71" i="7" s="1"/>
  <c r="P72" i="7"/>
  <c r="R72" i="7" s="1"/>
  <c r="Z72" i="7" s="1"/>
  <c r="P73" i="7"/>
  <c r="R73" i="7" s="1"/>
  <c r="Z73" i="7" s="1"/>
  <c r="P74" i="7"/>
  <c r="R74" i="7" s="1"/>
  <c r="Z74" i="7" s="1"/>
  <c r="P75" i="7"/>
  <c r="R75" i="7" s="1"/>
  <c r="Z75" i="7" s="1"/>
  <c r="P76" i="7"/>
  <c r="R76" i="7" s="1"/>
  <c r="Z76" i="7" s="1"/>
  <c r="P77" i="7"/>
  <c r="R77" i="7" s="1"/>
  <c r="Z77" i="7" s="1"/>
  <c r="P78" i="7"/>
  <c r="R78" i="7" s="1"/>
  <c r="Z78" i="7" s="1"/>
  <c r="P79" i="7"/>
  <c r="R79" i="7" s="1"/>
  <c r="Z79" i="7" s="1"/>
  <c r="P80" i="7"/>
  <c r="R80" i="7" s="1"/>
  <c r="Z80" i="7" s="1"/>
  <c r="P81" i="7"/>
  <c r="R81" i="7" s="1"/>
  <c r="Z81" i="7" s="1"/>
  <c r="P82" i="7"/>
  <c r="R82" i="7" s="1"/>
  <c r="Z82" i="7" s="1"/>
  <c r="P83" i="7"/>
  <c r="R83" i="7" s="1"/>
  <c r="Z83" i="7" s="1"/>
  <c r="P84" i="7"/>
  <c r="R84" i="7" s="1"/>
  <c r="Z84" i="7" s="1"/>
  <c r="P85" i="7"/>
  <c r="R85" i="7" s="1"/>
  <c r="Z85" i="7" s="1"/>
  <c r="P86" i="7"/>
  <c r="R86" i="7" s="1"/>
  <c r="Z86" i="7" s="1"/>
  <c r="P87" i="7"/>
  <c r="R87" i="7" s="1"/>
  <c r="Z87" i="7" s="1"/>
  <c r="P88" i="7"/>
  <c r="R88" i="7" s="1"/>
  <c r="Z88" i="7" s="1"/>
  <c r="P89" i="7"/>
  <c r="R89" i="7" s="1"/>
  <c r="Z89" i="7" s="1"/>
  <c r="P90" i="7"/>
  <c r="R90" i="7" s="1"/>
  <c r="Z90" i="7" s="1"/>
  <c r="P91" i="7"/>
  <c r="R91" i="7" s="1"/>
  <c r="Z91" i="7" s="1"/>
  <c r="P92" i="7"/>
  <c r="R92" i="7" s="1"/>
  <c r="Z92" i="7" s="1"/>
  <c r="P93" i="7"/>
  <c r="R93" i="7" s="1"/>
  <c r="Z93" i="7" s="1"/>
  <c r="P94" i="7"/>
  <c r="R94" i="7" s="1"/>
  <c r="Z94" i="7" s="1"/>
  <c r="P95" i="7"/>
  <c r="R95" i="7" s="1"/>
  <c r="Z95" i="7" s="1"/>
  <c r="P96" i="7"/>
  <c r="R96" i="7" s="1"/>
  <c r="Z96" i="7" s="1"/>
  <c r="P97" i="7"/>
  <c r="R97" i="7" s="1"/>
  <c r="Z97" i="7" s="1"/>
  <c r="P98" i="7"/>
  <c r="R98" i="7" s="1"/>
  <c r="Z98" i="7" s="1"/>
  <c r="P99" i="7"/>
  <c r="R99" i="7" s="1"/>
  <c r="Z99" i="7" s="1"/>
  <c r="P100" i="7"/>
  <c r="R100" i="7" s="1"/>
  <c r="Z100" i="7" s="1"/>
  <c r="P101" i="7"/>
  <c r="R101" i="7" s="1"/>
  <c r="Z101" i="7" s="1"/>
  <c r="P102" i="7"/>
  <c r="R102" i="7" s="1"/>
  <c r="Z102" i="7" s="1"/>
  <c r="P103" i="7"/>
  <c r="R103" i="7" s="1"/>
  <c r="Z103" i="7" s="1"/>
  <c r="P104" i="7"/>
  <c r="R104" i="7" s="1"/>
  <c r="Z104" i="7" s="1"/>
  <c r="P105" i="7"/>
  <c r="R105" i="7" s="1"/>
  <c r="Z105" i="7" s="1"/>
  <c r="P106" i="7"/>
  <c r="R106" i="7" s="1"/>
  <c r="Z106" i="7" s="1"/>
  <c r="P107" i="7"/>
  <c r="R107" i="7" s="1"/>
  <c r="Z107" i="7" s="1"/>
  <c r="P108" i="7"/>
  <c r="R108" i="7" s="1"/>
  <c r="Z108" i="7" s="1"/>
  <c r="P109" i="7"/>
  <c r="R109" i="7" s="1"/>
  <c r="Z109" i="7" s="1"/>
  <c r="P110" i="7"/>
  <c r="R110" i="7" s="1"/>
  <c r="Z110" i="7" s="1"/>
  <c r="P111" i="7"/>
  <c r="R111" i="7" s="1"/>
  <c r="Z111" i="7" s="1"/>
  <c r="P112" i="7"/>
  <c r="R112" i="7" s="1"/>
  <c r="Z112" i="7" s="1"/>
  <c r="P113" i="7"/>
  <c r="R113" i="7" s="1"/>
  <c r="Z113" i="7" s="1"/>
  <c r="P114" i="7"/>
  <c r="R114" i="7" s="1"/>
  <c r="Z114" i="7" s="1"/>
  <c r="P115" i="7"/>
  <c r="R115" i="7" s="1"/>
  <c r="Z115" i="7" s="1"/>
  <c r="P116" i="7"/>
  <c r="R116" i="7" s="1"/>
  <c r="Z116" i="7" s="1"/>
  <c r="P117" i="7"/>
  <c r="R117" i="7" s="1"/>
  <c r="Z117" i="7" s="1"/>
  <c r="P118" i="7"/>
  <c r="R118" i="7" s="1"/>
  <c r="Z118" i="7" s="1"/>
  <c r="P119" i="7"/>
  <c r="R119" i="7" s="1"/>
  <c r="Z119" i="7" s="1"/>
  <c r="P120" i="7"/>
  <c r="R120" i="7" s="1"/>
  <c r="Z120" i="7" s="1"/>
  <c r="P121" i="7"/>
  <c r="R121" i="7" s="1"/>
  <c r="Z121" i="7" s="1"/>
  <c r="P122" i="7"/>
  <c r="R122" i="7" s="1"/>
  <c r="Z122" i="7" s="1"/>
  <c r="P123" i="7"/>
  <c r="R123" i="7" s="1"/>
  <c r="Z123" i="7" s="1"/>
  <c r="P124" i="7"/>
  <c r="R124" i="7" s="1"/>
  <c r="Z124" i="7" s="1"/>
  <c r="P125" i="7"/>
  <c r="R125" i="7" s="1"/>
  <c r="Z125" i="7" s="1"/>
  <c r="P126" i="7"/>
  <c r="R126" i="7" s="1"/>
  <c r="Z126" i="7" s="1"/>
  <c r="P127" i="7"/>
  <c r="R127" i="7" s="1"/>
  <c r="Z127" i="7" s="1"/>
  <c r="P128" i="7"/>
  <c r="R128" i="7" s="1"/>
  <c r="Z128" i="7" s="1"/>
  <c r="P129" i="7"/>
  <c r="R129" i="7" s="1"/>
  <c r="Z129" i="7" s="1"/>
  <c r="P130" i="7"/>
  <c r="R130" i="7" s="1"/>
  <c r="Z130" i="7" s="1"/>
  <c r="P131" i="7"/>
  <c r="R131" i="7" s="1"/>
  <c r="Z131" i="7" s="1"/>
  <c r="P132" i="7"/>
  <c r="R132" i="7" s="1"/>
  <c r="Z132" i="7" s="1"/>
  <c r="P133" i="7"/>
  <c r="R133" i="7" s="1"/>
  <c r="Z133" i="7" s="1"/>
  <c r="P134" i="7"/>
  <c r="R134" i="7" s="1"/>
  <c r="Z134" i="7" s="1"/>
  <c r="P135" i="7"/>
  <c r="R135" i="7" s="1"/>
  <c r="Z135" i="7" s="1"/>
  <c r="P136" i="7"/>
  <c r="R136" i="7" s="1"/>
  <c r="Z136" i="7" s="1"/>
  <c r="P137" i="7"/>
  <c r="R137" i="7" s="1"/>
  <c r="Z137" i="7" s="1"/>
  <c r="P138" i="7"/>
  <c r="R138" i="7" s="1"/>
  <c r="Z138" i="7" s="1"/>
  <c r="P139" i="7"/>
  <c r="R139" i="7" s="1"/>
  <c r="Z139" i="7" s="1"/>
  <c r="P140" i="7"/>
  <c r="R140" i="7" s="1"/>
  <c r="Z140" i="7" s="1"/>
  <c r="P141" i="7"/>
  <c r="R141" i="7" s="1"/>
  <c r="Z141" i="7" s="1"/>
  <c r="P142" i="7"/>
  <c r="R142" i="7" s="1"/>
  <c r="Z142" i="7" s="1"/>
  <c r="P143" i="7"/>
  <c r="R143" i="7" s="1"/>
  <c r="Z143" i="7" s="1"/>
  <c r="P144" i="7"/>
  <c r="R144" i="7" s="1"/>
  <c r="Z144" i="7" s="1"/>
  <c r="P145" i="7"/>
  <c r="R145" i="7" s="1"/>
  <c r="Z145" i="7" s="1"/>
  <c r="P146" i="7"/>
  <c r="R146" i="7" s="1"/>
  <c r="Z146" i="7" s="1"/>
  <c r="P147" i="7"/>
  <c r="R147" i="7" s="1"/>
  <c r="Z147" i="7" s="1"/>
  <c r="P148" i="7"/>
  <c r="R148" i="7" s="1"/>
  <c r="Z148" i="7" s="1"/>
  <c r="P149" i="7"/>
  <c r="R149" i="7" s="1"/>
  <c r="Z149" i="7" s="1"/>
  <c r="P150" i="7"/>
  <c r="R150" i="7" s="1"/>
  <c r="Z150" i="7" s="1"/>
  <c r="Y2" i="7"/>
  <c r="Y3" i="7"/>
  <c r="Y4" i="7"/>
  <c r="Y5" i="7"/>
  <c r="Y6" i="7"/>
  <c r="Y7" i="7"/>
  <c r="Y8" i="7"/>
  <c r="Y9" i="7"/>
  <c r="Y10" i="7"/>
  <c r="Y11" i="7"/>
  <c r="Y12" i="7"/>
  <c r="Y13" i="7"/>
  <c r="Y14" i="7"/>
  <c r="Y15" i="7"/>
  <c r="Y16" i="7"/>
  <c r="Y17" i="7"/>
  <c r="Y18" i="7"/>
  <c r="Y19" i="7"/>
  <c r="Y20" i="7"/>
  <c r="Y21" i="7"/>
  <c r="Y22" i="7"/>
  <c r="Y23" i="7"/>
  <c r="Y24"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Y72" i="7"/>
  <c r="Y73" i="7"/>
  <c r="Y74" i="7"/>
  <c r="Y75" i="7"/>
  <c r="Y76" i="7"/>
  <c r="Y77" i="7"/>
  <c r="Y78" i="7"/>
  <c r="Y79" i="7"/>
  <c r="Y80" i="7"/>
  <c r="Y81" i="7"/>
  <c r="Y82" i="7"/>
  <c r="Y83" i="7"/>
  <c r="Y84" i="7"/>
  <c r="Y85" i="7"/>
  <c r="Y86" i="7"/>
  <c r="Y87" i="7"/>
  <c r="Y88" i="7"/>
  <c r="Y89" i="7"/>
  <c r="Y90" i="7"/>
  <c r="Y91" i="7"/>
  <c r="Y92" i="7"/>
  <c r="Y93" i="7"/>
  <c r="Y94" i="7"/>
  <c r="Y95" i="7"/>
  <c r="Y96" i="7"/>
  <c r="Y97" i="7"/>
  <c r="Y98" i="7"/>
  <c r="Y99" i="7"/>
  <c r="Y100" i="7"/>
  <c r="Y101" i="7"/>
  <c r="Y102" i="7"/>
  <c r="Y103" i="7"/>
  <c r="Y104" i="7"/>
  <c r="Y105" i="7"/>
  <c r="Y106" i="7"/>
  <c r="Y107" i="7"/>
  <c r="Y108" i="7"/>
  <c r="Y109" i="7"/>
  <c r="Y110" i="7"/>
  <c r="Y111" i="7"/>
  <c r="Y112" i="7"/>
  <c r="Y113" i="7"/>
  <c r="Y114" i="7"/>
  <c r="Y115" i="7"/>
  <c r="Y116" i="7"/>
  <c r="Y117" i="7"/>
  <c r="Y118" i="7"/>
  <c r="Y119" i="7"/>
  <c r="Y120" i="7"/>
  <c r="Y121" i="7"/>
  <c r="Y122" i="7"/>
  <c r="Y123" i="7"/>
  <c r="Y124" i="7"/>
  <c r="Y125" i="7"/>
  <c r="Y126" i="7"/>
  <c r="Y127" i="7"/>
  <c r="Y128" i="7"/>
  <c r="Y129" i="7"/>
  <c r="Y130" i="7"/>
  <c r="Y131" i="7"/>
  <c r="Y132" i="7"/>
  <c r="Y133" i="7"/>
  <c r="Y134" i="7"/>
  <c r="Y135" i="7"/>
  <c r="Y136" i="7"/>
  <c r="Y137" i="7"/>
  <c r="Y138" i="7"/>
  <c r="Y139" i="7"/>
  <c r="Y140" i="7"/>
  <c r="Y141" i="7"/>
  <c r="Y142" i="7"/>
  <c r="Y143" i="7"/>
  <c r="Y144" i="7"/>
  <c r="Y145" i="7"/>
  <c r="Y146" i="7"/>
  <c r="Y147" i="7"/>
  <c r="Y148" i="7"/>
  <c r="Y149" i="7"/>
  <c r="Y150" i="7"/>
  <c r="Y3" i="5"/>
  <c r="R151" i="7" l="1"/>
  <c r="Y151" i="7"/>
  <c r="I38" i="3"/>
  <c r="AD12" i="3" l="1"/>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11" i="3"/>
  <c r="I58" i="3" l="1"/>
  <c r="I59" i="3"/>
  <c r="I37" i="3"/>
  <c r="I36" i="3"/>
  <c r="F63" i="5" l="1"/>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U43" i="5"/>
  <c r="F43" i="5"/>
  <c r="E43" i="5"/>
  <c r="U42" i="5"/>
  <c r="F42" i="5"/>
  <c r="E42" i="5"/>
  <c r="U41" i="5"/>
  <c r="F41" i="5"/>
  <c r="E41" i="5"/>
  <c r="U40" i="5"/>
  <c r="F40" i="5"/>
  <c r="E40" i="5"/>
  <c r="U39" i="5"/>
  <c r="F39" i="5"/>
  <c r="E39" i="5"/>
  <c r="U38" i="5"/>
  <c r="F38" i="5"/>
  <c r="E38" i="5"/>
  <c r="U37" i="5"/>
  <c r="F37" i="5"/>
  <c r="E37" i="5"/>
  <c r="U36" i="5"/>
  <c r="F36" i="5"/>
  <c r="E36" i="5"/>
  <c r="U35" i="5"/>
  <c r="F35" i="5"/>
  <c r="E35" i="5"/>
  <c r="U34" i="5"/>
  <c r="F34" i="5"/>
  <c r="E34" i="5"/>
  <c r="U33" i="5"/>
  <c r="F33" i="5"/>
  <c r="E33" i="5"/>
  <c r="U32" i="5"/>
  <c r="F32" i="5"/>
  <c r="E32" i="5"/>
  <c r="U31" i="5"/>
  <c r="F31" i="5"/>
  <c r="E31" i="5"/>
  <c r="U30" i="5"/>
  <c r="F30" i="5"/>
  <c r="E30" i="5"/>
  <c r="U29" i="5"/>
  <c r="F29" i="5"/>
  <c r="E29" i="5"/>
  <c r="U28" i="5"/>
  <c r="F28" i="5"/>
  <c r="E28" i="5"/>
  <c r="U27" i="5"/>
  <c r="F27" i="5"/>
  <c r="E27" i="5"/>
  <c r="U26" i="5"/>
  <c r="F26" i="5"/>
  <c r="E26" i="5"/>
  <c r="U25" i="5"/>
  <c r="F25" i="5"/>
  <c r="E25" i="5"/>
  <c r="U24" i="5"/>
  <c r="F24" i="5"/>
  <c r="E24" i="5"/>
  <c r="U23" i="5"/>
  <c r="F23" i="5"/>
  <c r="E23" i="5"/>
  <c r="U22" i="5"/>
  <c r="F22" i="5"/>
  <c r="E22" i="5"/>
  <c r="U21" i="5"/>
  <c r="F21" i="5"/>
  <c r="E21" i="5"/>
  <c r="U20" i="5"/>
  <c r="F20" i="5"/>
  <c r="E20" i="5"/>
  <c r="U19" i="5"/>
  <c r="F19" i="5"/>
  <c r="E19" i="5"/>
  <c r="U18" i="5"/>
  <c r="F18" i="5"/>
  <c r="E18" i="5"/>
  <c r="U17" i="5"/>
  <c r="F17" i="5"/>
  <c r="E17" i="5"/>
  <c r="U16" i="5"/>
  <c r="F16" i="5"/>
  <c r="E16" i="5"/>
  <c r="U15" i="5"/>
  <c r="F15" i="5"/>
  <c r="E15" i="5"/>
  <c r="U14" i="5"/>
  <c r="F14" i="5"/>
  <c r="E14" i="5"/>
  <c r="U13" i="5"/>
  <c r="F13" i="5"/>
  <c r="E13" i="5"/>
  <c r="U12" i="5"/>
  <c r="F12" i="5"/>
  <c r="E12" i="5"/>
  <c r="U11" i="5"/>
  <c r="F11" i="5"/>
  <c r="E11" i="5"/>
  <c r="U10" i="5"/>
  <c r="F10" i="5"/>
  <c r="E10" i="5"/>
  <c r="U9" i="5"/>
  <c r="F9" i="5"/>
  <c r="E9" i="5"/>
  <c r="U8" i="5"/>
  <c r="F8" i="5"/>
  <c r="E8" i="5"/>
  <c r="U7" i="5"/>
  <c r="F7" i="5"/>
  <c r="E7" i="5"/>
  <c r="U6" i="5"/>
  <c r="F6" i="5"/>
  <c r="E6" i="5"/>
  <c r="U5" i="5"/>
  <c r="F5" i="5"/>
  <c r="E5" i="5"/>
  <c r="F4" i="5"/>
  <c r="E4" i="5"/>
  <c r="M3" i="5"/>
  <c r="M4" i="5" s="1"/>
  <c r="M5" i="5" s="1"/>
  <c r="M6" i="5" s="1"/>
  <c r="M7" i="5" s="1"/>
  <c r="M8" i="5" s="1"/>
  <c r="M9" i="5" s="1"/>
  <c r="M10" i="5" s="1"/>
  <c r="M11" i="5" s="1"/>
  <c r="M12" i="5" s="1"/>
  <c r="M13" i="5" s="1"/>
  <c r="M14" i="5" s="1"/>
  <c r="M15" i="5" s="1"/>
  <c r="M16" i="5" s="1"/>
  <c r="M17" i="5" s="1"/>
  <c r="M18" i="5" s="1"/>
  <c r="M19" i="5" s="1"/>
  <c r="M20" i="5" s="1"/>
  <c r="M21" i="5" s="1"/>
  <c r="M22" i="5" s="1"/>
  <c r="M23" i="5" s="1"/>
  <c r="F3" i="5"/>
  <c r="E3" i="5"/>
  <c r="G157" i="7"/>
  <c r="X151" i="7"/>
  <c r="W151" i="7"/>
  <c r="W155" i="7" s="1"/>
  <c r="U151" i="7"/>
  <c r="AE19" i="7"/>
  <c r="AE20" i="7" s="1"/>
  <c r="AE21" i="7" s="1"/>
  <c r="AE22" i="7" s="1"/>
  <c r="AE23" i="7" s="1"/>
  <c r="AE24" i="7" s="1"/>
  <c r="AE25" i="7" s="1"/>
  <c r="AE26" i="7" s="1"/>
  <c r="AE27" i="7" s="1"/>
  <c r="AE28" i="7" s="1"/>
  <c r="AE29" i="7" s="1"/>
  <c r="AE30" i="7" s="1"/>
  <c r="AE31" i="7" s="1"/>
  <c r="AE32" i="7" s="1"/>
  <c r="AE33" i="7" s="1"/>
  <c r="AE34" i="7" s="1"/>
  <c r="AE35" i="7" s="1"/>
  <c r="AE36" i="7" s="1"/>
  <c r="AE37" i="7" s="1"/>
  <c r="AE38" i="7" s="1"/>
  <c r="AE39" i="7" s="1"/>
  <c r="AE40" i="7" s="1"/>
  <c r="AE41" i="7" s="1"/>
  <c r="AE42" i="7" s="1"/>
  <c r="AE43" i="7" s="1"/>
  <c r="AE44" i="7" s="1"/>
  <c r="AE45" i="7" s="1"/>
  <c r="AE46" i="7" s="1"/>
  <c r="AE47" i="7" s="1"/>
  <c r="AE48" i="7" s="1"/>
  <c r="AE49" i="7" s="1"/>
  <c r="AE50" i="7" s="1"/>
  <c r="AE51" i="7" s="1"/>
  <c r="AE52" i="7" s="1"/>
  <c r="AE53" i="7" s="1"/>
  <c r="AE54" i="7" s="1"/>
  <c r="AE55" i="7" s="1"/>
  <c r="AE56" i="7" s="1"/>
  <c r="AE57" i="7" s="1"/>
  <c r="AE58" i="7" s="1"/>
  <c r="AE59" i="7" s="1"/>
  <c r="AE60" i="7" s="1"/>
  <c r="AE61" i="7" s="1"/>
  <c r="AE62" i="7" s="1"/>
  <c r="AE63" i="7" s="1"/>
  <c r="AE64" i="7" s="1"/>
  <c r="AE65" i="7" s="1"/>
  <c r="AE66" i="7" s="1"/>
  <c r="AE67" i="7" s="1"/>
  <c r="AE68" i="7" s="1"/>
  <c r="AE69" i="7" s="1"/>
  <c r="AE70" i="7" s="1"/>
  <c r="AE71" i="7" s="1"/>
  <c r="AE72" i="7" s="1"/>
  <c r="AE73" i="7" s="1"/>
  <c r="AE74" i="7" s="1"/>
  <c r="AE75" i="7" s="1"/>
  <c r="AE76" i="7" s="1"/>
  <c r="AE77" i="7" s="1"/>
  <c r="AE78" i="7" s="1"/>
  <c r="AE79" i="7" s="1"/>
  <c r="AE80" i="7" s="1"/>
  <c r="AE81" i="7" s="1"/>
  <c r="AE82" i="7" s="1"/>
  <c r="AE83" i="7" s="1"/>
  <c r="AE84" i="7" s="1"/>
  <c r="AE85" i="7" s="1"/>
  <c r="AE86" i="7" s="1"/>
  <c r="AE87" i="7" s="1"/>
  <c r="AE88" i="7" s="1"/>
  <c r="AE89" i="7" s="1"/>
  <c r="AE90" i="7" s="1"/>
  <c r="AE91" i="7" s="1"/>
  <c r="AE92" i="7" s="1"/>
  <c r="AE93" i="7" s="1"/>
  <c r="AE94" i="7" s="1"/>
  <c r="AE95" i="7" s="1"/>
  <c r="AE96" i="7" s="1"/>
  <c r="AE97" i="7" s="1"/>
  <c r="AE98" i="7" s="1"/>
  <c r="AE99" i="7" s="1"/>
  <c r="AE100" i="7" s="1"/>
  <c r="AE101" i="7" s="1"/>
  <c r="AE102" i="7" s="1"/>
  <c r="AE103" i="7" s="1"/>
  <c r="AE104" i="7" s="1"/>
  <c r="AE105" i="7" s="1"/>
  <c r="AE106" i="7" s="1"/>
  <c r="AE107" i="7" s="1"/>
  <c r="AE108" i="7" s="1"/>
  <c r="AE109" i="7" s="1"/>
  <c r="AE110" i="7" s="1"/>
  <c r="AE111" i="7" s="1"/>
  <c r="AE112" i="7" s="1"/>
  <c r="AE113" i="7" s="1"/>
  <c r="AE114" i="7" s="1"/>
  <c r="AE115" i="7" s="1"/>
  <c r="AE116" i="7" s="1"/>
  <c r="AE117" i="7" s="1"/>
  <c r="AE118" i="7" s="1"/>
  <c r="AE119" i="7" s="1"/>
  <c r="AE120" i="7" s="1"/>
  <c r="AE121" i="7" s="1"/>
  <c r="AE122" i="7" s="1"/>
  <c r="AE123" i="7" s="1"/>
  <c r="AE124" i="7" s="1"/>
  <c r="AE125" i="7" s="1"/>
  <c r="AE126" i="7" s="1"/>
  <c r="AE127" i="7" s="1"/>
  <c r="AE128" i="7" s="1"/>
  <c r="AE129" i="7" s="1"/>
  <c r="AE130" i="7" s="1"/>
  <c r="AE131" i="7" s="1"/>
  <c r="AE132" i="7" s="1"/>
  <c r="AE133" i="7" s="1"/>
  <c r="AE134" i="7" s="1"/>
  <c r="F52" i="6"/>
  <c r="K29" i="6"/>
  <c r="AF62" i="8"/>
  <c r="AC62" i="8"/>
  <c r="U62" i="8"/>
  <c r="F62" i="8"/>
  <c r="C62" i="8"/>
  <c r="AC61" i="8"/>
  <c r="AA61" i="8" s="1"/>
  <c r="AE61" i="8" s="1"/>
  <c r="Y61" i="8"/>
  <c r="W61" i="8"/>
  <c r="U61" i="8"/>
  <c r="S61" i="8"/>
  <c r="U60" i="8"/>
  <c r="S60" i="8"/>
  <c r="AE59" i="8"/>
  <c r="AA59" i="8"/>
  <c r="Y59" i="8"/>
  <c r="U59" i="8"/>
  <c r="S59" i="8"/>
  <c r="AC58" i="8"/>
  <c r="AA58" i="8" s="1"/>
  <c r="AE58" i="8" s="1"/>
  <c r="Y58" i="8"/>
  <c r="W58" i="8"/>
  <c r="U58" i="8"/>
  <c r="S58" i="8"/>
  <c r="AC57" i="8"/>
  <c r="AA57" i="8" s="1"/>
  <c r="AE57" i="8" s="1"/>
  <c r="Y57" i="8"/>
  <c r="W57" i="8"/>
  <c r="U57" i="8"/>
  <c r="S57" i="8"/>
  <c r="AC56" i="8"/>
  <c r="AA56" i="8" s="1"/>
  <c r="AE56" i="8" s="1"/>
  <c r="Y56" i="8"/>
  <c r="W56" i="8"/>
  <c r="U56" i="8"/>
  <c r="S56" i="8"/>
  <c r="AC55" i="8"/>
  <c r="AA55" i="8" s="1"/>
  <c r="AE55" i="8" s="1"/>
  <c r="Y55" i="8"/>
  <c r="W55" i="8"/>
  <c r="U55" i="8"/>
  <c r="S55" i="8"/>
  <c r="AC54" i="8"/>
  <c r="AA54" i="8" s="1"/>
  <c r="AE54" i="8" s="1"/>
  <c r="Y54" i="8"/>
  <c r="W54" i="8"/>
  <c r="U54" i="8"/>
  <c r="S54" i="8"/>
  <c r="AC53" i="8"/>
  <c r="AA53" i="8" s="1"/>
  <c r="AE53" i="8" s="1"/>
  <c r="Y53" i="8"/>
  <c r="W53" i="8"/>
  <c r="U53" i="8"/>
  <c r="S53" i="8"/>
  <c r="AC52" i="8"/>
  <c r="AA52" i="8" s="1"/>
  <c r="AE52" i="8" s="1"/>
  <c r="Y52" i="8"/>
  <c r="W52" i="8"/>
  <c r="U52" i="8"/>
  <c r="S52" i="8"/>
  <c r="AC51" i="8"/>
  <c r="AA51" i="8" s="1"/>
  <c r="AE51" i="8" s="1"/>
  <c r="Y51" i="8"/>
  <c r="W51" i="8"/>
  <c r="U51" i="8"/>
  <c r="S51" i="8"/>
  <c r="AC50" i="8"/>
  <c r="AA50" i="8" s="1"/>
  <c r="AE50" i="8" s="1"/>
  <c r="Y50" i="8"/>
  <c r="W50" i="8"/>
  <c r="U50" i="8"/>
  <c r="S50" i="8"/>
  <c r="AC49" i="8"/>
  <c r="AA49" i="8" s="1"/>
  <c r="AE49" i="8" s="1"/>
  <c r="Y49" i="8"/>
  <c r="W49" i="8"/>
  <c r="U49" i="8"/>
  <c r="S49" i="8"/>
  <c r="AC48" i="8"/>
  <c r="AA48" i="8" s="1"/>
  <c r="AE48" i="8" s="1"/>
  <c r="Y48" i="8"/>
  <c r="W48" i="8"/>
  <c r="U48" i="8"/>
  <c r="S48" i="8"/>
  <c r="AC47" i="8"/>
  <c r="AA47" i="8" s="1"/>
  <c r="AE47" i="8" s="1"/>
  <c r="Y47" i="8"/>
  <c r="W47" i="8"/>
  <c r="U47" i="8"/>
  <c r="S47" i="8"/>
  <c r="AC46" i="8"/>
  <c r="AA46" i="8" s="1"/>
  <c r="AE46" i="8" s="1"/>
  <c r="Y46" i="8"/>
  <c r="W46" i="8"/>
  <c r="U46" i="8"/>
  <c r="S46" i="8"/>
  <c r="AC45" i="8"/>
  <c r="AA45" i="8" s="1"/>
  <c r="AE45" i="8" s="1"/>
  <c r="Y45" i="8"/>
  <c r="W45" i="8"/>
  <c r="U45" i="8"/>
  <c r="S45" i="8"/>
  <c r="AC44" i="8"/>
  <c r="AA44" i="8" s="1"/>
  <c r="AE44" i="8" s="1"/>
  <c r="Y44" i="8"/>
  <c r="W44" i="8"/>
  <c r="U44" i="8"/>
  <c r="S44" i="8"/>
  <c r="AC43" i="8"/>
  <c r="AA43" i="8" s="1"/>
  <c r="AE43" i="8" s="1"/>
  <c r="Y43" i="8"/>
  <c r="W43" i="8"/>
  <c r="U43" i="8"/>
  <c r="S43" i="8"/>
  <c r="AC42" i="8"/>
  <c r="AA42" i="8" s="1"/>
  <c r="AE42" i="8" s="1"/>
  <c r="Y42" i="8"/>
  <c r="W42" i="8"/>
  <c r="U42" i="8"/>
  <c r="S42" i="8"/>
  <c r="AC41" i="8"/>
  <c r="AA41" i="8" s="1"/>
  <c r="AE41" i="8" s="1"/>
  <c r="Y41" i="8"/>
  <c r="W41" i="8"/>
  <c r="U41" i="8"/>
  <c r="S41" i="8"/>
  <c r="AC40" i="8"/>
  <c r="AA40" i="8" s="1"/>
  <c r="AE40" i="8" s="1"/>
  <c r="Y40" i="8"/>
  <c r="W40" i="8"/>
  <c r="U40" i="8"/>
  <c r="S40" i="8"/>
  <c r="AC39" i="8"/>
  <c r="AA39" i="8" s="1"/>
  <c r="AE39" i="8" s="1"/>
  <c r="Y39" i="8"/>
  <c r="W39" i="8"/>
  <c r="U39" i="8"/>
  <c r="S39" i="8"/>
  <c r="AC38" i="8"/>
  <c r="AA38" i="8" s="1"/>
  <c r="AE38" i="8" s="1"/>
  <c r="Y38" i="8"/>
  <c r="W38" i="8"/>
  <c r="U38" i="8"/>
  <c r="S38" i="8"/>
  <c r="AC37" i="8"/>
  <c r="AA37" i="8" s="1"/>
  <c r="AE37" i="8" s="1"/>
  <c r="Y37" i="8"/>
  <c r="W37" i="8"/>
  <c r="U37" i="8"/>
  <c r="S37" i="8"/>
  <c r="AC36" i="8"/>
  <c r="AA36" i="8" s="1"/>
  <c r="AE36" i="8" s="1"/>
  <c r="Y36" i="8"/>
  <c r="W36" i="8"/>
  <c r="U36" i="8"/>
  <c r="S36" i="8"/>
  <c r="AC35" i="8"/>
  <c r="AA35" i="8" s="1"/>
  <c r="AE35" i="8" s="1"/>
  <c r="Y35" i="8"/>
  <c r="W35" i="8"/>
  <c r="U35" i="8"/>
  <c r="S35" i="8"/>
  <c r="AC34" i="8"/>
  <c r="AA34" i="8" s="1"/>
  <c r="AE34" i="8" s="1"/>
  <c r="Y34" i="8"/>
  <c r="W34" i="8"/>
  <c r="U34" i="8"/>
  <c r="S34" i="8"/>
  <c r="AC33" i="8"/>
  <c r="AA33" i="8" s="1"/>
  <c r="AE33" i="8" s="1"/>
  <c r="Y33" i="8"/>
  <c r="W33" i="8"/>
  <c r="U33" i="8"/>
  <c r="S33" i="8"/>
  <c r="AC32" i="8"/>
  <c r="AA32" i="8" s="1"/>
  <c r="AE32" i="8" s="1"/>
  <c r="Y32" i="8"/>
  <c r="W32" i="8"/>
  <c r="U32" i="8"/>
  <c r="S32" i="8"/>
  <c r="AC31" i="8"/>
  <c r="AA31" i="8" s="1"/>
  <c r="AE31" i="8" s="1"/>
  <c r="Y31" i="8"/>
  <c r="W31" i="8"/>
  <c r="U31" i="8"/>
  <c r="S31" i="8"/>
  <c r="AC30" i="8"/>
  <c r="AA30" i="8" s="1"/>
  <c r="AE30" i="8" s="1"/>
  <c r="Y30" i="8"/>
  <c r="W30" i="8"/>
  <c r="U30" i="8"/>
  <c r="S30" i="8"/>
  <c r="AC29" i="8"/>
  <c r="AA29" i="8" s="1"/>
  <c r="AE29" i="8" s="1"/>
  <c r="Y29" i="8"/>
  <c r="W29" i="8"/>
  <c r="U29" i="8"/>
  <c r="S29" i="8"/>
  <c r="AC28" i="8"/>
  <c r="AA28" i="8" s="1"/>
  <c r="AE28" i="8" s="1"/>
  <c r="Y28" i="8"/>
  <c r="W28" i="8"/>
  <c r="U28" i="8"/>
  <c r="S28" i="8"/>
  <c r="AC27" i="8"/>
  <c r="AA27" i="8" s="1"/>
  <c r="AE27" i="8" s="1"/>
  <c r="Y27" i="8"/>
  <c r="W27" i="8"/>
  <c r="U27" i="8"/>
  <c r="S27" i="8"/>
  <c r="AC26" i="8"/>
  <c r="AA26" i="8" s="1"/>
  <c r="AE26" i="8" s="1"/>
  <c r="Y26" i="8"/>
  <c r="W26" i="8"/>
  <c r="U26" i="8"/>
  <c r="S26" i="8"/>
  <c r="AC25" i="8"/>
  <c r="AA25" i="8" s="1"/>
  <c r="AE25" i="8" s="1"/>
  <c r="Y25" i="8"/>
  <c r="W25" i="8"/>
  <c r="U25" i="8"/>
  <c r="S25" i="8"/>
  <c r="AC24" i="8"/>
  <c r="AA24" i="8" s="1"/>
  <c r="AE24" i="8" s="1"/>
  <c r="Y24" i="8"/>
  <c r="W24" i="8"/>
  <c r="U24" i="8"/>
  <c r="S24" i="8"/>
  <c r="AC23" i="8"/>
  <c r="AA23" i="8" s="1"/>
  <c r="AE23" i="8" s="1"/>
  <c r="Y23" i="8"/>
  <c r="W23" i="8"/>
  <c r="U23" i="8"/>
  <c r="S23" i="8"/>
  <c r="AC22" i="8"/>
  <c r="AA22" i="8" s="1"/>
  <c r="AE22" i="8" s="1"/>
  <c r="Y22" i="8"/>
  <c r="W22" i="8"/>
  <c r="U22" i="8"/>
  <c r="S22" i="8"/>
  <c r="AC21" i="8"/>
  <c r="AA21" i="8" s="1"/>
  <c r="AE21" i="8" s="1"/>
  <c r="Y21" i="8"/>
  <c r="W21" i="8"/>
  <c r="U21" i="8"/>
  <c r="S21" i="8"/>
  <c r="AC20" i="8"/>
  <c r="AA20" i="8" s="1"/>
  <c r="AE20" i="8" s="1"/>
  <c r="Y20" i="8"/>
  <c r="W20" i="8"/>
  <c r="U20" i="8"/>
  <c r="S20" i="8"/>
  <c r="AC19" i="8"/>
  <c r="AA19" i="8" s="1"/>
  <c r="AE19" i="8" s="1"/>
  <c r="Y19" i="8"/>
  <c r="W19" i="8"/>
  <c r="U19" i="8"/>
  <c r="S19" i="8"/>
  <c r="AC18" i="8"/>
  <c r="AA18" i="8" s="1"/>
  <c r="AE18" i="8" s="1"/>
  <c r="Y18" i="8"/>
  <c r="W18" i="8"/>
  <c r="U18" i="8"/>
  <c r="S18" i="8"/>
  <c r="AC17" i="8"/>
  <c r="AA17" i="8" s="1"/>
  <c r="AE17" i="8" s="1"/>
  <c r="Y17" i="8"/>
  <c r="W17" i="8"/>
  <c r="U17" i="8"/>
  <c r="S17" i="8"/>
  <c r="AC16" i="8"/>
  <c r="AA16" i="8" s="1"/>
  <c r="Y16" i="8"/>
  <c r="W16" i="8"/>
  <c r="U16" i="8"/>
  <c r="S16" i="8"/>
  <c r="AC15" i="8"/>
  <c r="AA15" i="8" s="1"/>
  <c r="AE15" i="8" s="1"/>
  <c r="Y15" i="8"/>
  <c r="W15" i="8"/>
  <c r="U15" i="8"/>
  <c r="S15" i="8"/>
  <c r="AC14" i="8"/>
  <c r="AA14" i="8"/>
  <c r="AE14" i="8" s="1"/>
  <c r="Y14" i="8"/>
  <c r="W14" i="8"/>
  <c r="U14" i="8"/>
  <c r="S14" i="8"/>
  <c r="R14" i="8"/>
  <c r="AC13" i="8"/>
  <c r="AA13" i="8" s="1"/>
  <c r="AE13" i="8" s="1"/>
  <c r="Y13" i="8"/>
  <c r="W13" i="8"/>
  <c r="U13" i="8"/>
  <c r="S13" i="8"/>
  <c r="AC12" i="8"/>
  <c r="AA12" i="8" s="1"/>
  <c r="AE12" i="8" s="1"/>
  <c r="Y12" i="8"/>
  <c r="W12" i="8"/>
  <c r="U12" i="8"/>
  <c r="S12" i="8"/>
  <c r="AC11" i="8"/>
  <c r="AA11" i="8" s="1"/>
  <c r="AE11" i="8" s="1"/>
  <c r="Y11" i="8"/>
  <c r="W11" i="8"/>
  <c r="U11" i="8"/>
  <c r="S11" i="8"/>
  <c r="AG62" i="3"/>
  <c r="AD62" i="3"/>
  <c r="V62" i="3"/>
  <c r="H62" i="3"/>
  <c r="D62" i="3"/>
  <c r="AH61" i="3"/>
  <c r="AB61" i="3"/>
  <c r="AF61" i="3" s="1"/>
  <c r="Z61" i="3"/>
  <c r="X61" i="3"/>
  <c r="V61" i="3"/>
  <c r="T61" i="3"/>
  <c r="C61" i="3"/>
  <c r="AB60" i="3"/>
  <c r="AF60" i="3" s="1"/>
  <c r="Z60" i="3"/>
  <c r="X60" i="3"/>
  <c r="V60" i="3"/>
  <c r="T60" i="3"/>
  <c r="C60" i="3"/>
  <c r="AH59" i="3"/>
  <c r="V59" i="3"/>
  <c r="T59" i="3"/>
  <c r="X59" i="3" s="1"/>
  <c r="Z59" i="3" s="1"/>
  <c r="C59" i="3"/>
  <c r="AH58" i="3"/>
  <c r="X58" i="3"/>
  <c r="Z58" i="3" s="1"/>
  <c r="V58" i="3"/>
  <c r="T58" i="3"/>
  <c r="C55" i="1" s="1"/>
  <c r="C58" i="3"/>
  <c r="AH57" i="3"/>
  <c r="AB57" i="3"/>
  <c r="AF57" i="3" s="1"/>
  <c r="Z57" i="3"/>
  <c r="X57" i="3"/>
  <c r="V57" i="3"/>
  <c r="T57" i="3"/>
  <c r="C57" i="3"/>
  <c r="AH56" i="3"/>
  <c r="AB56" i="3"/>
  <c r="AF56" i="3" s="1"/>
  <c r="Z56" i="3"/>
  <c r="X56" i="3"/>
  <c r="V56" i="3"/>
  <c r="T56" i="3"/>
  <c r="C56" i="3"/>
  <c r="AH55" i="3"/>
  <c r="AB55" i="3"/>
  <c r="AF55" i="3" s="1"/>
  <c r="Z55" i="3"/>
  <c r="X55" i="3"/>
  <c r="V55" i="3"/>
  <c r="T55" i="3"/>
  <c r="C55" i="3"/>
  <c r="AH54" i="3"/>
  <c r="AB54" i="3"/>
  <c r="AF54" i="3" s="1"/>
  <c r="Z54" i="3"/>
  <c r="X54" i="3"/>
  <c r="V54" i="3"/>
  <c r="T54" i="3"/>
  <c r="C54" i="3"/>
  <c r="AH53" i="3"/>
  <c r="AB53" i="3"/>
  <c r="AF53" i="3" s="1"/>
  <c r="Z53" i="3"/>
  <c r="X53" i="3"/>
  <c r="V53" i="3"/>
  <c r="T53" i="3"/>
  <c r="C53" i="3"/>
  <c r="AH52" i="3"/>
  <c r="AB52" i="3"/>
  <c r="AF52" i="3" s="1"/>
  <c r="Z52" i="3"/>
  <c r="X52" i="3"/>
  <c r="V52" i="3"/>
  <c r="T52" i="3"/>
  <c r="C52" i="3"/>
  <c r="AH51" i="3"/>
  <c r="AB51" i="3"/>
  <c r="AF51" i="3" s="1"/>
  <c r="Z51" i="3"/>
  <c r="X51" i="3"/>
  <c r="V51" i="3"/>
  <c r="T51" i="3"/>
  <c r="C51" i="3"/>
  <c r="AH50" i="3"/>
  <c r="AB50" i="3"/>
  <c r="AF50" i="3" s="1"/>
  <c r="Z50" i="3"/>
  <c r="X50" i="3"/>
  <c r="V50" i="3"/>
  <c r="T50" i="3"/>
  <c r="C50" i="3"/>
  <c r="AH49" i="3"/>
  <c r="AB49" i="3"/>
  <c r="AF49" i="3" s="1"/>
  <c r="Z49" i="3"/>
  <c r="X49" i="3"/>
  <c r="V49" i="3"/>
  <c r="T49" i="3"/>
  <c r="C49" i="3"/>
  <c r="AH48" i="3"/>
  <c r="AB48" i="3"/>
  <c r="AF48" i="3" s="1"/>
  <c r="Z48" i="3"/>
  <c r="X48" i="3"/>
  <c r="V48" i="3"/>
  <c r="T48" i="3"/>
  <c r="C48" i="3"/>
  <c r="AH47" i="3"/>
  <c r="AB47" i="3"/>
  <c r="AF47" i="3" s="1"/>
  <c r="Z47" i="3"/>
  <c r="X47" i="3"/>
  <c r="V47" i="3"/>
  <c r="T47" i="3"/>
  <c r="C47" i="3"/>
  <c r="AH46" i="3"/>
  <c r="AB46" i="3"/>
  <c r="AF46" i="3" s="1"/>
  <c r="Z46" i="3"/>
  <c r="X46" i="3"/>
  <c r="V46" i="3"/>
  <c r="T46" i="3"/>
  <c r="C46" i="3"/>
  <c r="AH45" i="3"/>
  <c r="AB45" i="3"/>
  <c r="AF45" i="3" s="1"/>
  <c r="Z45" i="3"/>
  <c r="X45" i="3"/>
  <c r="V45" i="3"/>
  <c r="T45" i="3"/>
  <c r="C45" i="3"/>
  <c r="AH44" i="3"/>
  <c r="AB44" i="3"/>
  <c r="AF44" i="3" s="1"/>
  <c r="Z44" i="3"/>
  <c r="X44" i="3"/>
  <c r="V44" i="3"/>
  <c r="T44" i="3"/>
  <c r="C44" i="3"/>
  <c r="AH43" i="3"/>
  <c r="AB43" i="3"/>
  <c r="AF43" i="3" s="1"/>
  <c r="Z43" i="3"/>
  <c r="X43" i="3"/>
  <c r="V43" i="3"/>
  <c r="T43" i="3"/>
  <c r="C43" i="3"/>
  <c r="AH42" i="3"/>
  <c r="AB42" i="3"/>
  <c r="AF42" i="3" s="1"/>
  <c r="Z42" i="3"/>
  <c r="X42" i="3"/>
  <c r="V42" i="3"/>
  <c r="T42" i="3"/>
  <c r="C42" i="3"/>
  <c r="AH41" i="3"/>
  <c r="AB41" i="3"/>
  <c r="AF41" i="3" s="1"/>
  <c r="Z41" i="3"/>
  <c r="X41" i="3"/>
  <c r="V41" i="3"/>
  <c r="T41" i="3"/>
  <c r="C41" i="3"/>
  <c r="AH40" i="3"/>
  <c r="AB40" i="3"/>
  <c r="AF40" i="3" s="1"/>
  <c r="Z40" i="3"/>
  <c r="X40" i="3"/>
  <c r="V40" i="3"/>
  <c r="T40" i="3"/>
  <c r="C40" i="3"/>
  <c r="AH39" i="3"/>
  <c r="AB39" i="3"/>
  <c r="AF39" i="3" s="1"/>
  <c r="Z39" i="3"/>
  <c r="X39" i="3"/>
  <c r="V39" i="3"/>
  <c r="T39" i="3"/>
  <c r="C39" i="3"/>
  <c r="AH38" i="3"/>
  <c r="X38" i="3"/>
  <c r="Z38" i="3" s="1"/>
  <c r="AB38" i="3" s="1"/>
  <c r="AF38" i="3" s="1"/>
  <c r="V38" i="3"/>
  <c r="T38" i="3"/>
  <c r="C38" i="3"/>
  <c r="AH37" i="3"/>
  <c r="V37" i="3"/>
  <c r="T37" i="3"/>
  <c r="X37" i="3" s="1"/>
  <c r="Z37" i="3" s="1"/>
  <c r="C37" i="3"/>
  <c r="AH36" i="3"/>
  <c r="V36" i="3"/>
  <c r="X36" i="3"/>
  <c r="Z36" i="3" s="1"/>
  <c r="C36" i="3"/>
  <c r="AH35" i="3"/>
  <c r="AB35" i="3"/>
  <c r="AF35" i="3" s="1"/>
  <c r="Z35" i="3"/>
  <c r="X35" i="3"/>
  <c r="V35" i="3"/>
  <c r="T35" i="3"/>
  <c r="C35" i="3"/>
  <c r="AH34" i="3"/>
  <c r="X34" i="3"/>
  <c r="Z34" i="3" s="1"/>
  <c r="AB34" i="3" s="1"/>
  <c r="AF34" i="3" s="1"/>
  <c r="V34" i="3"/>
  <c r="T34" i="3"/>
  <c r="C31" i="1" s="1"/>
  <c r="C34" i="3"/>
  <c r="AH33" i="3"/>
  <c r="AB33" i="3"/>
  <c r="AF33" i="3" s="1"/>
  <c r="Z33" i="3"/>
  <c r="X33" i="3"/>
  <c r="V33" i="3"/>
  <c r="T33" i="3"/>
  <c r="C33" i="3"/>
  <c r="AH32" i="3"/>
  <c r="AB32" i="3"/>
  <c r="AF32" i="3" s="1"/>
  <c r="Z32" i="3"/>
  <c r="X32" i="3"/>
  <c r="V32" i="3"/>
  <c r="T32" i="3"/>
  <c r="C32" i="3"/>
  <c r="AH31" i="3"/>
  <c r="AB31" i="3"/>
  <c r="AF31" i="3" s="1"/>
  <c r="Z31" i="3"/>
  <c r="X31" i="3"/>
  <c r="V31" i="3"/>
  <c r="T31" i="3"/>
  <c r="C31" i="3"/>
  <c r="AH30" i="3"/>
  <c r="X30" i="3"/>
  <c r="Z30" i="3" s="1"/>
  <c r="AB30" i="3" s="1"/>
  <c r="AF30" i="3" s="1"/>
  <c r="V30" i="3"/>
  <c r="T30" i="3"/>
  <c r="C30" i="3"/>
  <c r="AH29" i="3"/>
  <c r="X29" i="3"/>
  <c r="V29" i="3"/>
  <c r="T29" i="3"/>
  <c r="C29" i="3"/>
  <c r="AH28" i="3"/>
  <c r="AB28" i="3"/>
  <c r="AF28" i="3" s="1"/>
  <c r="Z28" i="3"/>
  <c r="X28" i="3"/>
  <c r="V28" i="3"/>
  <c r="T28" i="3"/>
  <c r="C28" i="3"/>
  <c r="AH27" i="3"/>
  <c r="AB27" i="3"/>
  <c r="AF27" i="3" s="1"/>
  <c r="Z27" i="3"/>
  <c r="X27" i="3"/>
  <c r="V27" i="3"/>
  <c r="T27" i="3"/>
  <c r="C27" i="3"/>
  <c r="AH26" i="3"/>
  <c r="AB26" i="3"/>
  <c r="AF26" i="3" s="1"/>
  <c r="Z26" i="3"/>
  <c r="X26" i="3"/>
  <c r="V26" i="3"/>
  <c r="T26" i="3"/>
  <c r="C26" i="3"/>
  <c r="AH25" i="3"/>
  <c r="AB25" i="3"/>
  <c r="AF25" i="3" s="1"/>
  <c r="Z25" i="3"/>
  <c r="X25" i="3"/>
  <c r="V25" i="3"/>
  <c r="T25" i="3"/>
  <c r="C25" i="3"/>
  <c r="AH24" i="3"/>
  <c r="AB24" i="3"/>
  <c r="AF24" i="3" s="1"/>
  <c r="Z24" i="3"/>
  <c r="X24" i="3"/>
  <c r="V24" i="3"/>
  <c r="T24" i="3"/>
  <c r="C24" i="3"/>
  <c r="AH23" i="3"/>
  <c r="AB23" i="3"/>
  <c r="AF23" i="3" s="1"/>
  <c r="Z23" i="3"/>
  <c r="X23" i="3"/>
  <c r="V23" i="3"/>
  <c r="T23" i="3"/>
  <c r="C23" i="3"/>
  <c r="AH22" i="3"/>
  <c r="AB22" i="3"/>
  <c r="AF22" i="3" s="1"/>
  <c r="Z22" i="3"/>
  <c r="X22" i="3"/>
  <c r="V22" i="3"/>
  <c r="T22" i="3"/>
  <c r="C22" i="3"/>
  <c r="AH21" i="3"/>
  <c r="AB21" i="3"/>
  <c r="AF21" i="3" s="1"/>
  <c r="Z21" i="3"/>
  <c r="X21" i="3"/>
  <c r="V21" i="3"/>
  <c r="T21" i="3"/>
  <c r="C21" i="3"/>
  <c r="AH20" i="3"/>
  <c r="AB20" i="3"/>
  <c r="AF20" i="3" s="1"/>
  <c r="Z20" i="3"/>
  <c r="X20" i="3"/>
  <c r="V20" i="3"/>
  <c r="T20" i="3"/>
  <c r="C20" i="3"/>
  <c r="AH19" i="3"/>
  <c r="AB19" i="3"/>
  <c r="AF19" i="3" s="1"/>
  <c r="Z19" i="3"/>
  <c r="X19" i="3"/>
  <c r="V19" i="3"/>
  <c r="T19" i="3"/>
  <c r="C19" i="3"/>
  <c r="AH18" i="3"/>
  <c r="AB18" i="3"/>
  <c r="AF18" i="3" s="1"/>
  <c r="Z18" i="3"/>
  <c r="X18" i="3"/>
  <c r="V18" i="3"/>
  <c r="T18" i="3"/>
  <c r="C18" i="3"/>
  <c r="AH17" i="3"/>
  <c r="AB17" i="3"/>
  <c r="AF17" i="3" s="1"/>
  <c r="Z17" i="3"/>
  <c r="X17" i="3"/>
  <c r="V17" i="3"/>
  <c r="T17" i="3"/>
  <c r="C17" i="3"/>
  <c r="AH16" i="3"/>
  <c r="AB16" i="3"/>
  <c r="Z16" i="3"/>
  <c r="X16" i="3"/>
  <c r="V16" i="3"/>
  <c r="T16" i="3"/>
  <c r="C16" i="3"/>
  <c r="AH15" i="3"/>
  <c r="AB15" i="3"/>
  <c r="AF15" i="3" s="1"/>
  <c r="Z15" i="3"/>
  <c r="X15" i="3"/>
  <c r="V15" i="3"/>
  <c r="T15" i="3"/>
  <c r="C15" i="3"/>
  <c r="AH14" i="3"/>
  <c r="AB14" i="3"/>
  <c r="AF14" i="3" s="1"/>
  <c r="Z14" i="3"/>
  <c r="X14" i="3"/>
  <c r="V14" i="3"/>
  <c r="T14" i="3"/>
  <c r="S14" i="3"/>
  <c r="C14" i="3"/>
  <c r="AH13" i="3"/>
  <c r="AB13" i="3"/>
  <c r="AF13" i="3" s="1"/>
  <c r="Z13" i="3"/>
  <c r="X13" i="3"/>
  <c r="V13" i="3"/>
  <c r="T13" i="3"/>
  <c r="C13" i="3"/>
  <c r="AH12" i="3"/>
  <c r="AB12" i="3"/>
  <c r="AF12" i="3" s="1"/>
  <c r="Z12" i="3"/>
  <c r="X12" i="3"/>
  <c r="V12" i="3"/>
  <c r="T12" i="3"/>
  <c r="C12" i="3"/>
  <c r="AH11" i="3"/>
  <c r="AB11" i="3"/>
  <c r="AF11" i="3" s="1"/>
  <c r="Z11" i="3"/>
  <c r="X11" i="3"/>
  <c r="V11" i="3"/>
  <c r="T11" i="3"/>
  <c r="C11" i="3"/>
  <c r="G67" i="1"/>
  <c r="E67" i="1"/>
  <c r="C67" i="1"/>
  <c r="G66" i="1"/>
  <c r="C66" i="1"/>
  <c r="G65" i="1"/>
  <c r="C65" i="1"/>
  <c r="G64" i="1"/>
  <c r="C64" i="1"/>
  <c r="G63" i="1"/>
  <c r="C63" i="1"/>
  <c r="G62" i="1"/>
  <c r="C62" i="1"/>
  <c r="G61" i="1"/>
  <c r="E61" i="1"/>
  <c r="C61" i="1"/>
  <c r="G60" i="1"/>
  <c r="E60" i="1"/>
  <c r="C60" i="1"/>
  <c r="G59" i="1"/>
  <c r="E59" i="1"/>
  <c r="C59" i="1"/>
  <c r="G58" i="1"/>
  <c r="E58" i="1"/>
  <c r="C58" i="1"/>
  <c r="G57" i="1"/>
  <c r="E57" i="1"/>
  <c r="C57" i="1"/>
  <c r="G56" i="1"/>
  <c r="E56" i="1"/>
  <c r="G55" i="1"/>
  <c r="E55" i="1"/>
  <c r="G54" i="1"/>
  <c r="E54" i="1"/>
  <c r="C54" i="1"/>
  <c r="G53" i="1"/>
  <c r="E53" i="1"/>
  <c r="C53" i="1"/>
  <c r="G52" i="1"/>
  <c r="E52" i="1"/>
  <c r="C52" i="1"/>
  <c r="G51" i="1"/>
  <c r="E51" i="1"/>
  <c r="C51" i="1"/>
  <c r="G50" i="1"/>
  <c r="C50" i="1"/>
  <c r="G49" i="1"/>
  <c r="C49" i="1"/>
  <c r="G48" i="1"/>
  <c r="C48" i="1"/>
  <c r="G47" i="1"/>
  <c r="C47" i="1"/>
  <c r="G46" i="1"/>
  <c r="C46" i="1"/>
  <c r="G45" i="1"/>
  <c r="C45" i="1"/>
  <c r="G44" i="1"/>
  <c r="C44" i="1"/>
  <c r="G43" i="1"/>
  <c r="C43" i="1"/>
  <c r="G42" i="1"/>
  <c r="C42" i="1"/>
  <c r="G41" i="1"/>
  <c r="C41" i="1"/>
  <c r="G40" i="1"/>
  <c r="C40" i="1"/>
  <c r="G39" i="1"/>
  <c r="C39" i="1"/>
  <c r="G38" i="1"/>
  <c r="C38" i="1"/>
  <c r="G37" i="1"/>
  <c r="E37" i="1"/>
  <c r="C37" i="1"/>
  <c r="G36" i="1"/>
  <c r="C36" i="1"/>
  <c r="G35" i="1"/>
  <c r="C35" i="1"/>
  <c r="G34" i="1"/>
  <c r="G33" i="1"/>
  <c r="G32" i="1"/>
  <c r="C32" i="1"/>
  <c r="G31" i="1"/>
  <c r="G30" i="1"/>
  <c r="C30" i="1"/>
  <c r="G29" i="1"/>
  <c r="C29" i="1"/>
  <c r="G28" i="1"/>
  <c r="C28" i="1"/>
  <c r="G27" i="1"/>
  <c r="C27" i="1"/>
  <c r="G26" i="1"/>
  <c r="C26" i="1"/>
  <c r="G25" i="1"/>
  <c r="C25" i="1"/>
  <c r="G24" i="1"/>
  <c r="C24" i="1"/>
  <c r="G23" i="1"/>
  <c r="C23" i="1"/>
  <c r="G22" i="1"/>
  <c r="C22" i="1"/>
  <c r="G21" i="1"/>
  <c r="C21" i="1"/>
  <c r="G20" i="1"/>
  <c r="C20" i="1"/>
  <c r="G19" i="1"/>
  <c r="C19" i="1"/>
  <c r="G18" i="1"/>
  <c r="C18" i="1"/>
  <c r="G17" i="1"/>
  <c r="C17" i="1"/>
  <c r="G16" i="1"/>
  <c r="C16" i="1"/>
  <c r="G15" i="1"/>
  <c r="C15" i="1"/>
  <c r="G14" i="1"/>
  <c r="C14" i="1"/>
  <c r="G13" i="1"/>
  <c r="C13" i="1"/>
  <c r="G12" i="1"/>
  <c r="C12" i="1"/>
  <c r="G11" i="1"/>
  <c r="C11" i="1"/>
  <c r="G10" i="1"/>
  <c r="E10" i="1"/>
  <c r="C10" i="1"/>
  <c r="G9" i="1"/>
  <c r="E9" i="1"/>
  <c r="C9" i="1"/>
  <c r="G8" i="1"/>
  <c r="E8" i="1"/>
  <c r="C8" i="1"/>
  <c r="K5" i="1"/>
  <c r="AC64" i="8" s="1"/>
  <c r="H5" i="1"/>
  <c r="C5" i="1"/>
  <c r="C4" i="1"/>
  <c r="L70" i="1" l="1"/>
  <c r="AD64" i="3"/>
  <c r="AE135" i="7"/>
  <c r="AE136" i="7" s="1"/>
  <c r="AB58" i="3"/>
  <c r="AF58" i="3" s="1"/>
  <c r="AB59" i="3"/>
  <c r="AF59" i="3" s="1"/>
  <c r="C56" i="1"/>
  <c r="AB37" i="3"/>
  <c r="AF37" i="3" s="1"/>
  <c r="C34" i="1"/>
  <c r="AB36" i="3"/>
  <c r="AF36" i="3" s="1"/>
  <c r="C33" i="1"/>
  <c r="W62" i="8"/>
  <c r="Z29" i="3"/>
  <c r="X62" i="3"/>
  <c r="Z151" i="7" l="1"/>
  <c r="AB29" i="3"/>
  <c r="AF29" i="3" s="1"/>
  <c r="Y62" i="8"/>
  <c r="Z62" i="3"/>
  <c r="AF62" i="3" l="1"/>
  <c r="AE62" i="8"/>
  <c r="AA62" i="8"/>
  <c r="AB62" i="3"/>
</calcChain>
</file>

<file path=xl/connections.xml><?xml version="1.0" encoding="utf-8"?>
<connections xmlns="http://schemas.openxmlformats.org/spreadsheetml/2006/main">
  <connection id="1" name="LinkedTable_Accruals" type="102" refreshedVersion="6" minRefreshableVersion="5">
    <extLst>
      <ext xmlns:x15="http://schemas.microsoft.com/office/spreadsheetml/2010/11/main" uri="{DE250136-89BD-433C-8126-D09CA5730AF9}">
        <x15:connection id="Accruals">
          <x15:rangePr sourceName="_xlcn.LinkedTable_Accruals1"/>
        </x15:connection>
      </ext>
    </extLst>
  </connection>
  <connection id="2" name="LinkedTable_CavityStatus" type="102" refreshedVersion="6" minRefreshableVersion="5">
    <extLst>
      <ext xmlns:x15="http://schemas.microsoft.com/office/spreadsheetml/2010/11/main" uri="{DE250136-89BD-433C-8126-D09CA5730AF9}">
        <x15:connection id="CavityStatus">
          <x15:rangePr sourceName="_xlcn.LinkedTable_CavityStatus1"/>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<sst xmlns="http://schemas.openxmlformats.org/spreadsheetml/2006/main" count="1526" uniqueCount="442">
  <si>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</si>
  <si>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</si>
  <si>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</si>
  <si>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</si>
  <si>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</si>
  <si>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</si>
  <si>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</si>
  <si>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</si>
  <si>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</si>
  <si>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</si>
  <si>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</si>
  <si>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</si>
  <si>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</si>
  <si>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</si>
  <si>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</si>
  <si>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</si>
  <si>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</si>
  <si>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</si>
  <si>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</si>
  <si>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</si>
  <si>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</si>
  <si>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</si>
  <si>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</si>
  <si>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</si>
  <si>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</si>
  <si>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</si>
  <si>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</si>
  <si>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</si>
  <si>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</si>
  <si>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</si>
  <si>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</si>
  <si>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</si>
  <si>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</si>
  <si>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</si>
  <si>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</si>
  <si>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</si>
  <si>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</si>
  <si>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</si>
  <si>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</si>
  <si>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</si>
  <si>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</si>
  <si>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</si>
  <si>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</si>
  <si>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</si>
  <si>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</si>
  <si>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</si>
  <si>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</si>
  <si>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Proof of completed furnace uprade</t>
  </si>
  <si>
    <t>Description</t>
  </si>
  <si>
    <t>Proof of equipment order furnace uprade</t>
  </si>
  <si>
    <t>15-C0587</t>
  </si>
  <si>
    <t>Est Date</t>
  </si>
  <si>
    <t>% Complete</t>
  </si>
  <si>
    <t>Acceptance of Ni doping process - Cav 1 (of 2)</t>
  </si>
  <si>
    <t>Acceptance of Ni doping process - Cav 2 (of 2)</t>
  </si>
  <si>
    <t>Eden Evans for Ed Daly</t>
  </si>
  <si>
    <t>RI Research Instruments</t>
  </si>
  <si>
    <t>Fitzpatrick</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</si>
  <si>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</si>
  <si>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</si>
  <si>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</si>
  <si>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</si>
  <si>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</si>
  <si>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</si>
  <si>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</si>
  <si>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</si>
  <si>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</si>
  <si>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</si>
  <si>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</si>
  <si>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</si>
  <si>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</si>
  <si>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</si>
  <si>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</si>
  <si>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</si>
  <si>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</si>
  <si>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</si>
  <si>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</si>
  <si>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</si>
  <si>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</si>
  <si>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</si>
  <si>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</si>
  <si>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</si>
  <si>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</si>
  <si>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</si>
  <si>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</si>
  <si>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</si>
  <si>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</si>
  <si>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</si>
  <si>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</si>
  <si>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</si>
  <si>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</si>
  <si>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r>
      <rPr>
        <u/>
        <sz val="10"/>
        <rFont val="Arial"/>
        <family val="2"/>
      </rPr>
      <t>MOD 002</t>
    </r>
    <r>
      <rPr>
        <sz val="10"/>
        <rFont val="Arial"/>
        <family val="2"/>
      </rPr>
      <t>: DESY Equip Refurbishment</t>
    </r>
  </si>
  <si>
    <r>
      <rPr>
        <u/>
        <sz val="10"/>
        <rFont val="Arial"/>
        <family val="2"/>
      </rPr>
      <t>MOD 002</t>
    </r>
    <r>
      <rPr>
        <sz val="10"/>
        <rFont val="Arial"/>
        <family val="2"/>
      </rPr>
      <t xml:space="preserve">: DESY Equip Service &amp; Support Costs  </t>
    </r>
  </si>
  <si>
    <r>
      <rPr>
        <u/>
        <sz val="10"/>
        <rFont val="Arial"/>
        <family val="2"/>
      </rPr>
      <t>MOD 003</t>
    </r>
    <r>
      <rPr>
        <sz val="10"/>
        <rFont val="Arial"/>
        <family val="2"/>
      </rPr>
      <t>: Accel Shipment (1-16) Incentives (Max of $323,136)</t>
    </r>
  </si>
  <si>
    <r>
      <rPr>
        <u/>
        <sz val="10"/>
        <rFont val="Arial"/>
        <family val="2"/>
      </rPr>
      <t>MOD 004</t>
    </r>
    <r>
      <rPr>
        <sz val="10"/>
        <rFont val="Arial"/>
        <family val="2"/>
      </rPr>
      <t>: Incentives for Accelerated Production Deliveries</t>
    </r>
  </si>
  <si>
    <r>
      <rPr>
        <u/>
        <sz val="10"/>
        <rFont val="Arial"/>
        <family val="2"/>
      </rPr>
      <t>MOD 005</t>
    </r>
    <r>
      <rPr>
        <sz val="10"/>
        <rFont val="Arial"/>
        <family val="2"/>
      </rPr>
      <t>: DESY Equipment Lease ($9,200/ month)</t>
    </r>
  </si>
  <si>
    <r>
      <rPr>
        <u/>
        <sz val="10"/>
        <rFont val="Arial"/>
        <family val="2"/>
      </rPr>
      <t>MOD 007</t>
    </r>
    <r>
      <rPr>
        <sz val="10"/>
        <rFont val="Arial"/>
        <family val="2"/>
      </rPr>
      <t>: LCLS-II R&amp;D Cavities (4)</t>
    </r>
  </si>
  <si>
    <t>Invoice #</t>
  </si>
  <si>
    <t>Milestone/ Line</t>
  </si>
  <si>
    <t>MOD 003: Accel Shipment (1-16) Incentives (Max of $323,136)</t>
  </si>
  <si>
    <t>MOD 008: CTM Spare Parts</t>
  </si>
  <si>
    <t>Invoice Amount</t>
  </si>
  <si>
    <t>MOD 002: DESY Equip Refurbishment</t>
  </si>
  <si>
    <r>
      <rPr>
        <u/>
        <sz val="10"/>
        <rFont val="Arial"/>
        <family val="2"/>
      </rPr>
      <t>MOD 008</t>
    </r>
    <r>
      <rPr>
        <sz val="10"/>
        <rFont val="Arial"/>
        <family val="2"/>
      </rPr>
      <t>: CTM Spare Parts</t>
    </r>
  </si>
  <si>
    <t>PH II: Mfg Drawings Accepted by JLab</t>
  </si>
  <si>
    <t>PH II: FAs Mech Pre-fab (Deep Draw)</t>
  </si>
  <si>
    <t xml:space="preserve">PH III: Mech Pre-Fab Cavities (9-72) </t>
  </si>
  <si>
    <t>#</t>
  </si>
  <si>
    <t>Total</t>
  </si>
  <si>
    <t>Remaining $7,344 to be de-obligated.</t>
  </si>
  <si>
    <t>MOD 005: DESY Equipment Lease ($9,200/ month)</t>
  </si>
  <si>
    <t>MOD 007: LCLS-II R&amp;D Cavities (4)</t>
  </si>
  <si>
    <t>PO#</t>
  </si>
  <si>
    <t>Cavities 17-20.</t>
  </si>
  <si>
    <t>6.25% for October</t>
  </si>
  <si>
    <t>Material</t>
  </si>
  <si>
    <t>EP</t>
  </si>
  <si>
    <t>Heat</t>
  </si>
  <si>
    <t>Caps</t>
  </si>
  <si>
    <t>NCRs</t>
  </si>
  <si>
    <t>Ship Date</t>
  </si>
  <si>
    <t>Receipt Date</t>
  </si>
  <si>
    <t>CAV0001</t>
  </si>
  <si>
    <t>TD</t>
  </si>
  <si>
    <t>No</t>
  </si>
  <si>
    <t>OK</t>
  </si>
  <si>
    <t>NCR 8, 17</t>
  </si>
  <si>
    <t>JLab</t>
  </si>
  <si>
    <t>JLAB CM02</t>
  </si>
  <si>
    <t>CAV0002</t>
  </si>
  <si>
    <t>CAV0003</t>
  </si>
  <si>
    <t>NCR 9</t>
  </si>
  <si>
    <t>FNAL</t>
  </si>
  <si>
    <t>CAV0004</t>
  </si>
  <si>
    <t>NCR 10</t>
  </si>
  <si>
    <t>RI</t>
  </si>
  <si>
    <t>EZ</t>
  </si>
  <si>
    <t>CAV0005</t>
  </si>
  <si>
    <t>NCR 11</t>
  </si>
  <si>
    <t xml:space="preserve"> 1-4</t>
  </si>
  <si>
    <t>JLab 02</t>
  </si>
  <si>
    <t>FNAL 03</t>
  </si>
  <si>
    <t>CAV0006</t>
  </si>
  <si>
    <t>NCR 18</t>
  </si>
  <si>
    <t xml:space="preserve"> 5-8</t>
  </si>
  <si>
    <t>FNAL 02</t>
  </si>
  <si>
    <t>CAV0007</t>
  </si>
  <si>
    <t>NCR 20</t>
  </si>
  <si>
    <t xml:space="preserve"> 9-12</t>
  </si>
  <si>
    <t>FNAL 05</t>
  </si>
  <si>
    <t>CAV0008</t>
  </si>
  <si>
    <t>NCR 19, 22</t>
  </si>
  <si>
    <t>NCR discussed (split ring repositioning by FNAL, 1.4 deg. off)</t>
  </si>
  <si>
    <t xml:space="preserve"> 13-16</t>
  </si>
  <si>
    <t>CAV0009</t>
  </si>
  <si>
    <t>FNAL CM02</t>
  </si>
  <si>
    <t xml:space="preserve"> 17-20</t>
  </si>
  <si>
    <t>FNAL 04</t>
  </si>
  <si>
    <t>JLab 04</t>
  </si>
  <si>
    <t>CAV0010</t>
  </si>
  <si>
    <t>NCR 21, 23</t>
  </si>
  <si>
    <t xml:space="preserve"> 21-24</t>
  </si>
  <si>
    <t>CAV0011</t>
  </si>
  <si>
    <t xml:space="preserve"> 25-28</t>
  </si>
  <si>
    <t>JLab 03</t>
  </si>
  <si>
    <t>JLab 06</t>
  </si>
  <si>
    <t>CAV0012</t>
  </si>
  <si>
    <t>NCR 7, 24</t>
  </si>
  <si>
    <t xml:space="preserve"> 29-32</t>
  </si>
  <si>
    <t>CAV0013</t>
  </si>
  <si>
    <t>NCR 26</t>
  </si>
  <si>
    <t xml:space="preserve"> 33-36</t>
  </si>
  <si>
    <t>JLab 05</t>
  </si>
  <si>
    <t>FNAL 06</t>
  </si>
  <si>
    <t>CAV0014</t>
  </si>
  <si>
    <t>NCR 25</t>
  </si>
  <si>
    <t xml:space="preserve"> 37-40</t>
  </si>
  <si>
    <t>CAV0015</t>
  </si>
  <si>
    <t>NCR 27</t>
  </si>
  <si>
    <t xml:space="preserve"> 41-44</t>
  </si>
  <si>
    <t>JLab 07</t>
  </si>
  <si>
    <t>FNAL 07</t>
  </si>
  <si>
    <t>CAV0016</t>
  </si>
  <si>
    <t>NCR 28, 29</t>
  </si>
  <si>
    <t xml:space="preserve"> 45-48</t>
  </si>
  <si>
    <t>CAV0017</t>
  </si>
  <si>
    <t>Yes</t>
  </si>
  <si>
    <t>NCR 47</t>
  </si>
  <si>
    <t xml:space="preserve"> 49-52</t>
  </si>
  <si>
    <t>FNAL 08</t>
  </si>
  <si>
    <t>FNAL 09</t>
  </si>
  <si>
    <t>CAV0018</t>
  </si>
  <si>
    <t>NCR 46, 48</t>
  </si>
  <si>
    <t xml:space="preserve"> 53-56</t>
  </si>
  <si>
    <t>CAV0019</t>
  </si>
  <si>
    <t>NCR 51</t>
  </si>
  <si>
    <t>NCR 51 - minor mechanical</t>
  </si>
  <si>
    <t xml:space="preserve"> 57-60</t>
  </si>
  <si>
    <t>FNAL 11</t>
  </si>
  <si>
    <t>FNAL 10</t>
  </si>
  <si>
    <t>CAV0020</t>
  </si>
  <si>
    <t>NCR 52</t>
  </si>
  <si>
    <t>NCR 52 - minor mechanical</t>
  </si>
  <si>
    <t xml:space="preserve"> 61-64</t>
  </si>
  <si>
    <t>CAV0021</t>
  </si>
  <si>
    <t>NCR 39, 54</t>
  </si>
  <si>
    <t>NCR 54 - minor mechanical</t>
  </si>
  <si>
    <t xml:space="preserve"> 65-68</t>
  </si>
  <si>
    <t>JLab 09</t>
  </si>
  <si>
    <t>JLab 08</t>
  </si>
  <si>
    <t>CAV0022</t>
  </si>
  <si>
    <t>NCR 53</t>
  </si>
  <si>
    <t>NCR 53 - minor mechanical</t>
  </si>
  <si>
    <t xml:space="preserve"> 69-72</t>
  </si>
  <si>
    <t>CAV0023</t>
  </si>
  <si>
    <t>NCR 1, 59</t>
  </si>
  <si>
    <t>NCR 59 - minor mechanical</t>
  </si>
  <si>
    <t xml:space="preserve"> 73-76</t>
  </si>
  <si>
    <t>JLab 11</t>
  </si>
  <si>
    <t>JLab 10</t>
  </si>
  <si>
    <t>CAV0024</t>
  </si>
  <si>
    <t>NCR 60</t>
  </si>
  <si>
    <t>NCR 60 - minor mechanical</t>
  </si>
  <si>
    <t xml:space="preserve"> 77-80</t>
  </si>
  <si>
    <t>Jlab 10</t>
  </si>
  <si>
    <t>CAV0025</t>
  </si>
  <si>
    <t>NCR 50, 56</t>
  </si>
  <si>
    <t>NCR 56 - minor mechanical</t>
  </si>
  <si>
    <t xml:space="preserve"> 81-84</t>
  </si>
  <si>
    <t>JLab 14</t>
  </si>
  <si>
    <t>JLab 12</t>
  </si>
  <si>
    <t>CAV0026</t>
  </si>
  <si>
    <t>NCR 57</t>
  </si>
  <si>
    <t>NCR 57 - minor mechanical</t>
  </si>
  <si>
    <t xml:space="preserve"> 85-88</t>
  </si>
  <si>
    <t>CAV0027</t>
  </si>
  <si>
    <t xml:space="preserve"> 89-92</t>
  </si>
  <si>
    <t>JLab 15</t>
  </si>
  <si>
    <t>JLab 13</t>
  </si>
  <si>
    <t>CAV0028</t>
  </si>
  <si>
    <t>NCR 61</t>
  </si>
  <si>
    <t>NCR 61 - minor mechanical</t>
  </si>
  <si>
    <t xml:space="preserve"> 93-96</t>
  </si>
  <si>
    <t>CAV0029</t>
  </si>
  <si>
    <t xml:space="preserve"> 97-100</t>
  </si>
  <si>
    <t>FNAL 13</t>
  </si>
  <si>
    <t>FNAL 12</t>
  </si>
  <si>
    <t>CAV0030</t>
  </si>
  <si>
    <t>NCR 58</t>
  </si>
  <si>
    <t>NCR 58 - minor mechanical</t>
  </si>
  <si>
    <t xml:space="preserve"> 101-104</t>
  </si>
  <si>
    <t>CAV0031</t>
  </si>
  <si>
    <t>4 cavities in oven</t>
  </si>
  <si>
    <t xml:space="preserve"> 105-108</t>
  </si>
  <si>
    <t>FNAL 14</t>
  </si>
  <si>
    <t>JLab 16</t>
  </si>
  <si>
    <t>CAV0032</t>
  </si>
  <si>
    <t xml:space="preserve"> 109-112</t>
  </si>
  <si>
    <t>CAV0033</t>
  </si>
  <si>
    <t xml:space="preserve"> 113-116</t>
  </si>
  <si>
    <t>FNAL 16</t>
  </si>
  <si>
    <t>JLab 17</t>
  </si>
  <si>
    <t>CAV0034</t>
  </si>
  <si>
    <t xml:space="preserve"> 117-120</t>
  </si>
  <si>
    <t>CAV0035</t>
  </si>
  <si>
    <t xml:space="preserve"> 121-124</t>
  </si>
  <si>
    <t>FNAL 17</t>
  </si>
  <si>
    <t>FNAL 15</t>
  </si>
  <si>
    <t>CAV0036</t>
  </si>
  <si>
    <t xml:space="preserve"> 125-128</t>
  </si>
  <si>
    <t>CAV0037</t>
  </si>
  <si>
    <t xml:space="preserve"> 129-130</t>
  </si>
  <si>
    <t>Jlab 18</t>
  </si>
  <si>
    <t xml:space="preserve"> 129-133</t>
  </si>
  <si>
    <t>CAV0038</t>
  </si>
  <si>
    <t>131-133</t>
  </si>
  <si>
    <t>CAV0039</t>
  </si>
  <si>
    <t>CAV0040</t>
  </si>
  <si>
    <t>CAV0041</t>
  </si>
  <si>
    <t>CAV0042</t>
  </si>
  <si>
    <t>CAV0043</t>
  </si>
  <si>
    <t>CAV0044</t>
  </si>
  <si>
    <t>CAV0045</t>
  </si>
  <si>
    <t>CAV0046</t>
  </si>
  <si>
    <t>CAV0047</t>
  </si>
  <si>
    <t>CAV0048</t>
  </si>
  <si>
    <t>CAV0049</t>
  </si>
  <si>
    <t>CAV0050</t>
  </si>
  <si>
    <t>CAV0051</t>
  </si>
  <si>
    <t>CAV0052</t>
  </si>
  <si>
    <t>CAV0053</t>
  </si>
  <si>
    <t>CAV0054</t>
  </si>
  <si>
    <t>CAV0055</t>
  </si>
  <si>
    <t>CAV0056</t>
  </si>
  <si>
    <t>CAV0057</t>
  </si>
  <si>
    <t>CAV0058</t>
  </si>
  <si>
    <t>CAV0059</t>
  </si>
  <si>
    <t>CAV0060</t>
  </si>
  <si>
    <t>CAV0061</t>
  </si>
  <si>
    <t>CAV0062</t>
  </si>
  <si>
    <t>CAV0063</t>
  </si>
  <si>
    <t>CAV0064</t>
  </si>
  <si>
    <t>CAV0065</t>
  </si>
  <si>
    <t>CAV0066</t>
  </si>
  <si>
    <t>CAV0067</t>
  </si>
  <si>
    <t>NX</t>
  </si>
  <si>
    <t>CAV0068</t>
  </si>
  <si>
    <t>CAV0069</t>
  </si>
  <si>
    <t>CAV0070</t>
  </si>
  <si>
    <t>CAV0071</t>
  </si>
  <si>
    <t>CAV0072</t>
  </si>
  <si>
    <t>CAV0073</t>
  </si>
  <si>
    <t>CAV0074</t>
  </si>
  <si>
    <t>CAV0075</t>
  </si>
  <si>
    <t>CAV0076</t>
  </si>
  <si>
    <t>CAV0077</t>
  </si>
  <si>
    <t>CAV0078</t>
  </si>
  <si>
    <t>CAV0079</t>
  </si>
  <si>
    <t>CAV0080</t>
  </si>
  <si>
    <t>CAV0081</t>
  </si>
  <si>
    <t>CAV0082</t>
  </si>
  <si>
    <t>CAV0083</t>
  </si>
  <si>
    <t>CAV0084</t>
  </si>
  <si>
    <t>CAV0085</t>
  </si>
  <si>
    <t>CAV0086</t>
  </si>
  <si>
    <t>CAV0087</t>
  </si>
  <si>
    <t>CAV0088</t>
  </si>
  <si>
    <t>CAV0089</t>
  </si>
  <si>
    <t>CAV0090</t>
  </si>
  <si>
    <t>CAV0091</t>
  </si>
  <si>
    <t>Hold Point 1</t>
  </si>
  <si>
    <t>Hold Point 2</t>
  </si>
  <si>
    <t>Hold Point 3</t>
  </si>
  <si>
    <t>NCR Comments</t>
  </si>
  <si>
    <t>CAV0092</t>
  </si>
  <si>
    <t>CAV0093</t>
  </si>
  <si>
    <t>CAV0094</t>
  </si>
  <si>
    <t>CAV0095</t>
  </si>
  <si>
    <t>CAV0096</t>
  </si>
  <si>
    <t>CAV0097</t>
  </si>
  <si>
    <t>CAV0098</t>
  </si>
  <si>
    <t>CAV0099</t>
  </si>
  <si>
    <t>CAV0100</t>
  </si>
  <si>
    <t>CAV0101</t>
  </si>
  <si>
    <t>CAV0102</t>
  </si>
  <si>
    <t>CAV0103</t>
  </si>
  <si>
    <t>CAV0104</t>
  </si>
  <si>
    <t>CAV0105</t>
  </si>
  <si>
    <t>CAV0106</t>
  </si>
  <si>
    <t>CAV0107</t>
  </si>
  <si>
    <t>CAV0108</t>
  </si>
  <si>
    <t>CAV0109</t>
  </si>
  <si>
    <t>CAV0110</t>
  </si>
  <si>
    <t>CAV0111</t>
  </si>
  <si>
    <t>CAV0112</t>
  </si>
  <si>
    <t>CAV0113</t>
  </si>
  <si>
    <t>CAV0114</t>
  </si>
  <si>
    <t>CAV0115</t>
  </si>
  <si>
    <t>CAV0116</t>
  </si>
  <si>
    <t>CAV0117</t>
  </si>
  <si>
    <t>CAV0118</t>
  </si>
  <si>
    <t>CAV0119</t>
  </si>
  <si>
    <t>CAV0120</t>
  </si>
  <si>
    <t>CAV0121</t>
  </si>
  <si>
    <t>CAV0122</t>
  </si>
  <si>
    <t>CAV0123</t>
  </si>
  <si>
    <t>CAV0124</t>
  </si>
  <si>
    <t>CAV0125</t>
  </si>
  <si>
    <t>CAV0126</t>
  </si>
  <si>
    <t>CAV0127</t>
  </si>
  <si>
    <t>CAV0128</t>
  </si>
  <si>
    <t>CAV0129</t>
  </si>
  <si>
    <t>CAV0130</t>
  </si>
  <si>
    <t>CAV0131</t>
  </si>
  <si>
    <t>CAV0132</t>
  </si>
  <si>
    <t>CAV0133</t>
  </si>
  <si>
    <t xml:space="preserve">bare cavity </t>
  </si>
  <si>
    <t xml:space="preserve">dressed cavity </t>
  </si>
  <si>
    <t>Notes</t>
  </si>
  <si>
    <t>Ship Loc</t>
  </si>
  <si>
    <t>c</t>
  </si>
  <si>
    <t>Note</t>
  </si>
  <si>
    <t>Completed Work Amt2</t>
  </si>
  <si>
    <t>-3</t>
  </si>
  <si>
    <t>=4</t>
  </si>
  <si>
    <t>Status</t>
  </si>
  <si>
    <t>Pre-Fab</t>
  </si>
  <si>
    <t>HP1</t>
  </si>
  <si>
    <t>HP2</t>
  </si>
  <si>
    <t>HP3</t>
  </si>
  <si>
    <t>Shipped</t>
  </si>
  <si>
    <t>Received</t>
  </si>
  <si>
    <t>Accepted</t>
  </si>
  <si>
    <t>Complete</t>
  </si>
  <si>
    <t>Column1</t>
  </si>
  <si>
    <t>PO Line Total2</t>
  </si>
  <si>
    <t>Monthly Accrual $</t>
  </si>
  <si>
    <t>Prior % Complete</t>
  </si>
  <si>
    <t>MOD 004: Incentives for Accelerated Production Deliveries</t>
  </si>
  <si>
    <t>Monthly Accrual $2</t>
  </si>
  <si>
    <t>Monthly Accrual $3</t>
  </si>
  <si>
    <t>Monthly Accrual $5</t>
  </si>
  <si>
    <t>Monthly Accrual $7</t>
  </si>
  <si>
    <t>Monthly Accrual $9</t>
  </si>
  <si>
    <t>Monthly Accrual $11</t>
  </si>
  <si>
    <t>Monthly Accrual $12</t>
  </si>
  <si>
    <t>Monthly Accrual $13</t>
  </si>
  <si>
    <t>Monthly Accrual $14</t>
  </si>
  <si>
    <t>Monthly Accrual $15</t>
  </si>
  <si>
    <t>Monthly Accrual $16</t>
  </si>
  <si>
    <t>Monthly Accrual $17</t>
  </si>
  <si>
    <r>
      <rPr>
        <u/>
        <sz val="10"/>
        <rFont val="Arial"/>
        <family val="2"/>
      </rPr>
      <t>MOD 009</t>
    </r>
    <r>
      <rPr>
        <sz val="10"/>
        <rFont val="Arial"/>
        <family val="2"/>
      </rPr>
      <t>: Recipe Modification (21-133) ($4283.19/cavity)</t>
    </r>
  </si>
  <si>
    <t>Approval Date</t>
  </si>
  <si>
    <t>Unit #</t>
  </si>
  <si>
    <t>Ship #</t>
  </si>
  <si>
    <t>Incentivized Ship Date</t>
  </si>
  <si>
    <t>Incentive Earned</t>
  </si>
  <si>
    <t>Serial #</t>
  </si>
  <si>
    <t>Actual Ship Date</t>
  </si>
  <si>
    <t>Incentive Available</t>
  </si>
  <si>
    <t>Milestone #</t>
  </si>
  <si>
    <t>Milestone Value</t>
  </si>
  <si>
    <r>
      <rPr>
        <u/>
        <sz val="10"/>
        <rFont val="Arial"/>
        <family val="2"/>
      </rPr>
      <t>MOD 011</t>
    </r>
    <r>
      <rPr>
        <sz val="10"/>
        <rFont val="Arial"/>
        <family val="2"/>
      </rPr>
      <t>: Optional Cavities 1-8</t>
    </r>
  </si>
  <si>
    <r>
      <rPr>
        <u/>
        <sz val="10"/>
        <rFont val="Arial"/>
        <family val="2"/>
      </rPr>
      <t>MOD 010</t>
    </r>
    <r>
      <rPr>
        <sz val="10"/>
        <rFont val="Arial"/>
        <family val="2"/>
      </rPr>
      <t>: Ningxia Material Sorting</t>
    </r>
  </si>
  <si>
    <r>
      <rPr>
        <u/>
        <sz val="10"/>
        <rFont val="Arial"/>
        <family val="2"/>
      </rPr>
      <t>MOD 010</t>
    </r>
    <r>
      <rPr>
        <sz val="10"/>
        <rFont val="Arial"/>
        <family val="2"/>
      </rPr>
      <t>: Niobium Caps  (Cavs 21-133) $511.504/cavity</t>
    </r>
  </si>
  <si>
    <t>Recipe Modification (Mod 9)</t>
  </si>
  <si>
    <t>2 wk - recipe investigation.</t>
  </si>
  <si>
    <t>Dest</t>
  </si>
  <si>
    <t>Accept Date</t>
  </si>
  <si>
    <t>Caps            
 (Mod 10)</t>
  </si>
  <si>
    <t xml:space="preserve">MOD 002: DESY Equip Service &amp; Support Costs  </t>
  </si>
  <si>
    <t>MOD 010: Ningxia Material Sorting</t>
  </si>
  <si>
    <r>
      <rPr>
        <u/>
        <sz val="10"/>
        <rFont val="Arial"/>
        <family val="2"/>
      </rPr>
      <t>MOD 009</t>
    </r>
    <r>
      <rPr>
        <sz val="10"/>
        <rFont val="Arial"/>
        <family val="2"/>
      </rPr>
      <t>: Recipe Modification (21-133) ($4283.18/cavity)</t>
    </r>
  </si>
  <si>
    <r>
      <rPr>
        <u/>
        <sz val="10"/>
        <rFont val="Arial"/>
        <family val="2"/>
      </rPr>
      <t>MOD 010</t>
    </r>
    <r>
      <rPr>
        <sz val="10"/>
        <rFont val="Arial"/>
        <family val="2"/>
      </rPr>
      <t xml:space="preserve">: Niobium Caps $494.02/ea (Cavs 17-133)  </t>
    </r>
  </si>
  <si>
    <t xml:space="preserve">MOD 010: Niobium Caps $494.02/ea (Cavs 17-133)  </t>
  </si>
  <si>
    <t>MOD 009: Recipe Modification (21-133) ($4283.18/cavity)</t>
  </si>
  <si>
    <t>Line</t>
  </si>
  <si>
    <t>Amount</t>
  </si>
  <si>
    <t>PO Line</t>
  </si>
  <si>
    <t>Wks +/- Incentive Date</t>
  </si>
  <si>
    <t>CavityMilestone</t>
  </si>
  <si>
    <t>Milestone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</si>
</sst>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m/d/yyyy;@"/>
    <numFmt numFmtId="165" formatCode="m/d/yy;@"/>
    <numFmt numFmtId="166" formatCode="[$-409]d\-mmm\-yy;@"/>
    <numFmt numFmtId="167" formatCode="_(&quot;$&quot;* #,##0_);_(&quot;$&quot;* \(#,##0\);_(&quot;$&quot;* &quot;-&quot;??_);_(@_)"/>
    <numFmt numFmtId="168" formatCode="[$-409]mmm\-yy;@"/>
    <numFmt numFmtId="169" formatCode="0.0%"/>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b/>
      <sz val="11"/>
      <name val="Arial"/>
      <family val="2"/>
    </font>
    <font>
      <sz val="12"/>
      <name val="Arial"/>
      <family val="2"/>
    </font>
    <font>
      <u/>
      <sz val="10"/>
      <name val="Arial"/>
      <family val="2"/>
    </font>
    <font>
      <sz val="10"/>
      <name val="Arial"/>
      <family val="2"/>
    </font>
    <font>
      <b/>
      <sz val="10"/>
      <color theme="1"/>
      <name val="Arial"/>
      <family val="2"/>
    </font>
    <font>
      <sz val="14"/>
      <color theme="1"/>
      <name val="Calibri"/>
      <family val="2"/>
      <scheme val="minor"/>
    </font>
    <font>
      <sz val="14"/>
      <color theme="1"/>
      <name val="Calibri"/>
      <family val="2"/>
      <scheme val="minor"/>
    </font>
    <font>
      <sz val="12"/>
      <color theme="0"/>
      <name val="Arial"/>
      <family val="2"/>
    </font>
    <font>
      <b/>
      <sz val="12"/>
      <color theme="0"/>
      <name val="Calibri"/>
      <family val="2"/>
      <scheme val="minor"/>
    </font>
    <font>
      <b/>
      <sz val="14"/>
      <color theme="1"/>
      <name val="Calibri"/>
      <family val="2"/>
      <scheme val="minor"/>
    </font>
    <font>
      <sz val="10"/>
      <color theme="0"/>
      <name val="Arial"/>
      <family val="2"/>
    </font>
    <font>
      <sz val="10"/>
      <color theme="0"/>
      <name val="Arial"/>
      <family val="2"/>
    </font>
  </fonts>
  <fills count="1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rgb="FFFFFF00"/>
        <bgColor indexed="64"/>
      </patternFill>
    </fill>
    <fill>
      <patternFill patternType="solid">
        <fgColor theme="0" tint="-0.14999847407452621"/>
        <bgColor theme="0" tint="-0.14999847407452621"/>
      </patternFill>
    </fill>
    <fill>
      <patternFill patternType="solid">
        <fgColor theme="4" tint="0.79998168889431442"/>
        <bgColor theme="4" tint="0.79998168889431442"/>
      </patternFill>
    </fill>
    <fill>
      <patternFill patternType="solid">
        <fgColor theme="4"/>
        <bgColor theme="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1"/>
      </top>
      <bottom/>
      <diagonal/>
    </border>
    <border>
      <left/>
      <right/>
      <top style="thin">
        <color theme="1"/>
      </top>
      <bottom style="thin">
        <color theme="1"/>
      </bottom>
      <diagonal/>
    </border>
    <border>
      <left/>
      <right/>
      <top style="thin">
        <color theme="4" tint="0.39997558519241921"/>
      </top>
      <bottom style="thin">
        <color theme="4" tint="0.39997558519241921"/>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medium">
        <color theme="0" tint="-0.14993743705557422"/>
      </left>
      <right style="thin">
        <color theme="0" tint="-0.14996795556505021"/>
      </right>
      <top style="medium">
        <color theme="0" tint="-0.14993743705557422"/>
      </top>
      <bottom/>
      <diagonal/>
    </border>
    <border>
      <left style="thin">
        <color theme="0" tint="-0.14996795556505021"/>
      </left>
      <right style="medium">
        <color theme="0" tint="-0.14993743705557422"/>
      </right>
      <top style="medium">
        <color theme="0" tint="-0.14993743705557422"/>
      </top>
      <bottom/>
      <diagonal/>
    </border>
    <border>
      <left style="medium">
        <color theme="0" tint="-0.14993743705557422"/>
      </left>
      <right style="medium">
        <color theme="0" tint="-0.14993743705557422"/>
      </right>
      <top style="medium">
        <color theme="0" tint="-0.14993743705557422"/>
      </top>
      <bottom/>
      <diagonal/>
    </border>
    <border>
      <left style="thin">
        <color theme="0" tint="-0.14996795556505021"/>
      </left>
      <right style="thin">
        <color theme="0" tint="-0.14996795556505021"/>
      </right>
      <top style="medium">
        <color theme="0" tint="-0.14993743705557422"/>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thin">
        <color theme="0" tint="-0.24994659260841701"/>
      </left>
      <right/>
      <top/>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s>
  <cellStyleXfs count="14">
    <xf numFmtId="0" fontId="0" fillId="0" borderId="0"/>
    <xf numFmtId="9" fontId="9" fillId="0" borderId="0" applyFont="0" applyFill="0" applyBorder="0" applyAlignment="0" applyProtection="0"/>
    <xf numFmtId="0" fontId="7" fillId="0" borderId="0"/>
    <xf numFmtId="44" fontId="7"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8" fillId="0" borderId="0" applyFont="0" applyFill="0" applyBorder="0" applyAlignment="0" applyProtection="0"/>
  </cellStyleXfs>
  <cellXfs count="29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7"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8" fillId="0" borderId="1" xfId="0" applyFont="1" applyBorder="1" applyAlignment="1" applyProtection="1">
      <alignment horizontal="center" wrapText="1"/>
    </xf>
    <xf numFmtId="0" fontId="0" fillId="0" borderId="0" xfId="0" applyAlignment="1" applyProtection="1">
      <alignment horizontal="center" wrapText="1"/>
    </xf>
    <xf numFmtId="0" fontId="8"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4" fillId="0" borderId="1" xfId="0" applyFont="1" applyBorder="1" applyProtection="1">
      <protection locked="0"/>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7" fillId="0" borderId="0" xfId="0" applyFont="1" applyBorder="1" applyProtection="1">
      <protection locked="0"/>
    </xf>
    <xf numFmtId="0" fontId="7"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7" fillId="0" borderId="1" xfId="0" applyFont="1" applyBorder="1" applyAlignment="1" applyProtection="1">
      <alignment horizontal="left"/>
    </xf>
    <xf numFmtId="0" fontId="10" fillId="0" borderId="0" xfId="0" applyFont="1"/>
    <xf numFmtId="0" fontId="12" fillId="0" borderId="0" xfId="0" applyFont="1"/>
    <xf numFmtId="0" fontId="7" fillId="0" borderId="1" xfId="0" applyFont="1" applyBorder="1" applyAlignment="1" applyProtection="1">
      <alignment horizontal="center" wrapText="1"/>
    </xf>
    <xf numFmtId="0" fontId="0" fillId="0" borderId="0" xfId="0" applyAlignment="1"/>
    <xf numFmtId="0" fontId="7" fillId="0" borderId="0" xfId="0" applyFont="1" applyBorder="1" applyAlignment="1" applyProtection="1">
      <alignment horizontal="right"/>
      <protection locked="0"/>
    </xf>
    <xf numFmtId="0" fontId="0" fillId="0" borderId="1" xfId="0" applyBorder="1" applyProtection="1"/>
    <xf numFmtId="0" fontId="7" fillId="0" borderId="0" xfId="0" applyFont="1" applyBorder="1" applyAlignment="1" applyProtection="1">
      <alignment horizontal="center" wrapText="1"/>
    </xf>
    <xf numFmtId="0" fontId="6" fillId="0" borderId="1" xfId="0" applyFont="1" applyBorder="1" applyAlignment="1" applyProtection="1">
      <alignment horizontal="center" wrapText="1"/>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7" fillId="0" borderId="1" xfId="0" applyFont="1" applyFill="1" applyBorder="1" applyAlignment="1" applyProtection="1">
      <alignment horizontal="center"/>
      <protection locked="0"/>
    </xf>
    <xf numFmtId="0" fontId="7" fillId="0" borderId="2" xfId="1" applyNumberFormat="1" applyFont="1" applyBorder="1" applyAlignment="1" applyProtection="1">
      <alignment horizontal="center"/>
    </xf>
    <xf numFmtId="10" fontId="0" fillId="0" borderId="0" xfId="1" applyNumberFormat="1" applyFont="1" applyBorder="1" applyProtection="1"/>
    <xf numFmtId="10" fontId="0" fillId="0" borderId="0" xfId="0" applyNumberFormat="1" applyBorder="1" applyProtection="1"/>
    <xf numFmtId="14" fontId="7" fillId="0" borderId="1" xfId="0" applyNumberFormat="1" applyFont="1" applyBorder="1" applyAlignment="1" applyProtection="1">
      <alignment wrapText="1"/>
      <protection locked="0"/>
    </xf>
    <xf numFmtId="0" fontId="4" fillId="0" borderId="0" xfId="0" applyFont="1" applyAlignment="1">
      <alignment wrapText="1"/>
    </xf>
    <xf numFmtId="10" fontId="0" fillId="0" borderId="1" xfId="1" applyNumberFormat="1" applyFont="1" applyBorder="1" applyAlignment="1" applyProtection="1">
      <alignment horizontal="center"/>
      <protection locked="0"/>
    </xf>
    <xf numFmtId="164" fontId="0" fillId="0" borderId="1" xfId="0" applyNumberFormat="1" applyBorder="1" applyProtection="1">
      <protection locked="0"/>
    </xf>
    <xf numFmtId="0" fontId="14" fillId="8" borderId="4" xfId="0" applyFont="1" applyFill="1" applyBorder="1" applyAlignment="1">
      <alignment horizontal="center"/>
    </xf>
    <xf numFmtId="9" fontId="0" fillId="0" borderId="4" xfId="1" applyFont="1" applyBorder="1" applyAlignment="1">
      <alignment horizontal="center"/>
    </xf>
    <xf numFmtId="0" fontId="0" fillId="0" borderId="1" xfId="0" applyBorder="1" applyAlignment="1" applyProtection="1">
      <alignment horizontal="center"/>
      <protection locked="0"/>
    </xf>
    <xf numFmtId="0" fontId="0" fillId="0" borderId="1" xfId="0" applyBorder="1" applyAlignment="1" applyProtection="1">
      <alignment horizontal="center"/>
      <protection locked="0"/>
    </xf>
    <xf numFmtId="0" fontId="7" fillId="0" borderId="0" xfId="0" applyFont="1"/>
    <xf numFmtId="0" fontId="4" fillId="0" borderId="0" xfId="0" applyFont="1" applyAlignment="1">
      <alignment horizontal="center" wrapText="1"/>
    </xf>
    <xf numFmtId="0" fontId="4" fillId="0" borderId="0" xfId="0" applyFont="1" applyBorder="1" applyAlignment="1">
      <alignment horizontal="center"/>
    </xf>
    <xf numFmtId="0" fontId="7" fillId="0" borderId="0" xfId="0" applyFont="1" applyAlignment="1">
      <alignment wrapText="1"/>
    </xf>
    <xf numFmtId="0" fontId="4" fillId="0" borderId="0" xfId="0" applyFont="1" applyAlignment="1">
      <alignment horizontal="center"/>
    </xf>
    <xf numFmtId="0" fontId="7" fillId="0" borderId="0" xfId="0" applyFont="1" applyAlignment="1"/>
    <xf numFmtId="0" fontId="7" fillId="0" borderId="0" xfId="0" applyFont="1" applyAlignment="1">
      <alignment horizontal="center"/>
    </xf>
    <xf numFmtId="0" fontId="7" fillId="0" borderId="0" xfId="0" applyFont="1" applyAlignment="1">
      <alignment horizontal="left" wrapText="1"/>
    </xf>
    <xf numFmtId="0" fontId="7" fillId="0" borderId="0" xfId="0" applyFont="1" applyBorder="1"/>
    <xf numFmtId="0" fontId="7" fillId="0" borderId="0" xfId="0" applyFont="1" applyBorder="1" applyAlignment="1">
      <alignment wrapText="1"/>
    </xf>
    <xf numFmtId="0" fontId="7" fillId="0" borderId="0" xfId="0" applyFont="1" applyAlignment="1">
      <alignment horizontal="center" wrapText="1"/>
    </xf>
    <xf numFmtId="0" fontId="7" fillId="0" borderId="0" xfId="0" applyFont="1" applyAlignment="1">
      <alignment horizontal="left"/>
    </xf>
    <xf numFmtId="0" fontId="7" fillId="0" borderId="0" xfId="0" applyFont="1" applyBorder="1" applyAlignment="1" applyProtection="1">
      <alignment horizontal="center"/>
      <protection locked="0"/>
    </xf>
    <xf numFmtId="0" fontId="7" fillId="0" borderId="1" xfId="0" applyFont="1" applyBorder="1" applyAlignment="1" applyProtection="1">
      <alignment wrapText="1"/>
      <protection locked="0"/>
    </xf>
    <xf numFmtId="0" fontId="7" fillId="0" borderId="2" xfId="0" applyFont="1" applyBorder="1" applyAlignment="1">
      <alignment horizontal="left"/>
    </xf>
    <xf numFmtId="10" fontId="7" fillId="0" borderId="1" xfId="1" applyNumberFormat="1" applyFont="1" applyBorder="1" applyAlignment="1" applyProtection="1">
      <alignment horizontal="center"/>
      <protection locked="0"/>
    </xf>
    <xf numFmtId="4" fontId="7" fillId="3" borderId="1" xfId="0" applyNumberFormat="1" applyFont="1" applyFill="1" applyBorder="1" applyAlignment="1" applyProtection="1">
      <alignment wrapText="1"/>
      <protection locked="0"/>
    </xf>
    <xf numFmtId="4" fontId="7" fillId="2" borderId="0" xfId="0" applyNumberFormat="1" applyFont="1" applyFill="1" applyBorder="1" applyAlignment="1">
      <alignment horizontal="center"/>
    </xf>
    <xf numFmtId="4" fontId="7" fillId="0" borderId="1" xfId="0" applyNumberFormat="1" applyFont="1" applyBorder="1"/>
    <xf numFmtId="4" fontId="7" fillId="0" borderId="0" xfId="0" applyNumberFormat="1" applyFont="1" applyBorder="1" applyAlignment="1">
      <alignment horizontal="center" wrapText="1"/>
    </xf>
    <xf numFmtId="4" fontId="7" fillId="0" borderId="0" xfId="0" applyNumberFormat="1" applyFont="1" applyAlignment="1">
      <alignment horizontal="center" wrapText="1"/>
    </xf>
    <xf numFmtId="4" fontId="7" fillId="4" borderId="1" xfId="0" applyNumberFormat="1" applyFont="1" applyFill="1" applyBorder="1" applyAlignment="1">
      <alignment wrapText="1"/>
    </xf>
    <xf numFmtId="4" fontId="7" fillId="3" borderId="2" xfId="0" applyNumberFormat="1" applyFont="1" applyFill="1" applyBorder="1" applyAlignment="1" applyProtection="1">
      <alignment wrapText="1"/>
      <protection locked="0"/>
    </xf>
    <xf numFmtId="9" fontId="7" fillId="0" borderId="0" xfId="1" applyFont="1"/>
    <xf numFmtId="0" fontId="7" fillId="0" borderId="0" xfId="0" applyFont="1" applyProtection="1">
      <protection locked="0"/>
    </xf>
    <xf numFmtId="0" fontId="7" fillId="0" borderId="0" xfId="0" applyFont="1" applyBorder="1" applyAlignment="1">
      <alignment horizontal="center" vertical="top"/>
    </xf>
    <xf numFmtId="0" fontId="7" fillId="0" borderId="0" xfId="0" applyFont="1" applyAlignment="1">
      <alignment horizontal="center" vertical="top" wrapText="1"/>
    </xf>
    <xf numFmtId="0" fontId="7" fillId="0" borderId="0" xfId="0" applyFont="1" applyBorder="1" applyAlignment="1" applyProtection="1">
      <alignment wrapText="1"/>
      <protection locked="0"/>
    </xf>
    <xf numFmtId="0" fontId="7" fillId="0" borderId="0" xfId="0" applyFont="1" applyBorder="1" applyAlignment="1" applyProtection="1">
      <alignment horizontal="center" vertical="top"/>
      <protection locked="0"/>
    </xf>
    <xf numFmtId="0" fontId="7" fillId="0" borderId="0" xfId="0" applyFont="1" applyAlignment="1" applyProtection="1">
      <alignment wrapText="1"/>
      <protection locked="0"/>
    </xf>
    <xf numFmtId="165" fontId="7" fillId="0" borderId="4" xfId="2" applyNumberFormat="1" applyFont="1" applyFill="1" applyBorder="1" applyAlignment="1">
      <alignment horizontal="center" vertical="center" wrapText="1"/>
    </xf>
    <xf numFmtId="165" fontId="7" fillId="0" borderId="5" xfId="2" applyNumberFormat="1" applyFont="1" applyFill="1" applyBorder="1" applyAlignment="1">
      <alignment horizontal="center" vertical="center" wrapText="1"/>
    </xf>
    <xf numFmtId="0" fontId="7" fillId="0" borderId="4" xfId="0" applyFont="1" applyBorder="1" applyAlignment="1">
      <alignment wrapText="1"/>
    </xf>
    <xf numFmtId="0" fontId="7" fillId="0" borderId="7" xfId="2" applyNumberFormat="1" applyFont="1" applyBorder="1" applyAlignment="1">
      <alignment vertical="center"/>
    </xf>
    <xf numFmtId="165" fontId="7" fillId="0" borderId="5" xfId="2" applyNumberFormat="1" applyFont="1" applyBorder="1" applyAlignment="1">
      <alignment horizontal="center" vertical="center" wrapText="1"/>
    </xf>
    <xf numFmtId="165" fontId="7" fillId="0" borderId="4" xfId="2" applyNumberFormat="1" applyFont="1" applyBorder="1" applyAlignment="1">
      <alignment horizontal="center" vertical="center" wrapText="1"/>
    </xf>
    <xf numFmtId="4" fontId="7" fillId="0" borderId="4" xfId="11" applyNumberFormat="1" applyFont="1" applyFill="1" applyBorder="1" applyAlignment="1">
      <alignment vertical="center" wrapText="1"/>
    </xf>
    <xf numFmtId="4" fontId="7" fillId="0" borderId="5" xfId="11" applyNumberFormat="1" applyFont="1" applyFill="1" applyBorder="1" applyAlignment="1">
      <alignment vertical="center" wrapText="1"/>
    </xf>
    <xf numFmtId="0" fontId="0" fillId="0" borderId="0" xfId="0" applyAlignment="1">
      <alignment horizontal="left"/>
    </xf>
    <xf numFmtId="10" fontId="7" fillId="0" borderId="1" xfId="1" applyNumberFormat="1" applyFont="1" applyFill="1" applyBorder="1" applyAlignment="1" applyProtection="1">
      <alignment horizontal="center"/>
      <protection locked="0"/>
    </xf>
    <xf numFmtId="4" fontId="7" fillId="0" borderId="4" xfId="0" applyNumberFormat="1" applyFont="1" applyBorder="1" applyProtection="1">
      <protection locked="0"/>
    </xf>
    <xf numFmtId="4" fontId="7" fillId="0" borderId="8" xfId="0" applyNumberFormat="1" applyFont="1" applyBorder="1" applyProtection="1">
      <protection locked="0"/>
    </xf>
    <xf numFmtId="14" fontId="4" fillId="0" borderId="1" xfId="0" applyNumberFormat="1" applyFont="1" applyBorder="1" applyAlignment="1" applyProtection="1">
      <alignment wrapText="1"/>
      <protection locked="0"/>
    </xf>
    <xf numFmtId="0" fontId="0" fillId="0" borderId="0" xfId="0" applyAlignment="1">
      <alignment horizontal="center"/>
    </xf>
    <xf numFmtId="0" fontId="19" fillId="0" borderId="10" xfId="0" applyFont="1" applyBorder="1" applyAlignment="1">
      <alignment horizontal="center"/>
    </xf>
    <xf numFmtId="0" fontId="11" fillId="10" borderId="0" xfId="0" applyFont="1" applyFill="1" applyAlignment="1">
      <alignment horizontal="center"/>
    </xf>
    <xf numFmtId="0" fontId="11" fillId="0" borderId="0" xfId="0" applyFont="1" applyAlignment="1">
      <alignment horizontal="center"/>
    </xf>
    <xf numFmtId="0" fontId="11" fillId="10" borderId="9" xfId="0" applyFont="1" applyFill="1" applyBorder="1" applyAlignment="1">
      <alignment horizontal="center"/>
    </xf>
    <xf numFmtId="0" fontId="11" fillId="0" borderId="0" xfId="0" applyFont="1" applyBorder="1" applyAlignment="1">
      <alignment horizontal="center"/>
    </xf>
    <xf numFmtId="0" fontId="11" fillId="0" borderId="0" xfId="0" applyFont="1" applyFill="1" applyBorder="1" applyAlignment="1">
      <alignment horizontal="center"/>
    </xf>
    <xf numFmtId="0" fontId="19" fillId="0" borderId="0" xfId="0" applyFont="1" applyFill="1" applyBorder="1" applyAlignment="1">
      <alignment horizontal="center"/>
    </xf>
    <xf numFmtId="0" fontId="0" fillId="0" borderId="0" xfId="0" applyFill="1" applyBorder="1" applyAlignment="1">
      <alignment horizontal="center"/>
    </xf>
    <xf numFmtId="0" fontId="7" fillId="9" borderId="0" xfId="0" applyFont="1" applyFill="1"/>
    <xf numFmtId="0" fontId="0" fillId="0" borderId="4" xfId="0" applyBorder="1"/>
    <xf numFmtId="0" fontId="0" fillId="5" borderId="4" xfId="0" applyFill="1" applyBorder="1"/>
    <xf numFmtId="0" fontId="7" fillId="0" borderId="0" xfId="0" applyFont="1" applyAlignment="1">
      <alignment wrapText="1"/>
    </xf>
    <xf numFmtId="0" fontId="7" fillId="0" borderId="0" xfId="0" applyFont="1" applyAlignment="1">
      <alignment horizontal="center"/>
    </xf>
    <xf numFmtId="0" fontId="20" fillId="0" borderId="0" xfId="0" applyFont="1" applyAlignment="1">
      <alignment horizontal="center" vertical="center"/>
    </xf>
    <xf numFmtId="0" fontId="20" fillId="0" borderId="0" xfId="0" applyFont="1" applyFill="1" applyAlignment="1">
      <alignment horizontal="center" vertical="center"/>
    </xf>
    <xf numFmtId="0" fontId="0" fillId="0" borderId="0" xfId="0" applyAlignment="1">
      <alignment horizontal="center" vertical="center"/>
    </xf>
    <xf numFmtId="0" fontId="21" fillId="9" borderId="11" xfId="0" applyFont="1" applyFill="1" applyBorder="1" applyAlignment="1">
      <alignment horizontal="center" vertical="center"/>
    </xf>
    <xf numFmtId="16" fontId="21" fillId="9" borderId="11" xfId="0" applyNumberFormat="1" applyFont="1" applyFill="1" applyBorder="1" applyAlignment="1">
      <alignment horizontal="center" vertical="center"/>
    </xf>
    <xf numFmtId="0" fontId="22" fillId="0" borderId="0" xfId="0" applyFont="1" applyAlignment="1">
      <alignment horizontal="center" vertical="center" wrapText="1"/>
    </xf>
    <xf numFmtId="0" fontId="20" fillId="0" borderId="0" xfId="0" applyFont="1" applyFill="1" applyAlignment="1">
      <alignment horizontal="left" vertical="center"/>
    </xf>
    <xf numFmtId="0" fontId="4" fillId="0" borderId="0" xfId="0" applyFont="1" applyAlignment="1">
      <alignment horizontal="center"/>
    </xf>
    <xf numFmtId="0" fontId="7" fillId="0" borderId="0" xfId="0" applyFont="1" applyAlignment="1">
      <alignment wrapText="1"/>
    </xf>
    <xf numFmtId="0" fontId="7" fillId="0" borderId="0" xfId="0" applyFont="1" applyAlignment="1">
      <alignment horizontal="center"/>
    </xf>
    <xf numFmtId="166" fontId="0" fillId="0" borderId="4" xfId="0" applyNumberFormat="1" applyBorder="1"/>
    <xf numFmtId="0" fontId="7" fillId="6" borderId="4" xfId="0" applyFont="1" applyFill="1" applyBorder="1"/>
    <xf numFmtId="49" fontId="0" fillId="0" borderId="4" xfId="0" applyNumberFormat="1" applyBorder="1"/>
    <xf numFmtId="49" fontId="7" fillId="0" borderId="4" xfId="0" applyNumberFormat="1" applyFont="1" applyBorder="1"/>
    <xf numFmtId="0" fontId="23" fillId="12" borderId="0" xfId="0" applyFont="1" applyFill="1" applyBorder="1" applyAlignment="1">
      <alignment horizontal="center" vertical="center" wrapText="1"/>
    </xf>
    <xf numFmtId="0" fontId="23" fillId="12" borderId="0" xfId="0" applyFont="1" applyFill="1" applyBorder="1" applyAlignment="1">
      <alignment horizontal="left" vertical="center" wrapText="1"/>
    </xf>
    <xf numFmtId="0" fontId="7" fillId="0" borderId="0" xfId="0" applyFont="1" applyBorder="1" applyAlignment="1" applyProtection="1">
      <alignment horizontal="left"/>
      <protection locked="0"/>
    </xf>
    <xf numFmtId="10" fontId="7" fillId="13" borderId="1" xfId="1" applyNumberFormat="1" applyFont="1" applyFill="1" applyBorder="1" applyAlignment="1" applyProtection="1">
      <alignment horizontal="center"/>
      <protection locked="0"/>
    </xf>
    <xf numFmtId="9" fontId="7" fillId="0" borderId="4" xfId="1" applyFont="1" applyFill="1" applyBorder="1" applyAlignment="1">
      <alignment horizontal="center" vertical="center" wrapText="1"/>
    </xf>
    <xf numFmtId="44" fontId="7" fillId="0" borderId="4" xfId="13" applyFont="1" applyBorder="1" applyAlignment="1" applyProtection="1">
      <alignment horizontal="center"/>
      <protection locked="0"/>
    </xf>
    <xf numFmtId="44" fontId="7" fillId="0" borderId="4" xfId="13" applyFont="1" applyFill="1" applyBorder="1" applyAlignment="1">
      <alignment horizontal="center" vertical="center" wrapText="1"/>
    </xf>
    <xf numFmtId="0" fontId="4" fillId="0" borderId="0" xfId="0" applyFont="1" applyAlignment="1">
      <alignment horizontal="center"/>
    </xf>
    <xf numFmtId="0" fontId="7" fillId="0" borderId="0" xfId="0" applyFont="1" applyAlignment="1">
      <alignment wrapText="1"/>
    </xf>
    <xf numFmtId="0" fontId="7" fillId="0" borderId="0" xfId="0" applyFont="1" applyAlignment="1">
      <alignment horizontal="center"/>
    </xf>
    <xf numFmtId="0" fontId="7" fillId="0" borderId="7" xfId="2" applyNumberFormat="1" applyFont="1" applyFill="1" applyBorder="1" applyAlignment="1">
      <alignment vertical="center"/>
    </xf>
    <xf numFmtId="0" fontId="7" fillId="0" borderId="0" xfId="0" applyNumberFormat="1" applyFont="1"/>
    <xf numFmtId="0" fontId="7" fillId="0" borderId="0" xfId="0" applyFont="1" applyBorder="1" applyAlignment="1">
      <alignment horizontal="left"/>
    </xf>
    <xf numFmtId="0" fontId="7" fillId="0" borderId="12" xfId="0" applyNumberFormat="1" applyFont="1" applyFill="1" applyBorder="1" applyAlignment="1" applyProtection="1">
      <alignment vertical="center"/>
    </xf>
    <xf numFmtId="4" fontId="7" fillId="0" borderId="13" xfId="0" applyNumberFormat="1" applyFont="1" applyFill="1" applyBorder="1" applyAlignment="1">
      <alignment vertical="center" wrapText="1"/>
    </xf>
    <xf numFmtId="44" fontId="7" fillId="0" borderId="13" xfId="0" applyNumberFormat="1" applyFont="1" applyFill="1" applyBorder="1" applyAlignment="1">
      <alignment horizontal="center" vertical="center" wrapText="1"/>
    </xf>
    <xf numFmtId="0" fontId="7" fillId="0" borderId="13" xfId="0" applyNumberFormat="1" applyFont="1" applyFill="1" applyBorder="1" applyAlignment="1" applyProtection="1">
      <alignment horizontal="center" vertical="center" wrapText="1"/>
    </xf>
    <xf numFmtId="0" fontId="7" fillId="0" borderId="0" xfId="0" applyNumberFormat="1" applyFont="1" applyBorder="1" applyAlignment="1" applyProtection="1">
      <alignment horizontal="center"/>
      <protection locked="0"/>
    </xf>
    <xf numFmtId="4" fontId="7" fillId="3" borderId="0" xfId="0" applyNumberFormat="1" applyFont="1" applyFill="1" applyBorder="1" applyAlignment="1" applyProtection="1">
      <alignment wrapText="1"/>
      <protection locked="0"/>
    </xf>
    <xf numFmtId="0" fontId="7" fillId="2" borderId="0" xfId="0" applyFont="1" applyFill="1" applyAlignment="1">
      <alignment horizontal="center"/>
    </xf>
    <xf numFmtId="4" fontId="7" fillId="0" borderId="0" xfId="0" applyNumberFormat="1" applyFont="1" applyBorder="1"/>
    <xf numFmtId="4" fontId="7" fillId="4" borderId="0" xfId="0" applyNumberFormat="1" applyFont="1" applyFill="1" applyBorder="1" applyAlignment="1">
      <alignment wrapText="1"/>
    </xf>
    <xf numFmtId="10" fontId="7" fillId="0" borderId="4" xfId="1" applyNumberFormat="1" applyFont="1" applyBorder="1" applyAlignment="1" applyProtection="1">
      <alignment horizontal="center"/>
      <protection locked="0"/>
    </xf>
    <xf numFmtId="10" fontId="7" fillId="0" borderId="4" xfId="1" applyNumberFormat="1" applyFont="1" applyFill="1" applyBorder="1" applyAlignment="1" applyProtection="1">
      <alignment horizontal="center"/>
      <protection locked="0"/>
    </xf>
    <xf numFmtId="10" fontId="7" fillId="13" borderId="4" xfId="1" applyNumberFormat="1" applyFont="1" applyFill="1" applyBorder="1" applyAlignment="1" applyProtection="1">
      <alignment horizontal="center"/>
      <protection locked="0"/>
    </xf>
    <xf numFmtId="0" fontId="7" fillId="7" borderId="1" xfId="0" applyFont="1" applyFill="1" applyBorder="1" applyAlignment="1">
      <alignment horizontal="center" vertical="top" wrapText="1"/>
    </xf>
    <xf numFmtId="0" fontId="7" fillId="7" borderId="0" xfId="0" applyFont="1" applyFill="1" applyBorder="1" applyAlignment="1">
      <alignment horizontal="center" vertical="top" wrapText="1"/>
    </xf>
    <xf numFmtId="0" fontId="7" fillId="7" borderId="0" xfId="0" applyFont="1" applyFill="1" applyAlignment="1">
      <alignment horizontal="center" vertical="top" wrapText="1"/>
    </xf>
    <xf numFmtId="0" fontId="14" fillId="7" borderId="0" xfId="0" applyFont="1" applyFill="1" applyBorder="1" applyAlignment="1">
      <alignment horizontal="center" vertical="top" wrapText="1"/>
    </xf>
    <xf numFmtId="0" fontId="7" fillId="7" borderId="4" xfId="0" applyFont="1" applyFill="1" applyBorder="1" applyAlignment="1">
      <alignment horizontal="center" vertical="top" wrapText="1"/>
    </xf>
    <xf numFmtId="167" fontId="7" fillId="0" borderId="4" xfId="13" applyNumberFormat="1" applyFont="1" applyBorder="1" applyAlignment="1" applyProtection="1">
      <alignment horizontal="center"/>
      <protection locked="0"/>
    </xf>
    <xf numFmtId="167" fontId="7" fillId="0" borderId="4" xfId="13" applyNumberFormat="1" applyFont="1" applyFill="1" applyBorder="1" applyAlignment="1">
      <alignment horizontal="center" vertical="center" wrapText="1"/>
    </xf>
    <xf numFmtId="167" fontId="7" fillId="0" borderId="4" xfId="1" applyNumberFormat="1" applyFont="1" applyFill="1" applyBorder="1" applyAlignment="1" applyProtection="1">
      <alignment horizontal="center"/>
      <protection locked="0"/>
    </xf>
    <xf numFmtId="167" fontId="7" fillId="0" borderId="4" xfId="1" applyNumberFormat="1" applyFont="1" applyBorder="1" applyAlignment="1" applyProtection="1">
      <alignment horizontal="center"/>
      <protection locked="0"/>
    </xf>
    <xf numFmtId="169" fontId="0" fillId="0" borderId="0" xfId="1" applyNumberFormat="1" applyFont="1"/>
    <xf numFmtId="167" fontId="7" fillId="9" borderId="4" xfId="13" applyNumberFormat="1" applyFont="1" applyFill="1" applyBorder="1" applyAlignment="1">
      <alignment horizontal="center" vertical="center" wrapText="1"/>
    </xf>
    <xf numFmtId="0" fontId="7" fillId="14" borderId="2" xfId="1" applyNumberFormat="1" applyFont="1" applyFill="1" applyBorder="1" applyAlignment="1" applyProtection="1">
      <alignment horizontal="center"/>
    </xf>
    <xf numFmtId="0" fontId="7" fillId="0" borderId="0" xfId="0" applyFont="1" applyAlignment="1">
      <alignment wrapText="1"/>
    </xf>
    <xf numFmtId="0" fontId="4" fillId="0" borderId="0" xfId="0" applyFont="1" applyAlignment="1">
      <alignment horizontal="center"/>
    </xf>
    <xf numFmtId="17" fontId="4" fillId="0" borderId="4" xfId="0" applyNumberFormat="1" applyFont="1" applyBorder="1" applyAlignment="1">
      <alignment horizontal="center"/>
    </xf>
    <xf numFmtId="0" fontId="7" fillId="0" borderId="0" xfId="0" applyFont="1" applyAlignment="1">
      <alignment horizontal="center"/>
    </xf>
    <xf numFmtId="168" fontId="4" fillId="0" borderId="4" xfId="0" applyNumberFormat="1" applyFont="1" applyBorder="1" applyAlignment="1">
      <alignment horizontal="center"/>
    </xf>
    <xf numFmtId="0" fontId="20" fillId="11" borderId="0" xfId="0" applyFont="1" applyFill="1" applyBorder="1" applyAlignment="1">
      <alignment horizontal="center" vertical="center"/>
    </xf>
    <xf numFmtId="166" fontId="20" fillId="11" borderId="0" xfId="0" applyNumberFormat="1" applyFont="1" applyFill="1" applyBorder="1" applyAlignment="1">
      <alignment horizontal="center" vertical="center"/>
    </xf>
    <xf numFmtId="44" fontId="20" fillId="0" borderId="0" xfId="13" applyFont="1" applyAlignment="1">
      <alignment horizontal="center" vertical="center"/>
    </xf>
    <xf numFmtId="168" fontId="4" fillId="0" borderId="4" xfId="0" applyNumberFormat="1" applyFont="1" applyBorder="1" applyAlignment="1">
      <alignment horizontal="center"/>
    </xf>
    <xf numFmtId="17" fontId="4" fillId="0" borderId="4" xfId="0" applyNumberFormat="1" applyFont="1" applyBorder="1" applyAlignment="1">
      <alignment horizontal="center"/>
    </xf>
    <xf numFmtId="44" fontId="7" fillId="0" borderId="4" xfId="13" applyFont="1" applyFill="1" applyBorder="1" applyAlignment="1" applyProtection="1">
      <alignment horizontal="center"/>
      <protection locked="0"/>
    </xf>
    <xf numFmtId="44" fontId="7" fillId="13" borderId="4" xfId="13" applyFont="1" applyFill="1" applyBorder="1" applyAlignment="1" applyProtection="1">
      <alignment horizontal="center"/>
      <protection locked="0"/>
    </xf>
    <xf numFmtId="9" fontId="7" fillId="0" borderId="1" xfId="1" applyFont="1" applyBorder="1" applyAlignment="1" applyProtection="1">
      <alignment horizontal="center"/>
      <protection locked="0"/>
    </xf>
    <xf numFmtId="17" fontId="0" fillId="0" borderId="0" xfId="0" applyNumberFormat="1"/>
    <xf numFmtId="0" fontId="7" fillId="0" borderId="6" xfId="0" applyFont="1" applyBorder="1" applyAlignment="1">
      <alignment horizontal="left"/>
    </xf>
    <xf numFmtId="0" fontId="7" fillId="0" borderId="14" xfId="2" applyNumberFormat="1" applyFont="1" applyBorder="1" applyAlignment="1">
      <alignment vertical="center"/>
    </xf>
    <xf numFmtId="10" fontId="7" fillId="0" borderId="0" xfId="1" applyNumberFormat="1" applyFont="1" applyBorder="1" applyAlignment="1" applyProtection="1">
      <alignment horizontal="center"/>
      <protection locked="0"/>
    </xf>
    <xf numFmtId="167" fontId="7" fillId="0" borderId="5" xfId="1" applyNumberFormat="1" applyFont="1" applyBorder="1" applyAlignment="1" applyProtection="1">
      <alignment horizontal="center"/>
      <protection locked="0"/>
    </xf>
    <xf numFmtId="44" fontId="7" fillId="0" borderId="5" xfId="13" applyFont="1" applyBorder="1" applyAlignment="1" applyProtection="1">
      <alignment horizontal="center"/>
      <protection locked="0"/>
    </xf>
    <xf numFmtId="44" fontId="7" fillId="0" borderId="5" xfId="13" applyFont="1" applyFill="1" applyBorder="1" applyAlignment="1">
      <alignment horizontal="center" vertical="center" wrapText="1"/>
    </xf>
    <xf numFmtId="4" fontId="7" fillId="0" borderId="5" xfId="0" applyNumberFormat="1" applyFont="1" applyBorder="1" applyProtection="1">
      <protection locked="0"/>
    </xf>
    <xf numFmtId="4" fontId="7" fillId="3" borderId="6" xfId="0" applyNumberFormat="1" applyFont="1" applyFill="1" applyBorder="1" applyAlignment="1" applyProtection="1">
      <alignment wrapText="1"/>
      <protection locked="0"/>
    </xf>
    <xf numFmtId="0" fontId="4" fillId="15" borderId="2" xfId="0" applyFont="1" applyFill="1" applyBorder="1" applyAlignment="1">
      <alignment horizontal="left"/>
    </xf>
    <xf numFmtId="0" fontId="4" fillId="15" borderId="7" xfId="0" applyNumberFormat="1" applyFont="1" applyFill="1" applyBorder="1" applyAlignment="1" applyProtection="1">
      <alignment vertical="center"/>
    </xf>
    <xf numFmtId="4" fontId="4" fillId="15" borderId="4" xfId="0" applyNumberFormat="1" applyFont="1" applyFill="1" applyBorder="1" applyAlignment="1">
      <alignment vertical="center" wrapText="1"/>
    </xf>
    <xf numFmtId="44" fontId="4" fillId="15" borderId="4" xfId="13" applyFont="1" applyFill="1" applyBorder="1" applyAlignment="1">
      <alignment vertical="center" wrapText="1"/>
    </xf>
    <xf numFmtId="44" fontId="4" fillId="15" borderId="4" xfId="13" applyFont="1" applyFill="1" applyBorder="1" applyAlignment="1">
      <alignment horizontal="center" vertical="center" wrapText="1"/>
    </xf>
    <xf numFmtId="0" fontId="4" fillId="15" borderId="4" xfId="0" applyNumberFormat="1" applyFont="1" applyFill="1" applyBorder="1" applyAlignment="1" applyProtection="1">
      <alignment horizontal="center" vertical="center" wrapText="1"/>
    </xf>
    <xf numFmtId="0" fontId="4" fillId="15" borderId="2" xfId="0" applyNumberFormat="1" applyFont="1" applyFill="1" applyBorder="1" applyAlignment="1" applyProtection="1">
      <alignment horizontal="center"/>
      <protection locked="0"/>
    </xf>
    <xf numFmtId="0" fontId="4" fillId="15" borderId="2" xfId="0" applyFont="1" applyFill="1" applyBorder="1" applyProtection="1">
      <protection locked="0"/>
    </xf>
    <xf numFmtId="0" fontId="4" fillId="15" borderId="2" xfId="0" applyFont="1" applyFill="1" applyBorder="1" applyAlignment="1">
      <alignment horizontal="center"/>
    </xf>
    <xf numFmtId="4" fontId="4" fillId="15" borderId="2" xfId="0" applyNumberFormat="1" applyFont="1" applyFill="1" applyBorder="1" applyAlignment="1" applyProtection="1">
      <alignment wrapText="1"/>
      <protection locked="0"/>
    </xf>
    <xf numFmtId="4" fontId="4" fillId="15" borderId="2" xfId="0" applyNumberFormat="1" applyFont="1" applyFill="1" applyBorder="1"/>
    <xf numFmtId="0" fontId="4" fillId="15" borderId="2" xfId="0" applyFont="1" applyFill="1" applyBorder="1" applyAlignment="1">
      <alignment horizontal="center" wrapText="1"/>
    </xf>
    <xf numFmtId="4" fontId="4" fillId="15" borderId="2" xfId="0" applyNumberFormat="1" applyFont="1" applyFill="1" applyBorder="1" applyAlignment="1">
      <alignment wrapText="1"/>
    </xf>
    <xf numFmtId="0" fontId="4" fillId="15" borderId="2" xfId="0" applyFont="1" applyFill="1" applyBorder="1"/>
    <xf numFmtId="0" fontId="23" fillId="0" borderId="15" xfId="0"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17" xfId="0" applyFont="1" applyFill="1" applyBorder="1" applyAlignment="1">
      <alignment horizontal="center" vertical="top" wrapText="1"/>
    </xf>
    <xf numFmtId="0" fontId="23" fillId="0" borderId="18" xfId="0" applyFont="1" applyFill="1" applyBorder="1" applyAlignment="1">
      <alignment horizontal="center" vertical="top" wrapText="1"/>
    </xf>
    <xf numFmtId="0" fontId="23" fillId="0" borderId="19" xfId="0" applyFont="1" applyFill="1" applyBorder="1" applyAlignment="1">
      <alignment horizontal="center" vertical="top" wrapText="1"/>
    </xf>
    <xf numFmtId="0" fontId="23" fillId="0" borderId="0" xfId="0" applyFont="1" applyFill="1" applyBorder="1" applyAlignment="1">
      <alignment horizontal="center" vertical="top" wrapText="1"/>
    </xf>
    <xf numFmtId="44" fontId="20" fillId="11" borderId="0" xfId="0" applyNumberFormat="1" applyFont="1" applyFill="1" applyBorder="1" applyAlignment="1">
      <alignment horizontal="center" vertical="center"/>
    </xf>
    <xf numFmtId="168" fontId="20" fillId="11" borderId="0" xfId="0" applyNumberFormat="1" applyFont="1" applyFill="1" applyBorder="1" applyAlignment="1">
      <alignment horizontal="center" vertical="center"/>
    </xf>
    <xf numFmtId="0" fontId="14" fillId="0" borderId="9" xfId="0" applyFont="1" applyBorder="1" applyAlignment="1">
      <alignment horizontal="center"/>
    </xf>
    <xf numFmtId="0" fontId="14" fillId="0" borderId="0" xfId="0" applyFont="1" applyFill="1" applyBorder="1" applyAlignment="1">
      <alignment horizontal="center"/>
    </xf>
    <xf numFmtId="0" fontId="14" fillId="0" borderId="9" xfId="0" applyFont="1" applyBorder="1" applyAlignment="1">
      <alignment horizontal="left"/>
    </xf>
    <xf numFmtId="0" fontId="14" fillId="0" borderId="9" xfId="0" applyFont="1" applyBorder="1"/>
    <xf numFmtId="0" fontId="25" fillId="0" borderId="0" xfId="0" applyFont="1"/>
    <xf numFmtId="44" fontId="7" fillId="0" borderId="13" xfId="13" applyFont="1" applyFill="1" applyBorder="1" applyAlignment="1">
      <alignment vertical="center" wrapText="1"/>
    </xf>
    <xf numFmtId="0" fontId="7" fillId="0" borderId="0" xfId="0" applyFont="1" applyAlignment="1">
      <alignment wrapText="1"/>
    </xf>
    <xf numFmtId="0" fontId="4" fillId="0" borderId="0" xfId="0" applyFont="1" applyAlignment="1">
      <alignment horizontal="center"/>
    </xf>
    <xf numFmtId="0" fontId="26" fillId="0" borderId="0" xfId="0" applyFont="1"/>
    <xf numFmtId="44" fontId="0" fillId="0" borderId="0" xfId="13" applyFont="1"/>
    <xf numFmtId="44" fontId="7" fillId="0" borderId="0" xfId="13" applyFont="1"/>
    <xf numFmtId="0" fontId="23" fillId="0" borderId="20" xfId="0" applyFont="1" applyFill="1" applyBorder="1" applyAlignment="1">
      <alignment horizontal="center" vertical="top" wrapText="1"/>
    </xf>
    <xf numFmtId="0" fontId="23" fillId="0" borderId="0" xfId="0" applyFont="1" applyFill="1" applyBorder="1" applyAlignment="1">
      <alignment horizontal="center" vertical="center" wrapText="1"/>
    </xf>
    <xf numFmtId="0" fontId="23" fillId="0" borderId="21" xfId="0" applyFont="1" applyFill="1" applyBorder="1" applyAlignment="1">
      <alignment horizontal="center" vertical="top" wrapText="1"/>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3" xfId="0" applyFont="1" applyFill="1" applyBorder="1" applyAlignment="1">
      <alignment horizontal="left" vertical="center"/>
    </xf>
    <xf numFmtId="166" fontId="20" fillId="0" borderId="23" xfId="0" applyNumberFormat="1" applyFont="1" applyFill="1" applyBorder="1" applyAlignment="1">
      <alignment horizontal="center" vertical="center"/>
    </xf>
    <xf numFmtId="167" fontId="20" fillId="0" borderId="23" xfId="13" applyNumberFormat="1" applyFont="1" applyFill="1" applyBorder="1" applyAlignment="1">
      <alignment horizontal="center" vertical="center"/>
    </xf>
    <xf numFmtId="166" fontId="20" fillId="0" borderId="23" xfId="13" applyNumberFormat="1" applyFont="1" applyFill="1" applyBorder="1" applyAlignment="1">
      <alignment horizontal="center" vertical="center"/>
    </xf>
    <xf numFmtId="1" fontId="20" fillId="0" borderId="23" xfId="0" applyNumberFormat="1" applyFont="1" applyFill="1" applyBorder="1" applyAlignment="1">
      <alignment horizontal="center" vertical="center"/>
    </xf>
    <xf numFmtId="44" fontId="20" fillId="0" borderId="23" xfId="13" applyFont="1" applyFill="1" applyBorder="1" applyAlignment="1">
      <alignment horizontal="center" vertical="center"/>
    </xf>
    <xf numFmtId="49" fontId="20" fillId="0" borderId="23" xfId="13" applyNumberFormat="1"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26" xfId="0" applyFont="1" applyFill="1" applyBorder="1" applyAlignment="1">
      <alignment horizontal="left" vertical="center"/>
    </xf>
    <xf numFmtId="166" fontId="20" fillId="0" borderId="26" xfId="0" applyNumberFormat="1" applyFont="1" applyFill="1" applyBorder="1" applyAlignment="1">
      <alignment horizontal="center" vertical="center"/>
    </xf>
    <xf numFmtId="167" fontId="20" fillId="0" borderId="26" xfId="13" applyNumberFormat="1" applyFont="1" applyFill="1" applyBorder="1" applyAlignment="1">
      <alignment horizontal="center" vertical="center"/>
    </xf>
    <xf numFmtId="166" fontId="20" fillId="0" borderId="26" xfId="13" applyNumberFormat="1" applyFont="1" applyFill="1" applyBorder="1" applyAlignment="1">
      <alignment horizontal="center" vertical="center"/>
    </xf>
    <xf numFmtId="1" fontId="20" fillId="0" borderId="26" xfId="0" applyNumberFormat="1" applyFont="1" applyFill="1" applyBorder="1" applyAlignment="1">
      <alignment horizontal="center" vertical="center"/>
    </xf>
    <xf numFmtId="44" fontId="20" fillId="0" borderId="26" xfId="13" applyFont="1" applyFill="1" applyBorder="1" applyAlignment="1">
      <alignment horizontal="center" vertical="center"/>
    </xf>
    <xf numFmtId="49" fontId="20" fillId="0" borderId="26" xfId="13" applyNumberFormat="1" applyFont="1" applyFill="1" applyBorder="1" applyAlignment="1">
      <alignment horizontal="center" vertical="center"/>
    </xf>
    <xf numFmtId="0" fontId="20" fillId="0" borderId="27" xfId="0" applyFont="1" applyFill="1" applyBorder="1" applyAlignment="1">
      <alignment horizontal="center" vertical="center"/>
    </xf>
    <xf numFmtId="168" fontId="20" fillId="0" borderId="26" xfId="13" applyNumberFormat="1" applyFont="1" applyFill="1" applyBorder="1" applyAlignment="1">
      <alignment horizontal="center" vertical="center"/>
    </xf>
    <xf numFmtId="15" fontId="20" fillId="0" borderId="26" xfId="0" applyNumberFormat="1" applyFont="1" applyFill="1" applyBorder="1" applyAlignment="1">
      <alignment horizontal="center" vertical="center"/>
    </xf>
    <xf numFmtId="44" fontId="20" fillId="0" borderId="26" xfId="13" applyNumberFormat="1" applyFont="1" applyFill="1" applyBorder="1" applyAlignment="1">
      <alignment horizontal="center" vertical="center"/>
    </xf>
    <xf numFmtId="44" fontId="24" fillId="0" borderId="26" xfId="13" applyFont="1" applyFill="1" applyBorder="1" applyAlignment="1">
      <alignment horizontal="center" vertical="center"/>
    </xf>
    <xf numFmtId="44" fontId="20" fillId="0" borderId="26" xfId="0" applyNumberFormat="1" applyFont="1" applyFill="1" applyBorder="1" applyAlignment="1">
      <alignment horizontal="center"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29" xfId="0" applyFont="1" applyFill="1" applyBorder="1" applyAlignment="1">
      <alignment horizontal="left" vertical="center"/>
    </xf>
    <xf numFmtId="166" fontId="20" fillId="0" borderId="29" xfId="0" applyNumberFormat="1" applyFont="1" applyFill="1" applyBorder="1" applyAlignment="1">
      <alignment horizontal="center" vertical="center"/>
    </xf>
    <xf numFmtId="167" fontId="20" fillId="0" borderId="29" xfId="13" applyNumberFormat="1" applyFont="1" applyFill="1" applyBorder="1" applyAlignment="1">
      <alignment horizontal="center" vertical="center"/>
    </xf>
    <xf numFmtId="166" fontId="20" fillId="0" borderId="29" xfId="13" applyNumberFormat="1" applyFont="1" applyFill="1" applyBorder="1" applyAlignment="1">
      <alignment horizontal="center" vertical="center"/>
    </xf>
    <xf numFmtId="44" fontId="20" fillId="0" borderId="29" xfId="13" applyFont="1" applyFill="1" applyBorder="1" applyAlignment="1">
      <alignment horizontal="center" vertical="center"/>
    </xf>
    <xf numFmtId="168" fontId="20" fillId="0" borderId="29" xfId="13" applyNumberFormat="1" applyFont="1" applyFill="1" applyBorder="1" applyAlignment="1">
      <alignment horizontal="center" vertical="center"/>
    </xf>
    <xf numFmtId="0" fontId="20" fillId="0" borderId="30" xfId="0" applyFont="1" applyFill="1" applyBorder="1" applyAlignment="1">
      <alignment horizontal="center" vertical="center"/>
    </xf>
    <xf numFmtId="167" fontId="20" fillId="11" borderId="0" xfId="0" applyNumberFormat="1" applyFont="1" applyFill="1" applyBorder="1" applyAlignment="1">
      <alignment horizontal="center" vertical="center"/>
    </xf>
    <xf numFmtId="0" fontId="11" fillId="0" borderId="9" xfId="0" applyFont="1" applyFill="1" applyBorder="1" applyAlignment="1">
      <alignment horizontal="left"/>
    </xf>
    <xf numFmtId="14" fontId="11" fillId="0" borderId="9" xfId="0" applyNumberFormat="1" applyFont="1" applyFill="1" applyBorder="1" applyAlignment="1">
      <alignment horizontal="left"/>
    </xf>
    <xf numFmtId="0" fontId="11" fillId="0" borderId="9" xfId="0" applyFont="1" applyFill="1" applyBorder="1"/>
    <xf numFmtId="44" fontId="11" fillId="0" borderId="9" xfId="13" applyNumberFormat="1" applyFont="1" applyFill="1" applyBorder="1"/>
    <xf numFmtId="166" fontId="0" fillId="0" borderId="0" xfId="0" applyNumberFormat="1" applyFill="1"/>
    <xf numFmtId="2" fontId="0" fillId="0" borderId="0" xfId="0" applyNumberFormat="1" applyFill="1"/>
    <xf numFmtId="0" fontId="11" fillId="0" borderId="0" xfId="0" applyFont="1" applyFill="1" applyAlignment="1">
      <alignment horizontal="left"/>
    </xf>
    <xf numFmtId="14" fontId="11" fillId="0" borderId="0" xfId="0" applyNumberFormat="1" applyFont="1" applyFill="1" applyAlignment="1">
      <alignment horizontal="left"/>
    </xf>
    <xf numFmtId="0" fontId="11" fillId="0" borderId="0" xfId="0" applyFont="1" applyFill="1"/>
    <xf numFmtId="44" fontId="11" fillId="0" borderId="0" xfId="13" applyNumberFormat="1" applyFont="1" applyFill="1"/>
    <xf numFmtId="0" fontId="11" fillId="0" borderId="0" xfId="0" applyFont="1" applyFill="1" applyAlignment="1">
      <alignment vertical="top"/>
    </xf>
    <xf numFmtId="0" fontId="11" fillId="0" borderId="0" xfId="0" applyFont="1" applyFill="1" applyBorder="1" applyAlignment="1">
      <alignment horizontal="left"/>
    </xf>
    <xf numFmtId="14" fontId="11" fillId="0" borderId="0" xfId="0" applyNumberFormat="1" applyFont="1" applyFill="1" applyBorder="1" applyAlignment="1">
      <alignment horizontal="left"/>
    </xf>
    <xf numFmtId="0" fontId="11" fillId="0" borderId="0" xfId="0" applyFont="1" applyFill="1" applyBorder="1"/>
    <xf numFmtId="44" fontId="11" fillId="0" borderId="0" xfId="13" applyNumberFormat="1" applyFont="1" applyFill="1" applyBorder="1"/>
    <xf numFmtId="1" fontId="0" fillId="0" borderId="0" xfId="0" applyNumberFormat="1" applyFill="1"/>
    <xf numFmtId="0" fontId="19" fillId="0" borderId="10" xfId="0" applyFont="1" applyFill="1" applyBorder="1" applyAlignment="1">
      <alignment horizontal="left"/>
    </xf>
    <xf numFmtId="0" fontId="19" fillId="0" borderId="10" xfId="0" applyFont="1" applyFill="1" applyBorder="1"/>
    <xf numFmtId="44" fontId="19" fillId="0" borderId="10" xfId="13" applyNumberFormat="1" applyFont="1" applyFill="1" applyBorder="1"/>
    <xf numFmtId="0" fontId="0" fillId="0" borderId="0" xfId="0" applyFill="1"/>
    <xf numFmtId="164" fontId="12" fillId="0" borderId="1" xfId="0" applyNumberFormat="1" applyFont="1" applyBorder="1" applyAlignment="1" applyProtection="1">
      <alignment horizontal="center"/>
      <protection locked="0"/>
    </xf>
    <xf numFmtId="0" fontId="4" fillId="0" borderId="2" xfId="0" applyFont="1" applyBorder="1" applyAlignment="1" applyProtection="1">
      <alignment horizontal="left"/>
      <protection locked="0"/>
    </xf>
    <xf numFmtId="0" fontId="7" fillId="0" borderId="2" xfId="0" applyFont="1" applyBorder="1" applyAlignment="1" applyProtection="1">
      <alignment horizontal="left" wrapText="1"/>
      <protection locked="0"/>
    </xf>
    <xf numFmtId="0" fontId="7" fillId="0" borderId="0" xfId="0" applyFont="1" applyAlignment="1" applyProtection="1">
      <alignment horizontal="left"/>
    </xf>
    <xf numFmtId="0" fontId="15" fillId="0" borderId="1" xfId="0" applyFont="1" applyBorder="1" applyAlignment="1" applyProtection="1">
      <alignment horizontal="left"/>
      <protection locked="0"/>
    </xf>
    <xf numFmtId="0" fontId="7"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5" fillId="0" borderId="0" xfId="0" applyFont="1" applyAlignment="1" applyProtection="1">
      <alignment horizontal="center"/>
    </xf>
    <xf numFmtId="0" fontId="7" fillId="0" borderId="0" xfId="0" applyFont="1" applyBorder="1" applyAlignment="1" applyProtection="1">
      <alignment horizontal="right" vertical="top"/>
    </xf>
    <xf numFmtId="0" fontId="8" fillId="0" borderId="0" xfId="0" applyFont="1" applyBorder="1" applyAlignment="1" applyProtection="1">
      <alignment horizontal="right" vertical="top"/>
    </xf>
    <xf numFmtId="0" fontId="4" fillId="0" borderId="0" xfId="0" applyFont="1" applyAlignment="1">
      <alignment horizontal="center"/>
    </xf>
    <xf numFmtId="0" fontId="5" fillId="0" borderId="0" xfId="0" applyFont="1" applyAlignment="1">
      <alignment horizontal="center"/>
    </xf>
    <xf numFmtId="0" fontId="7" fillId="0" borderId="0" xfId="0" applyFont="1" applyAlignment="1">
      <alignment wrapText="1"/>
    </xf>
    <xf numFmtId="0" fontId="0" fillId="0" borderId="0" xfId="0" applyAlignment="1">
      <alignment wrapText="1"/>
    </xf>
    <xf numFmtId="0" fontId="7" fillId="0" borderId="0" xfId="0" applyFont="1" applyFill="1" applyAlignment="1">
      <alignment wrapText="1"/>
    </xf>
    <xf numFmtId="0" fontId="8" fillId="0" borderId="0" xfId="0" applyFont="1" applyAlignment="1">
      <alignment wrapText="1"/>
    </xf>
    <xf numFmtId="0" fontId="8" fillId="0" borderId="0" xfId="0" applyFont="1" applyFill="1" applyAlignment="1">
      <alignment wrapText="1"/>
    </xf>
    <xf numFmtId="0" fontId="7" fillId="0" borderId="3" xfId="0" applyFont="1" applyBorder="1" applyAlignment="1">
      <alignment horizontal="center"/>
    </xf>
    <xf numFmtId="0" fontId="4" fillId="0" borderId="1" xfId="0" applyFont="1" applyBorder="1" applyAlignment="1" applyProtection="1">
      <alignment horizontal="left"/>
      <protection locked="0"/>
    </xf>
    <xf numFmtId="0" fontId="7" fillId="0" borderId="6" xfId="0" applyFont="1" applyBorder="1" applyAlignment="1" applyProtection="1">
      <alignment horizontal="left"/>
      <protection locked="0"/>
    </xf>
    <xf numFmtId="0" fontId="16" fillId="0" borderId="0" xfId="0" applyFont="1" applyAlignment="1">
      <alignment horizontal="center"/>
    </xf>
    <xf numFmtId="0" fontId="7" fillId="0" borderId="0" xfId="0" applyFont="1" applyAlignment="1">
      <alignment horizontal="center"/>
    </xf>
  </cellXfs>
  <cellStyles count="14">
    <cellStyle name="Currency" xfId="13" builtinId="4"/>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73">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indexed="64"/>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numFmt numFmtId="168" formatCode="[$-409]mmm\-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solid">
          <fgColor theme="4" tint="0.79998168889431442"/>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numFmt numFmtId="166" formatCode="[$-409]d\-mmm\-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Calibri"/>
        <scheme val="minor"/>
      </font>
      <fill>
        <patternFill patternType="solid">
          <fgColor theme="4"/>
          <bgColor theme="4"/>
        </patternFill>
      </fill>
      <alignment horizontal="center" vertical="center" textRotation="0" wrapText="1" indent="0" justifyLastLine="0" shrinkToFit="0" readingOrder="0"/>
    </dxf>
    <dxf>
      <numFmt numFmtId="2" formatCode="0.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0"/>
        <color theme="0"/>
        <name val="Arial"/>
        <scheme val="none"/>
      </font>
    </dxf>
    <dxf>
      <font>
        <color theme="0" tint="-0.14996795556505021"/>
      </font>
      <fill>
        <patternFill>
          <bgColor theme="0" tint="-0.499984740745262"/>
        </patternFill>
      </fill>
    </dxf>
    <dxf>
      <fill>
        <patternFill>
          <bgColor theme="4" tint="0.79998168889431442"/>
        </patternFill>
      </fill>
    </dxf>
    <dxf>
      <font>
        <color theme="0" tint="-0.14996795556505021"/>
      </font>
      <fill>
        <patternFill>
          <bgColor theme="0" tint="-0.499984740745262"/>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26" Type="http://schemas.openxmlformats.org/officeDocument/2006/relationships/customXml" Target="../customXml/item11.xml"/><Relationship Id="rId3" Type="http://schemas.openxmlformats.org/officeDocument/2006/relationships/worksheet" Target="worksheets/sheet3.xml"/><Relationship Id="rId21" Type="http://schemas.openxmlformats.org/officeDocument/2006/relationships/customXml" Target="../customXml/item6.xml"/><Relationship Id="rId34" Type="http://schemas.openxmlformats.org/officeDocument/2006/relationships/customXml" Target="../customXml/item19.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24" Type="http://schemas.openxmlformats.org/officeDocument/2006/relationships/customXml" Target="../customXml/item9.xml"/><Relationship Id="rId32"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calcChain" Target="calcChain.xml"/><Relationship Id="rId23" Type="http://schemas.openxmlformats.org/officeDocument/2006/relationships/customXml" Target="../customXml/item8.xml"/><Relationship Id="rId28" Type="http://schemas.openxmlformats.org/officeDocument/2006/relationships/customXml" Target="../customXml/item13.xml"/><Relationship Id="rId10" Type="http://schemas.openxmlformats.org/officeDocument/2006/relationships/theme" Target="theme/theme1.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powerPivotData" Target="model/item.data"/><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2" name="Table2" displayName="Table2" ref="C1:H52" totalsRowShown="0" headerRowDxfId="66" dataDxfId="65">
  <autoFilter ref="C1:H52"/>
  <sortState ref="C2:H52">
    <sortCondition ref="C1:C52"/>
  </sortState>
  <tableColumns count="6">
    <tableColumn id="1" name="Invoice #" dataDxfId="64"/>
    <tableColumn id="2" name="Date" dataDxfId="63"/>
    <tableColumn id="3" name="Milestone/ Line" dataDxfId="62"/>
    <tableColumn id="5" name="Invoice Amount" dataDxfId="61"/>
    <tableColumn id="6" name="Approval Date" dataDxfId="60"/>
    <tableColumn id="4" name="Line" dataDxfId="59"/>
  </tableColumns>
  <tableStyleInfo name="TableStyleMedium1" showFirstColumn="0" showLastColumn="0" showRowStripes="1" showColumnStripes="0"/>
</table>
</file>

<file path=xl/tables/table2.xml><?xml version="1.0" encoding="utf-8"?>
<table xmlns="http://schemas.openxmlformats.org/spreadsheetml/2006/main" id="1" name="CavityStatus" displayName="CavityStatus" ref="A1:AB151" totalsRowCount="1" headerRowDxfId="58" dataDxfId="57" tableBorderDxfId="56">
  <autoFilter ref="A1:AB150"/>
  <tableColumns count="28">
    <tableColumn id="7" name="Unit #" totalsRowLabel="Total" dataDxfId="55" totalsRowDxfId="54"/>
    <tableColumn id="20" name="Serial #" dataDxfId="53" totalsRowDxfId="52"/>
    <tableColumn id="3" name="Material" dataDxfId="51" totalsRowDxfId="50"/>
    <tableColumn id="4" name="EP" dataDxfId="49" totalsRowDxfId="48"/>
    <tableColumn id="5" name="Heat" dataDxfId="47" totalsRowDxfId="46"/>
    <tableColumn id="6" name="Caps" dataDxfId="45" totalsRowDxfId="44"/>
    <tableColumn id="8" name="Hold Point 1" dataDxfId="43" totalsRowDxfId="42"/>
    <tableColumn id="9" name="Hold Point 2" dataDxfId="41" totalsRowDxfId="40"/>
    <tableColumn id="10" name="Hold Point 3" dataDxfId="39" totalsRowDxfId="38"/>
    <tableColumn id="11" name="NCRs" dataDxfId="37" totalsRowDxfId="36"/>
    <tableColumn id="12" name="NCR Comments" dataDxfId="35" totalsRowDxfId="34"/>
    <tableColumn id="13" name="Dest" dataDxfId="33" totalsRowDxfId="32"/>
    <tableColumn id="22" name="Ship #" dataDxfId="31" totalsRowDxfId="30"/>
    <tableColumn id="23" name="Incentivized Ship Date" dataDxfId="29" totalsRowDxfId="28"/>
    <tableColumn id="14" name="Actual Ship Date" dataDxfId="27" totalsRowDxfId="26"/>
    <tableColumn id="32" name="Wks +/- Incentive Date" dataDxfId="25" totalsRowDxfId="24">
      <calculatedColumnFormula>IF(CavityStatus[[#This Row],[Actual Ship Date]]&lt;&gt;0,($O2-$N2)/7,0)</calculatedColumnFormula>
    </tableColumn>
    <tableColumn id="24" name="Incentive Available" dataDxfId="23" totalsRowDxfId="22" dataCellStyle="Currency"/>
    <tableColumn id="33" name="Incentive Earned" totalsRowFunction="sum" dataDxfId="21" totalsRowDxfId="20" dataCellStyle="Currency">
      <calculatedColumnFormula>IF($P2&gt;0,$Q2-($P2*200),$Q2)</calculatedColumnFormula>
    </tableColumn>
    <tableColumn id="27" name="Receipt Date" dataDxfId="19" totalsRowDxfId="18" dataCellStyle="Currency"/>
    <tableColumn id="28" name="Milestone #" dataDxfId="17" totalsRowDxfId="16"/>
    <tableColumn id="29" name="Milestone Value" totalsRowFunction="sum" dataDxfId="15" totalsRowDxfId="14"/>
    <tableColumn id="18" name="Status" dataDxfId="13" totalsRowDxfId="12"/>
    <tableColumn id="1" name="Recipe Modification (Mod 9)" totalsRowFunction="sum" dataDxfId="11" totalsRowDxfId="10" dataCellStyle="Currency"/>
    <tableColumn id="2" name="Caps            _x000a_ (Mod 10)" totalsRowFunction="sum" dataDxfId="9" totalsRowDxfId="8" dataCellStyle="Currency">
      <calculatedColumnFormula>57800/113</calculatedColumnFormula>
    </tableColumn>
    <tableColumn id="31" name="Milestone" totalsRowFunction="sum" dataDxfId="7" totalsRowDxfId="6" dataCellStyle="Currency">
      <calculatedColumnFormula>RICavMilestoneVal</calculatedColumnFormula>
    </tableColumn>
    <tableColumn id="16" name="Total" totalsRowFunction="sum" dataDxfId="5" totalsRowDxfId="4" dataCellStyle="Currency">
      <calculatedColumnFormula>RICavMilestoneVal+CavityStatus[[#This Row],[Incentive Earned]]+CavityStatus[[#This Row],[Recipe Modification (Mod 9)]]+X2</calculatedColumnFormula>
    </tableColumn>
    <tableColumn id="19" name="Accept Date" dataDxfId="3" totalsRowDxfId="2" dataCellStyle="Currency"/>
    <tableColumn id="17" name="Notes" dataDxfId="1" totalsRow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80"/>
  <sheetViews>
    <sheetView showGridLines="0" tabSelected="1" zoomScaleNormal="100" workbookViewId="0">
      <pane xSplit="2" ySplit="7" topLeftCell="C8" activePane="bottomRight" state="frozen"/>
      <selection pane="topRight" activeCell="C1" sqref="C1"/>
      <selection pane="bottomLeft" activeCell="A8" sqref="A8"/>
      <selection pane="bottomRight" sqref="A1:L1"/>
    </sheetView>
  </sheetViews>
  <sheetFormatPr defaultColWidth="9.109375" defaultRowHeight="13.2" x14ac:dyDescent="0.25"/>
  <cols>
    <col min="1" max="1" width="8.6640625" style="5" customWidth="1"/>
    <col min="2" max="2" width="3.6640625" style="5" customWidth="1"/>
    <col min="3" max="3" width="9.88671875" style="10" customWidth="1"/>
    <col min="4" max="4" width="3.33203125" style="5" customWidth="1"/>
    <col min="5" max="5" width="7.88671875" style="10" customWidth="1"/>
    <col min="6" max="6" width="3.6640625" style="5" customWidth="1"/>
    <col min="7" max="7" width="9.109375" style="5" customWidth="1"/>
    <col min="8" max="8" width="10.44140625" style="5" customWidth="1"/>
    <col min="9" max="9" width="3.6640625" style="5" customWidth="1"/>
    <col min="10" max="10" width="14.5546875" style="5" customWidth="1"/>
    <col min="11" max="11" width="10.109375" style="5" bestFit="1" customWidth="1"/>
    <col min="12" max="12" width="13" style="5" customWidth="1"/>
    <col min="13" max="15" width="9.109375" style="5"/>
    <col min="16" max="16" width="11" style="5" bestFit="1" customWidth="1"/>
    <col min="17" max="16384" width="9.109375" style="5"/>
  </cols>
  <sheetData>
    <row r="1" spans="1:12" ht="15.6" x14ac:dyDescent="0.3">
      <c r="A1" s="284" t="s">
        <v>4</v>
      </c>
      <c r="B1" s="284"/>
      <c r="C1" s="284"/>
      <c r="D1" s="284"/>
      <c r="E1" s="284"/>
      <c r="F1" s="284"/>
      <c r="G1" s="284"/>
      <c r="H1" s="284"/>
      <c r="I1" s="284"/>
      <c r="J1" s="284"/>
      <c r="K1" s="284"/>
      <c r="L1" s="284"/>
    </row>
    <row r="2" spans="1:12" ht="15.6" x14ac:dyDescent="0.3">
      <c r="A2" s="284" t="s">
        <v>34</v>
      </c>
      <c r="B2" s="284"/>
      <c r="C2" s="284"/>
      <c r="D2" s="284"/>
      <c r="E2" s="284"/>
      <c r="F2" s="284"/>
      <c r="G2" s="284"/>
      <c r="H2" s="284"/>
      <c r="I2" s="284"/>
      <c r="J2" s="284"/>
      <c r="K2" s="284"/>
      <c r="L2" s="284"/>
    </row>
    <row r="3" spans="1:12" ht="15.6" x14ac:dyDescent="0.3">
      <c r="A3" s="284" t="s">
        <v>18</v>
      </c>
      <c r="B3" s="284"/>
      <c r="C3" s="284"/>
      <c r="D3" s="284"/>
      <c r="E3" s="284"/>
      <c r="F3" s="284"/>
      <c r="G3" s="284"/>
      <c r="H3" s="284"/>
      <c r="I3" s="284"/>
      <c r="J3" s="284"/>
      <c r="K3" s="284"/>
      <c r="L3" s="284"/>
    </row>
    <row r="4" spans="1:12" ht="23.25" customHeight="1" x14ac:dyDescent="0.25">
      <c r="A4" s="280" t="s">
        <v>0</v>
      </c>
      <c r="B4" s="280"/>
      <c r="C4" s="281" t="str">
        <f>IF(' Accting USE Data Entry Form'!T5&gt;0,' Accting USE Data Entry Form'!T5,"")</f>
        <v>RI Research Instruments</v>
      </c>
      <c r="D4" s="281"/>
      <c r="E4" s="281"/>
      <c r="F4" s="281"/>
      <c r="G4" s="281"/>
      <c r="H4" s="281"/>
      <c r="I4" s="6"/>
      <c r="J4" s="7"/>
      <c r="K4" s="8" t="s">
        <v>28</v>
      </c>
      <c r="L4" s="44"/>
    </row>
    <row r="5" spans="1:12" ht="20.399999999999999" customHeight="1" x14ac:dyDescent="0.25">
      <c r="A5" s="5" t="s">
        <v>2</v>
      </c>
      <c r="B5" s="6"/>
      <c r="C5" s="278" t="str">
        <f>IF(' Accting USE Data Entry Form'!T7&gt;0,' Accting USE Data Entry Form'!T7,"")</f>
        <v>15-C0587</v>
      </c>
      <c r="D5" s="278"/>
      <c r="E5" s="278"/>
      <c r="F5" s="18"/>
      <c r="G5" s="37" t="s">
        <v>41</v>
      </c>
      <c r="H5" s="1" t="str">
        <f>IF(' Accting USE Data Entry Form'!T8&gt;0,' Accting USE Data Entry Form'!T8,"")</f>
        <v>Fitzpatrick</v>
      </c>
      <c r="I5" s="38"/>
      <c r="J5" s="9" t="s">
        <v>45</v>
      </c>
      <c r="K5" s="277">
        <f>' Accting USE Data Entry Form'!AD5</f>
        <v>42794</v>
      </c>
      <c r="L5" s="277"/>
    </row>
    <row r="6" spans="1:12" x14ac:dyDescent="0.25">
      <c r="K6" s="10" t="s">
        <v>21</v>
      </c>
    </row>
    <row r="7" spans="1:12" s="12" customFormat="1" ht="34.5" customHeight="1" x14ac:dyDescent="0.25">
      <c r="A7" s="11" t="s">
        <v>1</v>
      </c>
      <c r="C7" s="35" t="s">
        <v>5</v>
      </c>
      <c r="D7" s="39"/>
      <c r="E7" s="40" t="s">
        <v>42</v>
      </c>
      <c r="G7" s="32" t="s">
        <v>33</v>
      </c>
      <c r="H7" s="13"/>
      <c r="I7" s="14"/>
      <c r="J7" s="14"/>
      <c r="K7" s="14"/>
      <c r="L7" s="14"/>
    </row>
    <row r="8" spans="1:12" ht="13.2" customHeight="1" x14ac:dyDescent="0.25">
      <c r="A8" s="2">
        <v>1</v>
      </c>
      <c r="C8" s="50">
        <f>IF(' Accting USE Data Entry Form'!T11&gt;0,' Accting USE Data Entry Form'!T11,0)</f>
        <v>1</v>
      </c>
      <c r="D8" s="46"/>
      <c r="E8" s="163" t="str">
        <f>IF($L$4="yes","X"," ")</f>
        <v xml:space="preserve"> </v>
      </c>
      <c r="G8" s="279" t="str">
        <f>IF(' Accting USE Data Entry Form'!B11&gt;0,' Accting USE Data Entry Form'!B11,"")</f>
        <v>Proof of equipment order furnace uprade</v>
      </c>
      <c r="H8" s="279"/>
      <c r="I8" s="279"/>
      <c r="J8" s="279"/>
      <c r="K8" s="279"/>
      <c r="L8" s="279"/>
    </row>
    <row r="9" spans="1:12" ht="13.2" customHeight="1" x14ac:dyDescent="0.25">
      <c r="A9" s="2">
        <v>2</v>
      </c>
      <c r="C9" s="50">
        <f>IF(' Accting USE Data Entry Form'!T12&gt;0,' Accting USE Data Entry Form'!T12,0)</f>
        <v>1</v>
      </c>
      <c r="D9" s="47"/>
      <c r="E9" s="163" t="str">
        <f>IF($L$4="yes","X"," ")</f>
        <v xml:space="preserve"> </v>
      </c>
      <c r="G9" s="279" t="str">
        <f>IF(' Accting USE Data Entry Form'!B12&gt;0,' Accting USE Data Entry Form'!B12,"")</f>
        <v>Proof of completed furnace uprade</v>
      </c>
      <c r="H9" s="279"/>
      <c r="I9" s="279"/>
      <c r="J9" s="279"/>
      <c r="K9" s="279"/>
      <c r="L9" s="279"/>
    </row>
    <row r="10" spans="1:12" ht="13.2" customHeight="1" x14ac:dyDescent="0.25">
      <c r="A10" s="2">
        <v>3</v>
      </c>
      <c r="C10" s="50">
        <f>IF(' Accting USE Data Entry Form'!T13&gt;0,' Accting USE Data Entry Form'!T13,0)</f>
        <v>1</v>
      </c>
      <c r="D10" s="47"/>
      <c r="E10" s="163" t="str">
        <f>IF($L$4="yes","X"," ")</f>
        <v xml:space="preserve"> </v>
      </c>
      <c r="G10" s="279" t="str">
        <f>IF(' Accting USE Data Entry Form'!B13&gt;0,' Accting USE Data Entry Form'!B13,"")</f>
        <v>Acceptance of Ni doping process - Cav 1 (of 2)</v>
      </c>
      <c r="H10" s="279"/>
      <c r="I10" s="279"/>
      <c r="J10" s="279"/>
      <c r="K10" s="279"/>
      <c r="L10" s="279"/>
    </row>
    <row r="11" spans="1:12" ht="13.2" customHeight="1" x14ac:dyDescent="0.25">
      <c r="A11" s="2">
        <v>4</v>
      </c>
      <c r="C11" s="50">
        <f>IF(' Accting USE Data Entry Form'!T14&gt;0,' Accting USE Data Entry Form'!T14,0)</f>
        <v>1</v>
      </c>
      <c r="D11" s="47"/>
      <c r="E11" s="163"/>
      <c r="G11" s="279" t="str">
        <f>IF(' Accting USE Data Entry Form'!B14&gt;0,' Accting USE Data Entry Form'!B14,"")</f>
        <v>Acceptance of Ni doping process - Cav 2 (of 2)</v>
      </c>
      <c r="H11" s="279"/>
      <c r="I11" s="279"/>
      <c r="J11" s="279"/>
      <c r="K11" s="279"/>
      <c r="L11" s="279"/>
    </row>
    <row r="12" spans="1:12" ht="13.2" customHeight="1" x14ac:dyDescent="0.25">
      <c r="A12" s="2">
        <v>5</v>
      </c>
      <c r="C12" s="50">
        <f>IF(' Accting USE Data Entry Form'!T15&gt;0,' Accting USE Data Entry Form'!T15,0)</f>
        <v>1</v>
      </c>
      <c r="D12" s="47"/>
      <c r="E12" s="163"/>
      <c r="G12" s="279" t="str">
        <f>IF(' Accting USE Data Entry Form'!B15&gt;0,' Accting USE Data Entry Form'!B15,"")</f>
        <v>PH II: Mfg Drawings Accepted by JLab</v>
      </c>
      <c r="H12" s="279"/>
      <c r="I12" s="279"/>
      <c r="J12" s="279"/>
      <c r="K12" s="279"/>
      <c r="L12" s="279"/>
    </row>
    <row r="13" spans="1:12" ht="13.2" customHeight="1" x14ac:dyDescent="0.25">
      <c r="A13" s="2">
        <v>6</v>
      </c>
      <c r="C13" s="50">
        <f>IF(' Accting USE Data Entry Form'!T16&gt;0,' Accting USE Data Entry Form'!T16,0)</f>
        <v>1</v>
      </c>
      <c r="D13" s="47"/>
      <c r="E13" s="163"/>
      <c r="G13" s="279" t="str">
        <f>IF(' Accting USE Data Entry Form'!B16&gt;0,' Accting USE Data Entry Form'!B16,"")</f>
        <v>PH II: FAs Mech Pre-fab (Deep Draw)</v>
      </c>
      <c r="H13" s="279"/>
      <c r="I13" s="279"/>
      <c r="J13" s="279"/>
      <c r="K13" s="279"/>
      <c r="L13" s="279"/>
    </row>
    <row r="14" spans="1:12" ht="13.2" customHeight="1" x14ac:dyDescent="0.25">
      <c r="A14" s="2">
        <v>7</v>
      </c>
      <c r="C14" s="50">
        <f>IF(' Accting USE Data Entry Form'!T17&gt;0,' Accting USE Data Entry Form'!T17,0)</f>
        <v>1</v>
      </c>
      <c r="D14" s="47"/>
      <c r="E14" s="163"/>
      <c r="G14" s="279" t="str">
        <f>IF(' Accting USE Data Entry Form'!B17&gt;0,' Accting USE Data Entry Form'!B17,"")</f>
        <v xml:space="preserve">PH III: Mech Pre-Fab Cavities (9-72) </v>
      </c>
      <c r="H14" s="279"/>
      <c r="I14" s="279"/>
      <c r="J14" s="279"/>
      <c r="K14" s="279"/>
      <c r="L14" s="279"/>
    </row>
    <row r="15" spans="1:12" ht="13.2" customHeight="1" x14ac:dyDescent="0.25">
      <c r="A15" s="2">
        <v>8</v>
      </c>
      <c r="C15" s="50">
        <f>IF(' Accting USE Data Entry Form'!T18&gt;0,' Accting USE Data Entry Form'!T18,0)</f>
        <v>1</v>
      </c>
      <c r="D15" s="47"/>
      <c r="E15" s="163"/>
      <c r="G15" s="279" t="str">
        <f>IF(' Accting USE Data Entry Form'!B18&gt;0,' Accting USE Data Entry Form'!B18,"")</f>
        <v xml:space="preserve">PH III: Mech Pre-Fab Cavities (73-133) </v>
      </c>
      <c r="H15" s="279"/>
      <c r="I15" s="279"/>
      <c r="J15" s="279"/>
      <c r="K15" s="279"/>
      <c r="L15" s="279"/>
    </row>
    <row r="16" spans="1:12" ht="13.2" customHeight="1" x14ac:dyDescent="0.25">
      <c r="A16" s="2">
        <v>9</v>
      </c>
      <c r="C16" s="50">
        <f>IF(' Accting USE Data Entry Form'!T19&gt;0,' Accting USE Data Entry Form'!T19,0)</f>
        <v>1</v>
      </c>
      <c r="D16" s="47"/>
      <c r="E16" s="163"/>
      <c r="G16" s="279" t="str">
        <f>IF(' Accting USE Data Entry Form'!B19&gt;0,' Accting USE Data Entry Form'!B19,"")</f>
        <v xml:space="preserve">PH II: First Articles Deliver &amp; Accept (1-8) </v>
      </c>
      <c r="H16" s="279"/>
      <c r="I16" s="279"/>
      <c r="J16" s="279"/>
      <c r="K16" s="279"/>
      <c r="L16" s="279"/>
    </row>
    <row r="17" spans="1:12" ht="13.2" customHeight="1" x14ac:dyDescent="0.25">
      <c r="A17" s="2">
        <v>10</v>
      </c>
      <c r="C17" s="50">
        <f>IF(' Accting USE Data Entry Form'!T20&gt;0,' Accting USE Data Entry Form'!T20,0)</f>
        <v>1</v>
      </c>
      <c r="D17" s="47"/>
      <c r="E17" s="163"/>
      <c r="G17" s="279" t="str">
        <f>IF(' Accting USE Data Entry Form'!B20&gt;0,' Accting USE Data Entry Form'!B20,"")</f>
        <v>PH III:  Deliver &amp; Accept  Cavities (9-12)</v>
      </c>
      <c r="H17" s="279"/>
      <c r="I17" s="279"/>
      <c r="J17" s="279"/>
      <c r="K17" s="279"/>
      <c r="L17" s="279"/>
    </row>
    <row r="18" spans="1:12" ht="13.2" customHeight="1" x14ac:dyDescent="0.25">
      <c r="A18" s="2">
        <v>11</v>
      </c>
      <c r="C18" s="50">
        <f>IF(' Accting USE Data Entry Form'!T21&gt;0,' Accting USE Data Entry Form'!T21,0)</f>
        <v>1</v>
      </c>
      <c r="D18" s="47"/>
      <c r="E18" s="163"/>
      <c r="G18" s="279" t="str">
        <f>IF(' Accting USE Data Entry Form'!B21&gt;0,' Accting USE Data Entry Form'!B21,"")</f>
        <v>PH III:  Deliver &amp; Accept  Cavities (13-16)</v>
      </c>
      <c r="H18" s="279"/>
      <c r="I18" s="279"/>
      <c r="J18" s="279"/>
      <c r="K18" s="279"/>
      <c r="L18" s="279"/>
    </row>
    <row r="19" spans="1:12" ht="13.2" customHeight="1" x14ac:dyDescent="0.25">
      <c r="A19" s="2">
        <v>12</v>
      </c>
      <c r="C19" s="50">
        <f>IF(' Accting USE Data Entry Form'!T22&gt;0,' Accting USE Data Entry Form'!T22,0)</f>
        <v>1</v>
      </c>
      <c r="D19" s="47"/>
      <c r="E19" s="163"/>
      <c r="G19" s="279" t="str">
        <f>IF(' Accting USE Data Entry Form'!B22&gt;0,' Accting USE Data Entry Form'!B22,"")</f>
        <v>PH III:  Deliver &amp; Accept  Cavities (17-20)</v>
      </c>
      <c r="H19" s="279"/>
      <c r="I19" s="279"/>
      <c r="J19" s="279"/>
      <c r="K19" s="279"/>
      <c r="L19" s="279"/>
    </row>
    <row r="20" spans="1:12" ht="13.2" customHeight="1" x14ac:dyDescent="0.25">
      <c r="A20" s="2">
        <v>13</v>
      </c>
      <c r="C20" s="50">
        <f>IF(' Accting USE Data Entry Form'!T23&gt;0,' Accting USE Data Entry Form'!T23,0)</f>
        <v>1</v>
      </c>
      <c r="D20" s="47"/>
      <c r="E20" s="163"/>
      <c r="G20" s="279" t="str">
        <f>IF(' Accting USE Data Entry Form'!B23&gt;0,' Accting USE Data Entry Form'!B23,"")</f>
        <v>PH III:  Deliver &amp; Accept  Cavities (21-24)</v>
      </c>
      <c r="H20" s="279"/>
      <c r="I20" s="279"/>
      <c r="J20" s="279"/>
      <c r="K20" s="279"/>
      <c r="L20" s="279"/>
    </row>
    <row r="21" spans="1:12" ht="13.2" customHeight="1" x14ac:dyDescent="0.25">
      <c r="A21" s="2">
        <v>14</v>
      </c>
      <c r="C21" s="50">
        <f>IF(' Accting USE Data Entry Form'!T24&gt;0,' Accting USE Data Entry Form'!T24,0)</f>
        <v>1</v>
      </c>
      <c r="D21" s="47"/>
      <c r="E21" s="163"/>
      <c r="G21" s="279" t="str">
        <f>IF(' Accting USE Data Entry Form'!B24&gt;0,' Accting USE Data Entry Form'!B24,"")</f>
        <v>PH III:  Deliver &amp; Accept  Cavities (25-28)</v>
      </c>
      <c r="H21" s="279"/>
      <c r="I21" s="279"/>
      <c r="J21" s="279"/>
      <c r="K21" s="279"/>
      <c r="L21" s="279"/>
    </row>
    <row r="22" spans="1:12" ht="13.2" customHeight="1" x14ac:dyDescent="0.25">
      <c r="A22" s="2">
        <v>15</v>
      </c>
      <c r="C22" s="50">
        <f>IF(' Accting USE Data Entry Form'!T25&gt;0,' Accting USE Data Entry Form'!T25,0)</f>
        <v>1</v>
      </c>
      <c r="D22" s="47"/>
      <c r="E22" s="163"/>
      <c r="G22" s="279" t="str">
        <f>IF(' Accting USE Data Entry Form'!B25&gt;0,' Accting USE Data Entry Form'!B25,"")</f>
        <v>PH III:  Deliver &amp; Accept  Cavities (29-32)</v>
      </c>
      <c r="H22" s="279"/>
      <c r="I22" s="279"/>
      <c r="J22" s="279"/>
      <c r="K22" s="279"/>
      <c r="L22" s="279"/>
    </row>
    <row r="23" spans="1:12" ht="13.2" customHeight="1" x14ac:dyDescent="0.25">
      <c r="A23" s="2">
        <v>16</v>
      </c>
      <c r="C23" s="50">
        <f>IF(' Accting USE Data Entry Form'!T26&gt;0,' Accting USE Data Entry Form'!T26,0)</f>
        <v>1</v>
      </c>
      <c r="D23" s="47"/>
      <c r="E23" s="163"/>
      <c r="G23" s="279" t="str">
        <f>IF(' Accting USE Data Entry Form'!B26&gt;0,' Accting USE Data Entry Form'!B26,"")</f>
        <v>PH III:  Deliver &amp; Accept  Cavities (33-36)</v>
      </c>
      <c r="H23" s="279"/>
      <c r="I23" s="279"/>
      <c r="J23" s="279"/>
      <c r="K23" s="279"/>
      <c r="L23" s="279"/>
    </row>
    <row r="24" spans="1:12" ht="13.2" customHeight="1" x14ac:dyDescent="0.25">
      <c r="A24" s="2">
        <v>17</v>
      </c>
      <c r="C24" s="50">
        <f>IF(' Accting USE Data Entry Form'!T27&gt;0,' Accting USE Data Entry Form'!T27,0)</f>
        <v>1</v>
      </c>
      <c r="D24" s="47"/>
      <c r="E24" s="163"/>
      <c r="G24" s="279" t="str">
        <f>IF(' Accting USE Data Entry Form'!B27&gt;0,' Accting USE Data Entry Form'!B27,"")</f>
        <v>PH III:  Deliver &amp; Accept  Cavities (37-40)</v>
      </c>
      <c r="H24" s="279"/>
      <c r="I24" s="279"/>
      <c r="J24" s="279"/>
      <c r="K24" s="279"/>
      <c r="L24" s="279"/>
    </row>
    <row r="25" spans="1:12" ht="13.2" customHeight="1" x14ac:dyDescent="0.25">
      <c r="A25" s="2">
        <v>18</v>
      </c>
      <c r="C25" s="50">
        <f>IF(' Accting USE Data Entry Form'!T28&gt;0,' Accting USE Data Entry Form'!T28,0)</f>
        <v>1</v>
      </c>
      <c r="D25" s="47"/>
      <c r="E25" s="163"/>
      <c r="G25" s="279" t="str">
        <f>IF(' Accting USE Data Entry Form'!B28&gt;0,' Accting USE Data Entry Form'!B28,"")</f>
        <v>PH III:  Deliver &amp; Accept  Cavities (41-44)</v>
      </c>
      <c r="H25" s="279"/>
      <c r="I25" s="279"/>
      <c r="J25" s="279"/>
      <c r="K25" s="279"/>
      <c r="L25" s="279"/>
    </row>
    <row r="26" spans="1:12" ht="13.2" customHeight="1" x14ac:dyDescent="0.25">
      <c r="A26" s="2">
        <v>19</v>
      </c>
      <c r="C26" s="50">
        <f>IF(' Accting USE Data Entry Form'!T29&gt;0,' Accting USE Data Entry Form'!T29,0)</f>
        <v>1</v>
      </c>
      <c r="D26" s="47"/>
      <c r="E26" s="163"/>
      <c r="G26" s="279" t="str">
        <f>IF(' Accting USE Data Entry Form'!B29&gt;0,' Accting USE Data Entry Form'!B29,"")</f>
        <v>PH III:  Deliver &amp; Accept  Cavities (45-48)</v>
      </c>
      <c r="H26" s="279"/>
      <c r="I26" s="279"/>
      <c r="J26" s="279"/>
      <c r="K26" s="279"/>
      <c r="L26" s="279"/>
    </row>
    <row r="27" spans="1:12" ht="13.2" customHeight="1" x14ac:dyDescent="0.25">
      <c r="A27" s="2">
        <v>20</v>
      </c>
      <c r="C27" s="50">
        <f>IF(' Accting USE Data Entry Form'!T30&gt;0,' Accting USE Data Entry Form'!T30,0)</f>
        <v>1</v>
      </c>
      <c r="D27" s="47"/>
      <c r="E27" s="163"/>
      <c r="G27" s="279" t="str">
        <f>IF(' Accting USE Data Entry Form'!B30&gt;0,' Accting USE Data Entry Form'!B30,"")</f>
        <v>PH III:  Deliver &amp; Accept  Cavities (49-52)</v>
      </c>
      <c r="H27" s="279"/>
      <c r="I27" s="279"/>
      <c r="J27" s="279"/>
      <c r="K27" s="279"/>
      <c r="L27" s="279"/>
    </row>
    <row r="28" spans="1:12" ht="13.2" customHeight="1" x14ac:dyDescent="0.25">
      <c r="A28" s="2">
        <v>21</v>
      </c>
      <c r="C28" s="50">
        <f>IF(' Accting USE Data Entry Form'!T31&gt;0,' Accting USE Data Entry Form'!T31,0)</f>
        <v>1</v>
      </c>
      <c r="D28" s="47"/>
      <c r="E28" s="163"/>
      <c r="G28" s="279" t="str">
        <f>IF(' Accting USE Data Entry Form'!B31&gt;0,' Accting USE Data Entry Form'!B31,"")</f>
        <v>MOD 002: DESY Equip Refurbishment</v>
      </c>
      <c r="H28" s="279"/>
      <c r="I28" s="279"/>
      <c r="J28" s="279"/>
      <c r="K28" s="279"/>
      <c r="L28" s="279"/>
    </row>
    <row r="29" spans="1:12" ht="13.2" customHeight="1" x14ac:dyDescent="0.25">
      <c r="A29" s="2">
        <v>22</v>
      </c>
      <c r="C29" s="50">
        <f>IF(' Accting USE Data Entry Form'!T32&gt;0,' Accting USE Data Entry Form'!T32,0)</f>
        <v>0.15201746619446233</v>
      </c>
      <c r="D29" s="47"/>
      <c r="E29" s="163"/>
      <c r="G29" s="279" t="str">
        <f>IF(' Accting USE Data Entry Form'!B32&gt;0,' Accting USE Data Entry Form'!B32,"")</f>
        <v xml:space="preserve">MOD 002: DESY Equip Service &amp; Support Costs  </v>
      </c>
      <c r="H29" s="279"/>
      <c r="I29" s="279"/>
      <c r="J29" s="279"/>
      <c r="K29" s="279"/>
      <c r="L29" s="279"/>
    </row>
    <row r="30" spans="1:12" ht="13.2" customHeight="1" x14ac:dyDescent="0.25">
      <c r="A30" s="2">
        <v>23</v>
      </c>
      <c r="C30" s="50">
        <f>IF(' Accting USE Data Entry Form'!T33&gt;0,' Accting USE Data Entry Form'!T33,0)</f>
        <v>0.97727272727269998</v>
      </c>
      <c r="D30" s="47"/>
      <c r="E30" s="163"/>
      <c r="G30" s="279" t="str">
        <f>IF(' Accting USE Data Entry Form'!B33&gt;0,' Accting USE Data Entry Form'!B33,"")</f>
        <v>MOD 003: Accel Shipment (1-16) Incentives (Max of $323,136)</v>
      </c>
      <c r="H30" s="279"/>
      <c r="I30" s="279"/>
      <c r="J30" s="279"/>
      <c r="K30" s="279"/>
      <c r="L30" s="279"/>
    </row>
    <row r="31" spans="1:12" ht="13.2" customHeight="1" x14ac:dyDescent="0.25">
      <c r="A31" s="2">
        <v>24</v>
      </c>
      <c r="C31" s="50">
        <f>IF(' Accting USE Data Entry Form'!T34&gt;0,' Accting USE Data Entry Form'!T34,0)</f>
        <v>0.67105263126185832</v>
      </c>
      <c r="D31" s="47"/>
      <c r="E31" s="163"/>
      <c r="G31" s="279" t="str">
        <f>IF(' Accting USE Data Entry Form'!B34&gt;0,' Accting USE Data Entry Form'!B34,"")</f>
        <v>MOD 004: Incentives for Accelerated Production Deliveries</v>
      </c>
      <c r="H31" s="279"/>
      <c r="I31" s="279"/>
      <c r="J31" s="279"/>
      <c r="K31" s="279"/>
      <c r="L31" s="279"/>
    </row>
    <row r="32" spans="1:12" ht="13.2" customHeight="1" x14ac:dyDescent="0.25">
      <c r="A32" s="2">
        <v>25</v>
      </c>
      <c r="C32" s="50">
        <f>IF(' Accting USE Data Entry Form'!T35&gt;0,' Accting USE Data Entry Form'!T35,0)</f>
        <v>0.5625</v>
      </c>
      <c r="D32" s="47"/>
      <c r="E32" s="163"/>
      <c r="G32" s="279" t="str">
        <f>IF(' Accting USE Data Entry Form'!B35&gt;0,' Accting USE Data Entry Form'!B35,"")</f>
        <v>MOD 005: DESY Equipment Lease ($9,200/ month)</v>
      </c>
      <c r="H32" s="279"/>
      <c r="I32" s="279"/>
      <c r="J32" s="279"/>
      <c r="K32" s="279"/>
      <c r="L32" s="279"/>
    </row>
    <row r="33" spans="1:12" ht="13.2" customHeight="1" x14ac:dyDescent="0.25">
      <c r="A33" s="2">
        <v>26</v>
      </c>
      <c r="C33" s="50">
        <f>IF(' Accting USE Data Entry Form'!T36&gt;0,' Accting USE Data Entry Form'!T36,0)</f>
        <v>0.75</v>
      </c>
      <c r="D33" s="47"/>
      <c r="E33" s="163"/>
      <c r="G33" s="279" t="str">
        <f>IF(' Accting USE Data Entry Form'!B36&gt;0,' Accting USE Data Entry Form'!B36,"")</f>
        <v>PH III:  Deliver &amp; Accept  Cavities (53-56)</v>
      </c>
      <c r="H33" s="279"/>
      <c r="I33" s="279"/>
      <c r="J33" s="279"/>
      <c r="K33" s="279"/>
      <c r="L33" s="279"/>
    </row>
    <row r="34" spans="1:12" ht="13.2" customHeight="1" x14ac:dyDescent="0.25">
      <c r="A34" s="2">
        <v>27</v>
      </c>
      <c r="C34" s="50">
        <f>IF(' Accting USE Data Entry Form'!T37&gt;0,' Accting USE Data Entry Form'!T37,0)</f>
        <v>0.5</v>
      </c>
      <c r="D34" s="47"/>
      <c r="E34" s="163"/>
      <c r="G34" s="279" t="str">
        <f>IF(' Accting USE Data Entry Form'!B37&gt;0,' Accting USE Data Entry Form'!B37,"")</f>
        <v>PH III:  Deliver &amp; Accept  Cavities (57-60)</v>
      </c>
      <c r="H34" s="279"/>
      <c r="I34" s="279"/>
      <c r="J34" s="279"/>
      <c r="K34" s="279"/>
      <c r="L34" s="279"/>
    </row>
    <row r="35" spans="1:12" ht="13.2" customHeight="1" x14ac:dyDescent="0.25">
      <c r="A35" s="2">
        <v>28</v>
      </c>
      <c r="C35" s="50">
        <f>IF(' Accting USE Data Entry Form'!T38&gt;0,' Accting USE Data Entry Form'!T38,0)</f>
        <v>0.25</v>
      </c>
      <c r="D35" s="47"/>
      <c r="E35" s="163"/>
      <c r="G35" s="279" t="str">
        <f>IF(' Accting USE Data Entry Form'!B38&gt;0,' Accting USE Data Entry Form'!B38,"")</f>
        <v>PH III:  Deliver &amp; Accept  Cavities (61-64)</v>
      </c>
      <c r="H35" s="279"/>
      <c r="I35" s="279"/>
      <c r="J35" s="279"/>
      <c r="K35" s="279"/>
      <c r="L35" s="279"/>
    </row>
    <row r="36" spans="1:12" ht="13.2" customHeight="1" x14ac:dyDescent="0.25">
      <c r="A36" s="2">
        <v>29</v>
      </c>
      <c r="C36" s="50">
        <f>IF(' Accting USE Data Entry Form'!T39&gt;0,' Accting USE Data Entry Form'!T39,0)</f>
        <v>0</v>
      </c>
      <c r="D36" s="47"/>
      <c r="E36" s="163"/>
      <c r="G36" s="279" t="str">
        <f>IF(' Accting USE Data Entry Form'!B39&gt;0,' Accting USE Data Entry Form'!B39,"")</f>
        <v>PH III:  Deliver &amp; Accept  Cavities (65-68)</v>
      </c>
      <c r="H36" s="279"/>
      <c r="I36" s="279"/>
      <c r="J36" s="279"/>
      <c r="K36" s="279"/>
      <c r="L36" s="279"/>
    </row>
    <row r="37" spans="1:12" ht="13.2" customHeight="1" x14ac:dyDescent="0.25">
      <c r="A37" s="2">
        <v>30</v>
      </c>
      <c r="C37" s="50">
        <f>IF(' Accting USE Data Entry Form'!T40&gt;0,' Accting USE Data Entry Form'!T40,0)</f>
        <v>0</v>
      </c>
      <c r="D37" s="47"/>
      <c r="E37" s="163" t="str">
        <f>IF($L$4="yes","X"," ")</f>
        <v xml:space="preserve"> </v>
      </c>
      <c r="G37" s="279" t="str">
        <f>IF(' Accting USE Data Entry Form'!B40&gt;0,' Accting USE Data Entry Form'!B40,"")</f>
        <v>PH III:  Deliver &amp; Accept  Cavities (69-72)</v>
      </c>
      <c r="H37" s="279"/>
      <c r="I37" s="279"/>
      <c r="J37" s="279"/>
      <c r="K37" s="279"/>
      <c r="L37" s="279"/>
    </row>
    <row r="38" spans="1:12" ht="13.2" customHeight="1" x14ac:dyDescent="0.25">
      <c r="A38" s="2">
        <v>31</v>
      </c>
      <c r="C38" s="50">
        <f>IF(' Accting USE Data Entry Form'!T41&gt;0,' Accting USE Data Entry Form'!T41,0)</f>
        <v>0</v>
      </c>
      <c r="D38" s="47"/>
      <c r="E38" s="163"/>
      <c r="G38" s="279" t="str">
        <f>IF(' Accting USE Data Entry Form'!B41&gt;0,' Accting USE Data Entry Form'!B41,"")</f>
        <v>PH III:  Deliver &amp; Accept  Cavities (73-76)</v>
      </c>
      <c r="H38" s="279"/>
      <c r="I38" s="279"/>
      <c r="J38" s="279"/>
      <c r="K38" s="279"/>
      <c r="L38" s="279"/>
    </row>
    <row r="39" spans="1:12" ht="13.2" customHeight="1" x14ac:dyDescent="0.25">
      <c r="A39" s="2">
        <v>32</v>
      </c>
      <c r="C39" s="50">
        <f>IF(' Accting USE Data Entry Form'!T42&gt;0,' Accting USE Data Entry Form'!T42,0)</f>
        <v>0</v>
      </c>
      <c r="D39" s="47"/>
      <c r="E39" s="163"/>
      <c r="G39" s="279" t="str">
        <f>IF(' Accting USE Data Entry Form'!B42&gt;0,' Accting USE Data Entry Form'!B42,"")</f>
        <v>PH III:  Deliver &amp; Accept  Cavities (77-80)</v>
      </c>
      <c r="H39" s="279"/>
      <c r="I39" s="279"/>
      <c r="J39" s="279"/>
      <c r="K39" s="279"/>
      <c r="L39" s="279"/>
    </row>
    <row r="40" spans="1:12" ht="13.2" customHeight="1" x14ac:dyDescent="0.25">
      <c r="A40" s="2">
        <v>33</v>
      </c>
      <c r="C40" s="50">
        <f>IF(' Accting USE Data Entry Form'!T43&gt;0,' Accting USE Data Entry Form'!T43,0)</f>
        <v>0</v>
      </c>
      <c r="D40" s="47"/>
      <c r="E40" s="163"/>
      <c r="G40" s="279" t="str">
        <f>IF(' Accting USE Data Entry Form'!B43&gt;0,' Accting USE Data Entry Form'!B43,"")</f>
        <v>PH III:  Deliver &amp; Accept  Cavities (81-84)</v>
      </c>
      <c r="H40" s="279"/>
      <c r="I40" s="279"/>
      <c r="J40" s="279"/>
      <c r="K40" s="279"/>
      <c r="L40" s="279"/>
    </row>
    <row r="41" spans="1:12" ht="13.2" customHeight="1" x14ac:dyDescent="0.25">
      <c r="A41" s="2">
        <v>34</v>
      </c>
      <c r="C41" s="50">
        <f>IF(' Accting USE Data Entry Form'!T44&gt;0,' Accting USE Data Entry Form'!T44,0)</f>
        <v>0</v>
      </c>
      <c r="D41" s="47"/>
      <c r="E41" s="163"/>
      <c r="G41" s="279" t="str">
        <f>IF(' Accting USE Data Entry Form'!B44&gt;0,' Accting USE Data Entry Form'!B44,"")</f>
        <v>PH III:  Deliver &amp; Accept  Cavities (85-88)</v>
      </c>
      <c r="H41" s="279"/>
      <c r="I41" s="279"/>
      <c r="J41" s="279"/>
      <c r="K41" s="279"/>
      <c r="L41" s="279"/>
    </row>
    <row r="42" spans="1:12" ht="13.2" customHeight="1" x14ac:dyDescent="0.25">
      <c r="A42" s="2">
        <v>35</v>
      </c>
      <c r="C42" s="50">
        <f>IF(' Accting USE Data Entry Form'!T45&gt;0,' Accting USE Data Entry Form'!T45,0)</f>
        <v>0</v>
      </c>
      <c r="D42" s="47"/>
      <c r="E42" s="163"/>
      <c r="G42" s="279" t="str">
        <f>IF(' Accting USE Data Entry Form'!B45&gt;0,' Accting USE Data Entry Form'!B45,"")</f>
        <v>PH III:  Deliver &amp; Accept  Cavities (89-92)</v>
      </c>
      <c r="H42" s="279"/>
      <c r="I42" s="279"/>
      <c r="J42" s="279"/>
      <c r="K42" s="279"/>
      <c r="L42" s="279"/>
    </row>
    <row r="43" spans="1:12" ht="13.2" customHeight="1" x14ac:dyDescent="0.25">
      <c r="A43" s="2">
        <v>36</v>
      </c>
      <c r="C43" s="50">
        <f>IF(' Accting USE Data Entry Form'!T46&gt;0,' Accting USE Data Entry Form'!T46,0)</f>
        <v>0</v>
      </c>
      <c r="D43" s="47"/>
      <c r="E43" s="163"/>
      <c r="G43" s="279" t="str">
        <f>IF(' Accting USE Data Entry Form'!B46&gt;0,' Accting USE Data Entry Form'!B46,"")</f>
        <v>PH III:  Deliver &amp; Accept  Cavities (93-96)</v>
      </c>
      <c r="H43" s="279"/>
      <c r="I43" s="279"/>
      <c r="J43" s="279"/>
      <c r="K43" s="279"/>
      <c r="L43" s="279"/>
    </row>
    <row r="44" spans="1:12" ht="13.2" customHeight="1" x14ac:dyDescent="0.25">
      <c r="A44" s="2">
        <v>37</v>
      </c>
      <c r="C44" s="50">
        <f>IF(' Accting USE Data Entry Form'!T47&gt;0,' Accting USE Data Entry Form'!T47,0)</f>
        <v>0</v>
      </c>
      <c r="D44" s="47"/>
      <c r="E44" s="163"/>
      <c r="G44" s="279" t="str">
        <f>IF(' Accting USE Data Entry Form'!B47&gt;0,' Accting USE Data Entry Form'!B47,"")</f>
        <v>PH III:  Deliver &amp; Accept  Cavities (97-100)</v>
      </c>
      <c r="H44" s="279"/>
      <c r="I44" s="279"/>
      <c r="J44" s="279"/>
      <c r="K44" s="279"/>
      <c r="L44" s="279"/>
    </row>
    <row r="45" spans="1:12" ht="13.2" customHeight="1" x14ac:dyDescent="0.25">
      <c r="A45" s="2">
        <v>38</v>
      </c>
      <c r="C45" s="50">
        <f>IF(' Accting USE Data Entry Form'!T48&gt;0,' Accting USE Data Entry Form'!T48,0)</f>
        <v>0</v>
      </c>
      <c r="D45" s="47"/>
      <c r="E45" s="163"/>
      <c r="G45" s="279" t="str">
        <f>IF(' Accting USE Data Entry Form'!B48&gt;0,' Accting USE Data Entry Form'!B48,"")</f>
        <v>PH III:  Deliver &amp; Accept  Cavities (101-104)</v>
      </c>
      <c r="H45" s="279"/>
      <c r="I45" s="279"/>
      <c r="J45" s="279"/>
      <c r="K45" s="279"/>
      <c r="L45" s="279"/>
    </row>
    <row r="46" spans="1:12" ht="13.2" customHeight="1" x14ac:dyDescent="0.25">
      <c r="A46" s="2">
        <v>39</v>
      </c>
      <c r="C46" s="50">
        <f>IF(' Accting USE Data Entry Form'!T49&gt;0,' Accting USE Data Entry Form'!T49,0)</f>
        <v>0</v>
      </c>
      <c r="D46" s="47"/>
      <c r="E46" s="163"/>
      <c r="G46" s="279" t="str">
        <f>IF(' Accting USE Data Entry Form'!B49&gt;0,' Accting USE Data Entry Form'!B49,"")</f>
        <v>PH III:  Deliver &amp; Accept  Cavities (105-108)</v>
      </c>
      <c r="H46" s="279"/>
      <c r="I46" s="279"/>
      <c r="J46" s="279"/>
      <c r="K46" s="279"/>
      <c r="L46" s="279"/>
    </row>
    <row r="47" spans="1:12" ht="13.2" customHeight="1" x14ac:dyDescent="0.25">
      <c r="A47" s="54">
        <v>40</v>
      </c>
      <c r="C47" s="50">
        <f>IF(' Accting USE Data Entry Form'!T50&gt;0,' Accting USE Data Entry Form'!T50,0)</f>
        <v>0</v>
      </c>
      <c r="D47" s="47"/>
      <c r="E47" s="163"/>
      <c r="G47" s="279" t="str">
        <f>IF(' Accting USE Data Entry Form'!B50&gt;0,' Accting USE Data Entry Form'!B50,"")</f>
        <v>PH III:  Deliver &amp; Accept  Cavities (109-112)</v>
      </c>
      <c r="H47" s="279"/>
      <c r="I47" s="279"/>
      <c r="J47" s="279"/>
      <c r="K47" s="279"/>
      <c r="L47" s="279"/>
    </row>
    <row r="48" spans="1:12" ht="13.2" customHeight="1" x14ac:dyDescent="0.25">
      <c r="A48" s="54">
        <v>41</v>
      </c>
      <c r="C48" s="50">
        <f>IF(' Accting USE Data Entry Form'!T51&gt;0,' Accting USE Data Entry Form'!T51,0)</f>
        <v>0</v>
      </c>
      <c r="D48" s="47"/>
      <c r="E48" s="163"/>
      <c r="G48" s="279" t="str">
        <f>IF(' Accting USE Data Entry Form'!B51&gt;0,' Accting USE Data Entry Form'!B51,"")</f>
        <v>PH III:  Deliver &amp; Accept  Cavities (113-116)</v>
      </c>
      <c r="H48" s="279"/>
      <c r="I48" s="279"/>
      <c r="J48" s="279"/>
      <c r="K48" s="279"/>
      <c r="L48" s="279"/>
    </row>
    <row r="49" spans="1:12" ht="13.2" customHeight="1" x14ac:dyDescent="0.25">
      <c r="A49" s="54">
        <v>42</v>
      </c>
      <c r="C49" s="50">
        <f>IF(' Accting USE Data Entry Form'!T52&gt;0,' Accting USE Data Entry Form'!T52,0)</f>
        <v>0</v>
      </c>
      <c r="D49" s="47"/>
      <c r="E49" s="163"/>
      <c r="G49" s="279" t="str">
        <f>IF(' Accting USE Data Entry Form'!B52&gt;0,' Accting USE Data Entry Form'!B52,"")</f>
        <v>PH III:  Deliver &amp; Accept  Cavities (117-120)</v>
      </c>
      <c r="H49" s="279"/>
      <c r="I49" s="279"/>
      <c r="J49" s="279"/>
      <c r="K49" s="279"/>
      <c r="L49" s="279"/>
    </row>
    <row r="50" spans="1:12" ht="13.2" customHeight="1" x14ac:dyDescent="0.25">
      <c r="A50" s="54">
        <v>43</v>
      </c>
      <c r="C50" s="50">
        <f>IF(' Accting USE Data Entry Form'!T53&gt;0,' Accting USE Data Entry Form'!T53,0)</f>
        <v>0</v>
      </c>
      <c r="D50" s="47"/>
      <c r="E50" s="163"/>
      <c r="G50" s="279" t="str">
        <f>IF(' Accting USE Data Entry Form'!B53&gt;0,' Accting USE Data Entry Form'!B53,"")</f>
        <v>PH III:  Deliver &amp; Accept  Cavities (121-124)</v>
      </c>
      <c r="H50" s="279"/>
      <c r="I50" s="279"/>
      <c r="J50" s="279"/>
      <c r="K50" s="279"/>
      <c r="L50" s="279"/>
    </row>
    <row r="51" spans="1:12" ht="13.2" customHeight="1" x14ac:dyDescent="0.25">
      <c r="A51" s="55">
        <v>44</v>
      </c>
      <c r="C51" s="50">
        <f>IF(' Accting USE Data Entry Form'!T54&gt;0,' Accting USE Data Entry Form'!T54,0)</f>
        <v>0</v>
      </c>
      <c r="D51" s="47"/>
      <c r="E51" s="163" t="str">
        <f t="shared" ref="E51:E61" si="0">IF($L$4="yes","X"," ")</f>
        <v xml:space="preserve"> </v>
      </c>
      <c r="G51" s="279" t="str">
        <f>IF(' Accting USE Data Entry Form'!B54&gt;0,' Accting USE Data Entry Form'!B54,"")</f>
        <v>PH III:  Deliver &amp; Accept  Cavities (125-128)</v>
      </c>
      <c r="H51" s="279"/>
      <c r="I51" s="279"/>
      <c r="J51" s="279"/>
      <c r="K51" s="279"/>
      <c r="L51" s="279"/>
    </row>
    <row r="52" spans="1:12" x14ac:dyDescent="0.25">
      <c r="A52" s="54">
        <v>45</v>
      </c>
      <c r="C52" s="50">
        <f>IF(' Accting USE Data Entry Form'!T55&gt;0,' Accting USE Data Entry Form'!T55,0)</f>
        <v>0</v>
      </c>
      <c r="D52" s="47"/>
      <c r="E52" s="163" t="str">
        <f t="shared" si="0"/>
        <v xml:space="preserve"> </v>
      </c>
      <c r="G52" s="279" t="str">
        <f>IF(' Accting USE Data Entry Form'!B55&gt;0,' Accting USE Data Entry Form'!B55,"")</f>
        <v>PH III:  Deliver &amp; Accept  Cavities (129-133)</v>
      </c>
      <c r="H52" s="279"/>
      <c r="I52" s="279"/>
      <c r="J52" s="279"/>
      <c r="K52" s="279"/>
      <c r="L52" s="279"/>
    </row>
    <row r="53" spans="1:12" x14ac:dyDescent="0.25">
      <c r="A53" s="55">
        <v>46</v>
      </c>
      <c r="C53" s="50">
        <f>IF(' Accting USE Data Entry Form'!T56&gt;0,' Accting USE Data Entry Form'!T56,0)</f>
        <v>1</v>
      </c>
      <c r="D53" s="47"/>
      <c r="E53" s="163" t="str">
        <f t="shared" si="0"/>
        <v xml:space="preserve"> </v>
      </c>
      <c r="G53" s="279" t="str">
        <f>IF(' Accting USE Data Entry Form'!B56&gt;0,' Accting USE Data Entry Form'!B56,"")</f>
        <v>MOD 007: LCLS-II R&amp;D Cavities (4)</v>
      </c>
      <c r="H53" s="279"/>
      <c r="I53" s="279"/>
      <c r="J53" s="279"/>
      <c r="K53" s="279"/>
      <c r="L53" s="279"/>
    </row>
    <row r="54" spans="1:12" x14ac:dyDescent="0.25">
      <c r="A54" s="55">
        <v>47</v>
      </c>
      <c r="C54" s="50">
        <f>IF(' Accting USE Data Entry Form'!T57&gt;0,' Accting USE Data Entry Form'!T57,0)</f>
        <v>1</v>
      </c>
      <c r="D54" s="47"/>
      <c r="E54" s="163" t="str">
        <f t="shared" si="0"/>
        <v xml:space="preserve"> </v>
      </c>
      <c r="G54" s="279" t="str">
        <f>IF(' Accting USE Data Entry Form'!B57&gt;0,' Accting USE Data Entry Form'!B57,"")</f>
        <v>MOD 008: CTM Spare Parts</v>
      </c>
      <c r="H54" s="279"/>
      <c r="I54" s="279"/>
      <c r="J54" s="279"/>
      <c r="K54" s="279"/>
      <c r="L54" s="279"/>
    </row>
    <row r="55" spans="1:12" x14ac:dyDescent="0.25">
      <c r="A55" s="55">
        <v>48</v>
      </c>
      <c r="C55" s="50">
        <f>IF(' Accting USE Data Entry Form'!T58&gt;0,' Accting USE Data Entry Form'!T58,0)</f>
        <v>0.38938057851239671</v>
      </c>
      <c r="D55" s="47"/>
      <c r="E55" s="163" t="str">
        <f t="shared" si="0"/>
        <v xml:space="preserve"> </v>
      </c>
      <c r="G55" s="279" t="str">
        <f>IF(' Accting USE Data Entry Form'!B58&gt;0,' Accting USE Data Entry Form'!B58,"")</f>
        <v>MOD 009: Recipe Modification (21-133) ($4283.18/cavity)</v>
      </c>
      <c r="H55" s="279"/>
      <c r="I55" s="279"/>
      <c r="J55" s="279"/>
      <c r="K55" s="279"/>
      <c r="L55" s="279"/>
    </row>
    <row r="56" spans="1:12" x14ac:dyDescent="0.25">
      <c r="A56" s="55">
        <v>49</v>
      </c>
      <c r="C56" s="50">
        <f>IF(' Accting USE Data Entry Form'!T59&gt;0,' Accting USE Data Entry Form'!T59,0)</f>
        <v>0.37607058823529405</v>
      </c>
      <c r="D56" s="47"/>
      <c r="E56" s="45" t="str">
        <f t="shared" si="0"/>
        <v xml:space="preserve"> </v>
      </c>
      <c r="G56" s="279" t="str">
        <f>IF(' Accting USE Data Entry Form'!B59&gt;0,' Accting USE Data Entry Form'!B59,"")</f>
        <v xml:space="preserve">MOD 010: Niobium Caps $494.02/ea (Cavs 17-133)  </v>
      </c>
      <c r="H56" s="279"/>
      <c r="I56" s="279"/>
      <c r="J56" s="279"/>
      <c r="K56" s="279"/>
      <c r="L56" s="279"/>
    </row>
    <row r="57" spans="1:12" x14ac:dyDescent="0.25">
      <c r="A57" s="55">
        <v>50</v>
      </c>
      <c r="C57" s="50">
        <f>IF(' Accting USE Data Entry Form'!T64&gt;0,' Accting USE Data Entry Form'!T64,0)</f>
        <v>0</v>
      </c>
      <c r="D57" s="47"/>
      <c r="E57" s="45" t="str">
        <f t="shared" si="0"/>
        <v xml:space="preserve"> </v>
      </c>
      <c r="G57" s="279" t="str">
        <f>IF(' Accting USE Data Entry Form'!B60&gt;0,' Accting USE Data Entry Form'!B60,"")</f>
        <v>MOD 010: Ningxia Material Sorting</v>
      </c>
      <c r="H57" s="279"/>
      <c r="I57" s="279"/>
      <c r="J57" s="279"/>
      <c r="K57" s="279"/>
      <c r="L57" s="279"/>
    </row>
    <row r="58" spans="1:12" x14ac:dyDescent="0.25">
      <c r="A58" s="55">
        <v>51</v>
      </c>
      <c r="C58" s="50">
        <f>IF(' Accting USE Data Entry Form'!T65&gt;0,' Accting USE Data Entry Form'!T65,0)</f>
        <v>0</v>
      </c>
      <c r="D58" s="47"/>
      <c r="E58" s="45" t="str">
        <f t="shared" si="0"/>
        <v xml:space="preserve"> </v>
      </c>
      <c r="G58" s="279" t="str">
        <f>IF(' Accting USE Data Entry Form'!B61&gt;0,' Accting USE Data Entry Form'!B61,"")</f>
        <v>MOD 011: Optional Cavities 1-8</v>
      </c>
      <c r="H58" s="279"/>
      <c r="I58" s="279"/>
      <c r="J58" s="279"/>
      <c r="K58" s="279"/>
      <c r="L58" s="279"/>
    </row>
    <row r="59" spans="1:12" hidden="1" x14ac:dyDescent="0.25">
      <c r="A59" s="55">
        <v>52</v>
      </c>
      <c r="C59" s="50">
        <f>IF(' Accting USE Data Entry Form'!T66&gt;0,' Accting USE Data Entry Form'!T66,0)</f>
        <v>0</v>
      </c>
      <c r="D59" s="47"/>
      <c r="E59" s="45" t="str">
        <f t="shared" si="0"/>
        <v xml:space="preserve"> </v>
      </c>
      <c r="G59" s="279" t="str">
        <f>IF(' Accting USE Data Entry Form'!B62&gt;0,' Accting USE Data Entry Form'!B62,"")</f>
        <v/>
      </c>
      <c r="H59" s="279"/>
      <c r="I59" s="279"/>
      <c r="J59" s="279"/>
      <c r="K59" s="279"/>
      <c r="L59" s="279"/>
    </row>
    <row r="60" spans="1:12" hidden="1" x14ac:dyDescent="0.25">
      <c r="A60" s="55">
        <v>53</v>
      </c>
      <c r="C60" s="50">
        <f>IF(' Accting USE Data Entry Form'!T67&gt;0,' Accting USE Data Entry Form'!T67,0)</f>
        <v>0</v>
      </c>
      <c r="D60" s="47"/>
      <c r="E60" s="45" t="str">
        <f t="shared" si="0"/>
        <v xml:space="preserve"> </v>
      </c>
      <c r="G60" s="279" t="str">
        <f>IF(' Accting USE Data Entry Form'!B63&gt;0,' Accting USE Data Entry Form'!B63,"")</f>
        <v/>
      </c>
      <c r="H60" s="279"/>
      <c r="I60" s="279"/>
      <c r="J60" s="279"/>
      <c r="K60" s="279"/>
      <c r="L60" s="279"/>
    </row>
    <row r="61" spans="1:12" hidden="1" x14ac:dyDescent="0.25">
      <c r="A61" s="55">
        <v>54</v>
      </c>
      <c r="C61" s="50">
        <f>IF(' Accting USE Data Entry Form'!T68&gt;0,' Accting USE Data Entry Form'!T68,0)</f>
        <v>0</v>
      </c>
      <c r="D61" s="47"/>
      <c r="E61" s="45" t="str">
        <f t="shared" si="0"/>
        <v xml:space="preserve"> </v>
      </c>
      <c r="G61" s="279" t="str">
        <f>IF(' Accting USE Data Entry Form'!B64&gt;0,' Accting USE Data Entry Form'!B64,"")</f>
        <v/>
      </c>
      <c r="H61" s="279"/>
      <c r="I61" s="279"/>
      <c r="J61" s="279"/>
      <c r="K61" s="279"/>
      <c r="L61" s="279"/>
    </row>
    <row r="62" spans="1:12" hidden="1" x14ac:dyDescent="0.25">
      <c r="A62" s="55">
        <v>55</v>
      </c>
      <c r="C62" s="50">
        <f>IF(' Accting USE Data Entry Form'!T69&gt;0,' Accting USE Data Entry Form'!T69,0)</f>
        <v>0</v>
      </c>
      <c r="D62" s="47"/>
      <c r="E62" s="45"/>
      <c r="G62" s="279" t="str">
        <f>IF(' Accting USE Data Entry Form'!B65&gt;0,' Accting USE Data Entry Form'!B65,"")</f>
        <v/>
      </c>
      <c r="H62" s="279"/>
      <c r="I62" s="279"/>
      <c r="J62" s="279"/>
      <c r="K62" s="279"/>
      <c r="L62" s="279"/>
    </row>
    <row r="63" spans="1:12" hidden="1" x14ac:dyDescent="0.25">
      <c r="A63" s="55">
        <v>56</v>
      </c>
      <c r="C63" s="50">
        <f>IF(' Accting USE Data Entry Form'!T70&gt;0,' Accting USE Data Entry Form'!T70,0)</f>
        <v>0</v>
      </c>
      <c r="D63" s="47"/>
      <c r="E63" s="45"/>
      <c r="G63" s="279" t="str">
        <f>IF(' Accting USE Data Entry Form'!B66&gt;0,' Accting USE Data Entry Form'!B66,"")</f>
        <v/>
      </c>
      <c r="H63" s="279"/>
      <c r="I63" s="279"/>
      <c r="J63" s="279"/>
      <c r="K63" s="279"/>
      <c r="L63" s="279"/>
    </row>
    <row r="64" spans="1:12" hidden="1" x14ac:dyDescent="0.25">
      <c r="A64" s="55">
        <v>57</v>
      </c>
      <c r="C64" s="50">
        <f>IF(' Accting USE Data Entry Form'!T71&gt;0,' Accting USE Data Entry Form'!T71,0)</f>
        <v>0</v>
      </c>
      <c r="D64" s="47"/>
      <c r="E64" s="45"/>
      <c r="G64" s="279" t="str">
        <f>IF(' Accting USE Data Entry Form'!B67&gt;0,' Accting USE Data Entry Form'!B67,"")</f>
        <v/>
      </c>
      <c r="H64" s="279"/>
      <c r="I64" s="279"/>
      <c r="J64" s="279"/>
      <c r="K64" s="279"/>
      <c r="L64" s="279"/>
    </row>
    <row r="65" spans="1:12" hidden="1" x14ac:dyDescent="0.25">
      <c r="A65" s="55">
        <v>58</v>
      </c>
      <c r="C65" s="50">
        <f>IF(' Accting USE Data Entry Form'!T72&gt;0,' Accting USE Data Entry Form'!T72,0)</f>
        <v>0</v>
      </c>
      <c r="D65" s="47"/>
      <c r="E65" s="45"/>
      <c r="G65" s="279" t="str">
        <f>IF(' Accting USE Data Entry Form'!B68&gt;0,' Accting USE Data Entry Form'!B68,"")</f>
        <v/>
      </c>
      <c r="H65" s="279"/>
      <c r="I65" s="279"/>
      <c r="J65" s="279"/>
      <c r="K65" s="279"/>
      <c r="L65" s="279"/>
    </row>
    <row r="66" spans="1:12" hidden="1" x14ac:dyDescent="0.25">
      <c r="A66" s="55">
        <v>59</v>
      </c>
      <c r="C66" s="50">
        <f>IF(' Accting USE Data Entry Form'!T73&gt;0,' Accting USE Data Entry Form'!T73,0)</f>
        <v>0</v>
      </c>
      <c r="D66" s="47"/>
      <c r="E66" s="45"/>
      <c r="G66" s="279" t="str">
        <f>IF(' Accting USE Data Entry Form'!B69&gt;0,' Accting USE Data Entry Form'!B69,"")</f>
        <v/>
      </c>
      <c r="H66" s="279"/>
      <c r="I66" s="279"/>
      <c r="J66" s="279"/>
      <c r="K66" s="279"/>
      <c r="L66" s="279"/>
    </row>
    <row r="67" spans="1:12" hidden="1" x14ac:dyDescent="0.25">
      <c r="A67" s="55">
        <v>60</v>
      </c>
      <c r="C67" s="50">
        <f>IF(' Accting USE Data Entry Form'!T74&gt;0,' Accting USE Data Entry Form'!T74,0)</f>
        <v>0</v>
      </c>
      <c r="D67" s="47"/>
      <c r="E67" s="45" t="str">
        <f>IF($L$4="yes","X"," ")</f>
        <v xml:space="preserve"> </v>
      </c>
      <c r="G67" s="279" t="str">
        <f>IF(' Accting USE Data Entry Form'!B70&gt;0,' Accting USE Data Entry Form'!B70,"")</f>
        <v/>
      </c>
      <c r="H67" s="279"/>
      <c r="I67" s="279"/>
      <c r="J67" s="279"/>
      <c r="K67" s="279"/>
      <c r="L67" s="279"/>
    </row>
    <row r="68" spans="1:12" ht="20.25" customHeight="1" x14ac:dyDescent="0.25">
      <c r="A68" s="4" t="s">
        <v>30</v>
      </c>
      <c r="C68" s="41"/>
      <c r="D68" s="6"/>
      <c r="E68" s="41"/>
      <c r="F68" s="6"/>
      <c r="G68" s="6"/>
      <c r="H68" s="1"/>
      <c r="I68" s="1"/>
      <c r="J68" s="17"/>
      <c r="K68" s="1"/>
      <c r="L68" s="1"/>
    </row>
    <row r="69" spans="1:12" ht="23.25" customHeight="1" x14ac:dyDescent="0.25">
      <c r="F69" s="285" t="s">
        <v>31</v>
      </c>
      <c r="G69" s="286"/>
      <c r="H69" s="286"/>
      <c r="I69" s="286"/>
      <c r="J69" s="286"/>
      <c r="K69" s="15"/>
      <c r="L69" s="15" t="s">
        <v>3</v>
      </c>
    </row>
    <row r="70" spans="1:12" x14ac:dyDescent="0.25">
      <c r="A70" s="4" t="s">
        <v>29</v>
      </c>
      <c r="F70" s="6"/>
      <c r="G70" s="6"/>
      <c r="H70" s="282" t="s">
        <v>55</v>
      </c>
      <c r="I70" s="283"/>
      <c r="J70" s="283"/>
      <c r="K70" s="1"/>
      <c r="L70" s="51">
        <f>K5</f>
        <v>42794</v>
      </c>
    </row>
    <row r="71" spans="1:12" ht="23.25" customHeight="1" x14ac:dyDescent="0.25">
      <c r="F71" s="6"/>
      <c r="G71" s="6"/>
      <c r="H71" s="6"/>
      <c r="I71" s="6"/>
      <c r="J71" s="16" t="s">
        <v>32</v>
      </c>
      <c r="K71" s="15"/>
      <c r="L71" s="15" t="s">
        <v>3</v>
      </c>
    </row>
    <row r="72" spans="1:12" ht="15.75" customHeight="1" x14ac:dyDescent="0.25">
      <c r="A72" s="4"/>
      <c r="F72" s="6"/>
      <c r="G72" s="6"/>
      <c r="H72" s="6"/>
      <c r="I72" s="6"/>
      <c r="J72" s="16"/>
      <c r="K72" s="15"/>
      <c r="L72" s="15"/>
    </row>
    <row r="73" spans="1:12" ht="23.25" customHeight="1" x14ac:dyDescent="0.25">
      <c r="F73" s="6"/>
      <c r="G73" s="6"/>
      <c r="H73" s="6"/>
      <c r="I73" s="6"/>
      <c r="J73" s="16"/>
      <c r="K73" s="15"/>
    </row>
    <row r="74" spans="1:12" ht="15.75" customHeight="1" x14ac:dyDescent="0.25">
      <c r="A74" s="28" t="s">
        <v>25</v>
      </c>
      <c r="B74" s="28"/>
      <c r="C74" s="42"/>
      <c r="D74" s="28"/>
      <c r="E74" s="42"/>
      <c r="F74" s="29"/>
      <c r="G74" s="29"/>
      <c r="H74" s="29"/>
      <c r="I74" s="29"/>
      <c r="J74" s="30"/>
      <c r="K74" s="31"/>
      <c r="L74" s="28"/>
    </row>
    <row r="75" spans="1:12" ht="27.75" customHeight="1" x14ac:dyDescent="0.25">
      <c r="A75" s="19"/>
      <c r="B75" s="19"/>
      <c r="C75" s="43"/>
      <c r="D75" s="19"/>
      <c r="E75" s="43"/>
      <c r="F75" s="20"/>
      <c r="G75" s="20"/>
      <c r="H75" s="20"/>
      <c r="I75" s="20"/>
      <c r="J75" s="21"/>
      <c r="K75" s="22"/>
      <c r="L75" s="19"/>
    </row>
    <row r="76" spans="1:12" x14ac:dyDescent="0.25">
      <c r="A76" s="24" t="s">
        <v>23</v>
      </c>
      <c r="B76" s="19"/>
      <c r="C76" s="43"/>
      <c r="D76" s="19"/>
      <c r="E76" s="43"/>
      <c r="F76" s="20"/>
      <c r="G76" s="20"/>
      <c r="H76" s="20"/>
      <c r="I76" s="25"/>
      <c r="J76" s="26"/>
      <c r="K76" s="25"/>
      <c r="L76" s="25"/>
    </row>
    <row r="77" spans="1:12" ht="23.25" customHeight="1" x14ac:dyDescent="0.25">
      <c r="A77" s="19"/>
      <c r="B77" s="19"/>
      <c r="C77" s="43"/>
      <c r="D77" s="19"/>
      <c r="E77" s="43"/>
      <c r="F77" s="20"/>
      <c r="G77" s="20"/>
      <c r="H77" s="20"/>
      <c r="I77" s="20"/>
      <c r="J77" s="21"/>
      <c r="K77" s="22" t="s">
        <v>3</v>
      </c>
      <c r="L77" s="19"/>
    </row>
    <row r="78" spans="1:12" x14ac:dyDescent="0.25">
      <c r="A78" s="24" t="s">
        <v>22</v>
      </c>
      <c r="B78" s="19"/>
      <c r="C78" s="43"/>
      <c r="D78" s="19"/>
      <c r="E78" s="43"/>
      <c r="F78" s="20"/>
      <c r="G78" s="27"/>
      <c r="H78" s="25"/>
      <c r="I78" s="25"/>
      <c r="J78" s="26"/>
      <c r="K78" s="25"/>
      <c r="L78" s="25"/>
    </row>
    <row r="79" spans="1:12" ht="16.5" customHeight="1" x14ac:dyDescent="0.25">
      <c r="A79" s="19"/>
      <c r="B79" s="19"/>
      <c r="C79" s="43"/>
      <c r="D79" s="19"/>
      <c r="E79" s="43"/>
      <c r="F79" s="19"/>
      <c r="G79" s="19"/>
      <c r="H79" s="19"/>
      <c r="I79" s="19"/>
      <c r="J79" s="22"/>
      <c r="K79" s="22" t="s">
        <v>3</v>
      </c>
      <c r="L79" s="19"/>
    </row>
    <row r="80" spans="1:12" x14ac:dyDescent="0.25">
      <c r="A80" s="19"/>
      <c r="B80" s="19"/>
      <c r="C80" s="43"/>
      <c r="D80" s="19"/>
      <c r="E80" s="43"/>
      <c r="F80" s="19"/>
      <c r="G80" s="19"/>
      <c r="H80" s="19"/>
      <c r="I80" s="19"/>
      <c r="J80" s="19"/>
      <c r="K80" s="19"/>
      <c r="L80" s="19"/>
    </row>
  </sheetData>
  <sheetProtection selectLockedCells="1"/>
  <mergeCells count="69">
    <mergeCell ref="A1:L1"/>
    <mergeCell ref="A2:L2"/>
    <mergeCell ref="A3:L3"/>
    <mergeCell ref="F69:J69"/>
    <mergeCell ref="G8:L8"/>
    <mergeCell ref="G9:L9"/>
    <mergeCell ref="G10:L10"/>
    <mergeCell ref="G37:L37"/>
    <mergeCell ref="G52:L52"/>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40:L40"/>
    <mergeCell ref="G41:L41"/>
    <mergeCell ref="G32:L32"/>
    <mergeCell ref="G33:L33"/>
    <mergeCell ref="G34:L34"/>
    <mergeCell ref="G35:L35"/>
    <mergeCell ref="G36:L36"/>
    <mergeCell ref="A4:B4"/>
    <mergeCell ref="C4:H4"/>
    <mergeCell ref="G50:L50"/>
    <mergeCell ref="H70:J70"/>
    <mergeCell ref="G42:L42"/>
    <mergeCell ref="G43:L43"/>
    <mergeCell ref="G44:L44"/>
    <mergeCell ref="G45:L45"/>
    <mergeCell ref="G46:L46"/>
    <mergeCell ref="G47:L47"/>
    <mergeCell ref="G48:L48"/>
    <mergeCell ref="G49:L49"/>
    <mergeCell ref="G51:L51"/>
    <mergeCell ref="G56:L56"/>
    <mergeCell ref="G57:L57"/>
    <mergeCell ref="G58:L58"/>
    <mergeCell ref="K5:L5"/>
    <mergeCell ref="C5:E5"/>
    <mergeCell ref="G61:L61"/>
    <mergeCell ref="G67:L67"/>
    <mergeCell ref="G53:L53"/>
    <mergeCell ref="G54:L54"/>
    <mergeCell ref="G55:L55"/>
    <mergeCell ref="G62:L62"/>
    <mergeCell ref="G63:L63"/>
    <mergeCell ref="G64:L64"/>
    <mergeCell ref="G65:L65"/>
    <mergeCell ref="G66:L66"/>
    <mergeCell ref="G59:L59"/>
    <mergeCell ref="G60:L60"/>
    <mergeCell ref="G38:L38"/>
    <mergeCell ref="G39:L39"/>
  </mergeCells>
  <phoneticPr fontId="6" type="noConversion"/>
  <conditionalFormatting sqref="E8:E50 E52:E67">
    <cfRule type="expression" dxfId="72" priority="5">
      <formula>$L$4="no"</formula>
    </cfRule>
  </conditionalFormatting>
  <conditionalFormatting sqref="C8:C67">
    <cfRule type="expression" dxfId="71" priority="3">
      <formula>$L$4="yes"</formula>
    </cfRule>
  </conditionalFormatting>
  <conditionalFormatting sqref="E51">
    <cfRule type="expression" dxfId="70" priority="1">
      <formula>$L$4="no"</formula>
    </cfRule>
  </conditionalFormatting>
  <dataValidations count="1">
    <dataValidation allowBlank="1" sqref="C8:C67"/>
  </dataValidations>
  <printOptions horizontalCentered="1"/>
  <pageMargins left="0.5" right="0.5" top="0.5" bottom="0.5" header="0.5" footer="0.5"/>
  <pageSetup scale="91" orientation="portrait" r:id="rId1"/>
  <headerFooter alignWithMargins="0">
    <oddFooter>&amp;L&amp;8&amp;Z&amp;F</oddFooter>
  </headerFooter>
  <ignoredErrors>
    <ignoredError sqref="C8:C53 G8:L53 C4:C5 H5 K5 L70 C54:C5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287"/>
      <c r="B1" s="287"/>
      <c r="C1" s="287"/>
      <c r="D1" s="287"/>
      <c r="E1" s="287"/>
      <c r="F1" s="287"/>
      <c r="G1" s="287"/>
      <c r="H1" s="287"/>
    </row>
    <row r="2" spans="1:11" ht="15.6" x14ac:dyDescent="0.3">
      <c r="A2" s="288" t="s">
        <v>4</v>
      </c>
      <c r="B2" s="288"/>
      <c r="C2" s="288"/>
      <c r="D2" s="288"/>
      <c r="E2" s="288"/>
      <c r="F2" s="288"/>
      <c r="G2" s="288"/>
      <c r="H2" s="288"/>
      <c r="I2" s="288"/>
      <c r="J2" s="288"/>
    </row>
    <row r="3" spans="1:11" ht="15.6" x14ac:dyDescent="0.3">
      <c r="A3" s="288" t="s">
        <v>34</v>
      </c>
      <c r="B3" s="288"/>
      <c r="C3" s="288"/>
      <c r="D3" s="288"/>
      <c r="E3" s="288"/>
      <c r="F3" s="288"/>
      <c r="G3" s="288"/>
      <c r="H3" s="288"/>
      <c r="I3" s="288"/>
      <c r="J3" s="288"/>
    </row>
    <row r="4" spans="1:11" ht="15.6" x14ac:dyDescent="0.3">
      <c r="A4" s="288" t="s">
        <v>44</v>
      </c>
      <c r="B4" s="288"/>
      <c r="C4" s="288"/>
      <c r="D4" s="288"/>
      <c r="E4" s="288"/>
      <c r="F4" s="288"/>
      <c r="G4" s="288"/>
      <c r="H4" s="288"/>
      <c r="I4" s="288"/>
      <c r="J4" s="288"/>
    </row>
    <row r="6" spans="1:11" ht="30.75" customHeight="1" x14ac:dyDescent="0.25">
      <c r="A6" s="289" t="s">
        <v>37</v>
      </c>
      <c r="B6" s="290"/>
      <c r="C6" s="290"/>
      <c r="D6" s="290"/>
      <c r="E6" s="290"/>
      <c r="F6" s="290"/>
      <c r="G6" s="290"/>
      <c r="H6" s="290"/>
      <c r="I6" s="290"/>
      <c r="J6" s="290"/>
    </row>
    <row r="7" spans="1:11" ht="19.5" customHeight="1" x14ac:dyDescent="0.25"/>
    <row r="8" spans="1:11" ht="16.5" customHeight="1" x14ac:dyDescent="0.25">
      <c r="A8" s="34" t="s">
        <v>35</v>
      </c>
      <c r="B8" s="33"/>
      <c r="C8" s="33"/>
      <c r="D8" s="33"/>
      <c r="E8" s="33"/>
      <c r="F8" s="33"/>
      <c r="G8" s="33"/>
      <c r="H8" s="33"/>
    </row>
    <row r="9" spans="1:11" ht="19.5" customHeight="1" x14ac:dyDescent="0.25"/>
    <row r="10" spans="1:11" ht="30.75" customHeight="1" x14ac:dyDescent="0.25">
      <c r="A10" s="289" t="s">
        <v>36</v>
      </c>
      <c r="B10" s="290"/>
      <c r="C10" s="290"/>
      <c r="D10" s="290"/>
      <c r="E10" s="290"/>
      <c r="F10" s="290"/>
      <c r="G10" s="290"/>
      <c r="H10" s="290"/>
      <c r="I10" s="290"/>
      <c r="J10" s="290"/>
    </row>
    <row r="11" spans="1:11" ht="65.25" customHeight="1" x14ac:dyDescent="0.25">
      <c r="B11" s="289" t="s">
        <v>46</v>
      </c>
      <c r="C11" s="290"/>
      <c r="D11" s="290"/>
      <c r="E11" s="290"/>
      <c r="F11" s="290"/>
      <c r="G11" s="290"/>
      <c r="H11" s="290"/>
      <c r="I11" s="290"/>
      <c r="J11" s="36"/>
      <c r="K11" s="36"/>
    </row>
    <row r="12" spans="1:11" ht="19.5" customHeight="1" x14ac:dyDescent="0.25">
      <c r="A12" s="3"/>
      <c r="B12" s="3"/>
      <c r="C12" s="3"/>
      <c r="D12" s="3"/>
      <c r="E12" s="3"/>
      <c r="F12" s="3"/>
      <c r="G12" s="3"/>
      <c r="H12" s="3"/>
    </row>
    <row r="13" spans="1:11" ht="43.5" customHeight="1" x14ac:dyDescent="0.25">
      <c r="A13" s="289" t="s">
        <v>43</v>
      </c>
      <c r="B13" s="289"/>
      <c r="C13" s="289"/>
      <c r="D13" s="289"/>
      <c r="E13" s="289"/>
      <c r="F13" s="289"/>
      <c r="G13" s="289"/>
      <c r="H13" s="289"/>
      <c r="I13" s="289"/>
      <c r="J13" s="289"/>
    </row>
    <row r="14" spans="1:11" ht="19.5" customHeight="1" x14ac:dyDescent="0.25">
      <c r="A14" s="3"/>
      <c r="B14" s="3"/>
      <c r="C14" s="3"/>
      <c r="D14" s="3"/>
      <c r="E14" s="3"/>
      <c r="F14" s="3"/>
      <c r="G14" s="3"/>
      <c r="H14" s="3"/>
    </row>
    <row r="15" spans="1:11" ht="54.75" customHeight="1" x14ac:dyDescent="0.25">
      <c r="A15" s="289" t="s">
        <v>38</v>
      </c>
      <c r="B15" s="292"/>
      <c r="C15" s="292"/>
      <c r="D15" s="292"/>
      <c r="E15" s="292"/>
      <c r="F15" s="292"/>
      <c r="G15" s="292"/>
      <c r="H15" s="292"/>
      <c r="I15" s="292"/>
      <c r="J15" s="292"/>
    </row>
    <row r="16" spans="1:11" ht="19.5" customHeight="1" x14ac:dyDescent="0.25"/>
    <row r="17" spans="1:10" ht="39" customHeight="1" x14ac:dyDescent="0.25">
      <c r="A17" s="291" t="s">
        <v>39</v>
      </c>
      <c r="B17" s="293"/>
      <c r="C17" s="293"/>
      <c r="D17" s="293"/>
      <c r="E17" s="293"/>
      <c r="F17" s="293"/>
      <c r="G17" s="293"/>
      <c r="H17" s="293"/>
      <c r="I17" s="293"/>
      <c r="J17" s="293"/>
    </row>
    <row r="18" spans="1:10" ht="19.5" customHeight="1" x14ac:dyDescent="0.25"/>
    <row r="19" spans="1:10" ht="56.25" customHeight="1" x14ac:dyDescent="0.25">
      <c r="A19" s="291" t="s">
        <v>40</v>
      </c>
      <c r="B19" s="293"/>
      <c r="C19" s="293"/>
      <c r="D19" s="293"/>
      <c r="E19" s="293"/>
      <c r="F19" s="293"/>
      <c r="G19" s="293"/>
      <c r="H19" s="293"/>
      <c r="I19" s="293"/>
      <c r="J19" s="293"/>
    </row>
    <row r="20" spans="1:10" ht="20.25" customHeight="1" x14ac:dyDescent="0.25"/>
    <row r="21" spans="1:10" ht="27.75" customHeight="1" x14ac:dyDescent="0.25">
      <c r="A21" s="291" t="s">
        <v>20</v>
      </c>
      <c r="B21" s="291"/>
      <c r="C21" s="291"/>
      <c r="D21" s="291"/>
      <c r="E21" s="291"/>
      <c r="F21" s="291"/>
      <c r="G21" s="291"/>
      <c r="H21" s="291"/>
      <c r="I21" s="291"/>
      <c r="J21" s="291"/>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AH68"/>
  <sheetViews>
    <sheetView showGridLines="0" zoomScale="85" zoomScaleNormal="85" workbookViewId="0">
      <pane xSplit="2" ySplit="10" topLeftCell="D53" activePane="bottomRight" state="frozen"/>
      <selection activeCell="O5" sqref="O5"/>
      <selection pane="topRight" activeCell="O5" sqref="O5"/>
      <selection pane="bottomLeft" activeCell="O5" sqref="O5"/>
      <selection pane="bottomRight" activeCell="T36" sqref="T36"/>
    </sheetView>
  </sheetViews>
  <sheetFormatPr defaultColWidth="29.5546875" defaultRowHeight="13.2" outlineLevelCol="1" x14ac:dyDescent="0.25"/>
  <cols>
    <col min="1" max="1" width="5.109375" style="67" customWidth="1"/>
    <col min="2" max="2" width="52" style="56" customWidth="1"/>
    <col min="3" max="3" width="52" style="56" hidden="1" customWidth="1"/>
    <col min="4" max="4" width="15.77734375" style="56" customWidth="1"/>
    <col min="5" max="5" width="12.21875" style="56" customWidth="1"/>
    <col min="6" max="6" width="12.5546875" style="56" hidden="1" customWidth="1"/>
    <col min="7" max="7" width="15.44140625" style="56" hidden="1" customWidth="1"/>
    <col min="8" max="8" width="12.5546875" style="56" hidden="1" customWidth="1"/>
    <col min="9" max="9" width="12.5546875" style="218" customWidth="1" collapsed="1"/>
    <col min="10" max="17" width="12.5546875" style="56" hidden="1" customWidth="1" outlineLevel="1"/>
    <col min="18" max="18" width="13" style="122" hidden="1" customWidth="1" outlineLevel="1"/>
    <col min="19" max="19" width="12.5546875" style="56" customWidth="1"/>
    <col min="20" max="20" width="11.21875" style="62" customWidth="1"/>
    <col min="21" max="21" width="4.109375" style="56" customWidth="1"/>
    <col min="22" max="22" width="14.88671875" style="56" customWidth="1"/>
    <col min="23" max="23" width="3.88671875" style="62" customWidth="1"/>
    <col min="24" max="24" width="13.6640625" style="59" customWidth="1"/>
    <col min="25" max="25" width="3.88671875" style="62" customWidth="1"/>
    <col min="26" max="26" width="12.88671875" style="56" customWidth="1"/>
    <col min="27" max="27" width="2.44140625" style="56" customWidth="1"/>
    <col min="28" max="28" width="12.88671875" style="59" customWidth="1"/>
    <col min="29" max="29" width="2.44140625" style="56" customWidth="1"/>
    <col min="30" max="30" width="14.44140625" style="59" customWidth="1"/>
    <col min="31" max="31" width="5" style="56" customWidth="1"/>
    <col min="32" max="32" width="18.77734375" style="59" customWidth="1"/>
    <col min="33" max="16384" width="29.5546875" style="56"/>
  </cols>
  <sheetData>
    <row r="1" spans="1:34" ht="15.6" x14ac:dyDescent="0.3">
      <c r="A1" s="288" t="s">
        <v>4</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row>
    <row r="2" spans="1:34" x14ac:dyDescent="0.25">
      <c r="A2" s="287" t="s">
        <v>9</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row>
    <row r="3" spans="1:34" x14ac:dyDescent="0.25">
      <c r="A3" s="287" t="s">
        <v>19</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row>
    <row r="4" spans="1:34" x14ac:dyDescent="0.25">
      <c r="I4" s="56"/>
    </row>
    <row r="5" spans="1:34" ht="15" customHeight="1" x14ac:dyDescent="0.25">
      <c r="A5" s="61"/>
      <c r="B5" s="60" t="s">
        <v>0</v>
      </c>
      <c r="C5" s="215"/>
      <c r="D5" s="120"/>
      <c r="E5" s="120"/>
      <c r="F5" s="134"/>
      <c r="G5" s="134"/>
      <c r="H5" s="134"/>
      <c r="I5" s="134"/>
      <c r="J5" s="134"/>
      <c r="K5" s="134"/>
      <c r="L5" s="134"/>
      <c r="M5" s="134"/>
      <c r="N5" s="134"/>
      <c r="O5" s="134"/>
      <c r="P5" s="134"/>
      <c r="Q5" s="134"/>
      <c r="R5" s="120"/>
      <c r="S5" s="59"/>
      <c r="T5" s="281" t="s">
        <v>56</v>
      </c>
      <c r="U5" s="281"/>
      <c r="V5" s="281"/>
      <c r="W5" s="281"/>
      <c r="X5" s="281"/>
      <c r="Y5" s="281"/>
      <c r="Z5" s="64"/>
      <c r="AA5" s="64" t="s">
        <v>26</v>
      </c>
      <c r="AD5" s="98">
        <v>42794</v>
      </c>
    </row>
    <row r="6" spans="1:34" x14ac:dyDescent="0.25">
      <c r="A6" s="63"/>
      <c r="B6" s="59"/>
      <c r="C6" s="214"/>
      <c r="D6" s="121"/>
      <c r="E6" s="121"/>
      <c r="F6" s="135"/>
      <c r="G6" s="135"/>
      <c r="H6" s="135"/>
      <c r="I6" s="135"/>
      <c r="J6" s="135"/>
      <c r="K6" s="135"/>
      <c r="L6" s="135"/>
      <c r="M6" s="135"/>
      <c r="N6" s="135"/>
      <c r="O6" s="135"/>
      <c r="P6" s="135"/>
      <c r="Q6" s="135"/>
      <c r="R6" s="66"/>
      <c r="S6" s="59"/>
      <c r="X6" s="65"/>
      <c r="AA6" s="64"/>
      <c r="AD6" s="66" t="s">
        <v>6</v>
      </c>
    </row>
    <row r="7" spans="1:34" ht="13.2" customHeight="1" x14ac:dyDescent="0.25">
      <c r="A7" s="59"/>
      <c r="B7" s="57" t="s">
        <v>2</v>
      </c>
      <c r="C7" s="57"/>
      <c r="D7" s="57"/>
      <c r="E7" s="57"/>
      <c r="F7" s="57"/>
      <c r="G7" s="57"/>
      <c r="H7" s="57"/>
      <c r="I7" s="57"/>
      <c r="J7" s="57"/>
      <c r="K7" s="57"/>
      <c r="L7" s="57"/>
      <c r="M7" s="57"/>
      <c r="N7" s="57"/>
      <c r="O7" s="57"/>
      <c r="P7" s="57"/>
      <c r="Q7" s="57"/>
      <c r="R7" s="57"/>
      <c r="S7" s="59"/>
      <c r="T7" s="295" t="s">
        <v>50</v>
      </c>
      <c r="U7" s="295"/>
      <c r="V7" s="295"/>
      <c r="W7" s="295"/>
      <c r="AA7" s="64"/>
      <c r="AB7" s="49" t="s">
        <v>16</v>
      </c>
      <c r="AD7" s="65"/>
    </row>
    <row r="8" spans="1:34" x14ac:dyDescent="0.25">
      <c r="B8" s="58" t="s">
        <v>41</v>
      </c>
      <c r="C8" s="58"/>
      <c r="D8" s="58"/>
      <c r="E8" s="58"/>
      <c r="F8" s="58"/>
      <c r="G8" s="58"/>
      <c r="H8" s="58"/>
      <c r="I8" s="58"/>
      <c r="J8" s="58"/>
      <c r="K8" s="58"/>
      <c r="L8" s="58"/>
      <c r="M8" s="58"/>
      <c r="N8" s="58"/>
      <c r="O8" s="58"/>
      <c r="P8" s="58"/>
      <c r="Q8" s="58"/>
      <c r="R8" s="58"/>
      <c r="S8" s="64"/>
      <c r="T8" s="296" t="s">
        <v>57</v>
      </c>
      <c r="U8" s="296"/>
      <c r="V8" s="296"/>
      <c r="W8" s="68"/>
      <c r="AA8" s="64" t="s">
        <v>17</v>
      </c>
      <c r="AD8" s="69"/>
    </row>
    <row r="9" spans="1:34" x14ac:dyDescent="0.25">
      <c r="B9" s="58"/>
      <c r="C9" s="58"/>
      <c r="D9" s="58"/>
      <c r="E9" s="58"/>
      <c r="F9" s="172">
        <v>42675</v>
      </c>
      <c r="G9" s="173">
        <v>42705</v>
      </c>
      <c r="H9" s="173">
        <v>42736</v>
      </c>
      <c r="I9" s="173">
        <v>42767</v>
      </c>
      <c r="J9" s="173">
        <v>42795</v>
      </c>
      <c r="K9" s="173">
        <v>42826</v>
      </c>
      <c r="L9" s="173">
        <v>42856</v>
      </c>
      <c r="M9" s="173">
        <v>42887</v>
      </c>
      <c r="N9" s="173">
        <v>42917</v>
      </c>
      <c r="O9" s="173">
        <v>42948</v>
      </c>
      <c r="P9" s="173">
        <v>42979</v>
      </c>
      <c r="Q9" s="173">
        <v>43009</v>
      </c>
      <c r="R9" s="173">
        <v>43040</v>
      </c>
      <c r="S9" s="64"/>
      <c r="T9" s="129"/>
      <c r="U9" s="129"/>
      <c r="V9" s="129"/>
      <c r="W9" s="68"/>
      <c r="X9" s="111"/>
      <c r="Y9" s="112"/>
      <c r="AA9" s="64"/>
      <c r="AB9" s="111"/>
      <c r="AD9" s="69"/>
      <c r="AF9" s="111"/>
    </row>
    <row r="10" spans="1:34" s="82" customFormat="1" ht="44.4" customHeight="1" x14ac:dyDescent="0.25">
      <c r="A10" s="152" t="s">
        <v>1</v>
      </c>
      <c r="B10" s="152" t="s">
        <v>48</v>
      </c>
      <c r="C10" s="152"/>
      <c r="D10" s="152" t="s">
        <v>24</v>
      </c>
      <c r="E10" s="152" t="s">
        <v>397</v>
      </c>
      <c r="F10" s="156" t="s">
        <v>396</v>
      </c>
      <c r="G10" s="156" t="s">
        <v>400</v>
      </c>
      <c r="H10" s="156" t="s">
        <v>401</v>
      </c>
      <c r="I10" s="156" t="s">
        <v>402</v>
      </c>
      <c r="J10" s="156" t="s">
        <v>403</v>
      </c>
      <c r="K10" s="156" t="s">
        <v>404</v>
      </c>
      <c r="L10" s="156" t="s">
        <v>405</v>
      </c>
      <c r="M10" s="156" t="s">
        <v>406</v>
      </c>
      <c r="N10" s="156" t="s">
        <v>407</v>
      </c>
      <c r="O10" s="156" t="s">
        <v>408</v>
      </c>
      <c r="P10" s="156" t="s">
        <v>409</v>
      </c>
      <c r="Q10" s="156" t="s">
        <v>410</v>
      </c>
      <c r="R10" s="156" t="s">
        <v>399</v>
      </c>
      <c r="S10" s="152" t="s">
        <v>51</v>
      </c>
      <c r="T10" s="152" t="s">
        <v>5</v>
      </c>
      <c r="U10" s="153" t="s">
        <v>107</v>
      </c>
      <c r="V10" s="152" t="s">
        <v>395</v>
      </c>
      <c r="W10" s="154" t="s">
        <v>10</v>
      </c>
      <c r="X10" s="152" t="s">
        <v>11</v>
      </c>
      <c r="Y10" s="155" t="s">
        <v>380</v>
      </c>
      <c r="Z10" s="152" t="s">
        <v>382</v>
      </c>
      <c r="AA10" s="153" t="s">
        <v>12</v>
      </c>
      <c r="AB10" s="152" t="s">
        <v>15</v>
      </c>
      <c r="AC10" s="154" t="s">
        <v>383</v>
      </c>
      <c r="AD10" s="152" t="s">
        <v>13</v>
      </c>
      <c r="AE10" s="154" t="s">
        <v>384</v>
      </c>
      <c r="AF10" s="152" t="s">
        <v>14</v>
      </c>
      <c r="AG10" s="82" t="s">
        <v>381</v>
      </c>
      <c r="AH10" s="82" t="s">
        <v>394</v>
      </c>
    </row>
    <row r="11" spans="1:34" ht="14.4" customHeight="1" x14ac:dyDescent="0.25">
      <c r="A11" s="70">
        <v>1</v>
      </c>
      <c r="B11" s="88" t="s">
        <v>49</v>
      </c>
      <c r="C11" s="88">
        <f>A11</f>
        <v>1</v>
      </c>
      <c r="D11" s="96">
        <v>157470</v>
      </c>
      <c r="E11" s="71">
        <v>1</v>
      </c>
      <c r="F11" s="157"/>
      <c r="G11" s="149"/>
      <c r="H11" s="132"/>
      <c r="I11" s="132"/>
      <c r="J11" s="149"/>
      <c r="K11" s="149"/>
      <c r="L11" s="131"/>
      <c r="M11" s="131"/>
      <c r="N11" s="131"/>
      <c r="O11" s="131"/>
      <c r="P11" s="131"/>
      <c r="Q11" s="131"/>
      <c r="R11" s="132"/>
      <c r="S11" s="86">
        <v>42248</v>
      </c>
      <c r="T11" s="71">
        <f>IF(E11&lt;1,SUM(F11:R11)/D11+E11,1)</f>
        <v>1</v>
      </c>
      <c r="U11" s="23" t="s">
        <v>27</v>
      </c>
      <c r="V11" s="96">
        <f t="shared" ref="V11:V42" si="0">D11</f>
        <v>157470</v>
      </c>
      <c r="W11" s="62" t="s">
        <v>10</v>
      </c>
      <c r="X11" s="72">
        <f t="shared" ref="X11:X42" si="1">T11*V11</f>
        <v>157470</v>
      </c>
      <c r="Y11" s="73"/>
      <c r="Z11" s="74">
        <f t="shared" ref="Z11:Z16" si="2">+X11</f>
        <v>157470</v>
      </c>
      <c r="AA11" s="75" t="s">
        <v>12</v>
      </c>
      <c r="AB11" s="72">
        <f t="shared" ref="AB11:AB20" si="3">Z11-AD11</f>
        <v>0</v>
      </c>
      <c r="AC11" s="76" t="s">
        <v>12</v>
      </c>
      <c r="AD11" s="72">
        <f>SUMIF(Table2[Milestone/ Line],$B11,Table2[Invoice Amount])</f>
        <v>157470</v>
      </c>
      <c r="AE11" s="76" t="s">
        <v>10</v>
      </c>
      <c r="AF11" s="77">
        <f>+Z11-AB11-AD11</f>
        <v>0</v>
      </c>
      <c r="AH11" s="56">
        <f t="shared" ref="AH11:AH61" si="4">9200/147200</f>
        <v>6.25E-2</v>
      </c>
    </row>
    <row r="12" spans="1:34" ht="14.4" customHeight="1" x14ac:dyDescent="0.25">
      <c r="A12" s="70">
        <v>2</v>
      </c>
      <c r="B12" s="88" t="s">
        <v>47</v>
      </c>
      <c r="C12" s="88">
        <f t="shared" ref="C12:C61" si="5">A12</f>
        <v>2</v>
      </c>
      <c r="D12" s="97">
        <v>157470</v>
      </c>
      <c r="E12" s="71">
        <v>1</v>
      </c>
      <c r="F12" s="157"/>
      <c r="G12" s="149"/>
      <c r="H12" s="132"/>
      <c r="I12" s="132"/>
      <c r="J12" s="149"/>
      <c r="K12" s="149"/>
      <c r="L12" s="131"/>
      <c r="M12" s="131"/>
      <c r="N12" s="131"/>
      <c r="O12" s="131"/>
      <c r="P12" s="131"/>
      <c r="Q12" s="131"/>
      <c r="R12" s="132"/>
      <c r="S12" s="86">
        <v>42309</v>
      </c>
      <c r="T12" s="71">
        <f t="shared" ref="T12:T61" si="6">IF(E12&lt;1,SUM(F12:R12)/D12+E12,1)</f>
        <v>1</v>
      </c>
      <c r="U12" s="23" t="s">
        <v>27</v>
      </c>
      <c r="V12" s="96">
        <f t="shared" si="0"/>
        <v>157470</v>
      </c>
      <c r="W12" s="62" t="s">
        <v>10</v>
      </c>
      <c r="X12" s="72">
        <f t="shared" si="1"/>
        <v>157470</v>
      </c>
      <c r="Y12" s="73"/>
      <c r="Z12" s="74">
        <f t="shared" si="2"/>
        <v>157470</v>
      </c>
      <c r="AA12" s="75" t="s">
        <v>12</v>
      </c>
      <c r="AB12" s="72">
        <f t="shared" si="3"/>
        <v>0</v>
      </c>
      <c r="AC12" s="76" t="s">
        <v>12</v>
      </c>
      <c r="AD12" s="72">
        <f>SUMIF(Table2[Milestone/ Line],$B12,Table2[Invoice Amount])</f>
        <v>157470</v>
      </c>
      <c r="AE12" s="76" t="s">
        <v>10</v>
      </c>
      <c r="AF12" s="77">
        <f>+Z12-AB12-AD12</f>
        <v>0</v>
      </c>
      <c r="AH12" s="56">
        <f t="shared" si="4"/>
        <v>6.25E-2</v>
      </c>
    </row>
    <row r="13" spans="1:34" ht="14.4" customHeight="1" x14ac:dyDescent="0.25">
      <c r="A13" s="70">
        <v>3</v>
      </c>
      <c r="B13" s="88" t="s">
        <v>53</v>
      </c>
      <c r="C13" s="88">
        <f t="shared" si="5"/>
        <v>3</v>
      </c>
      <c r="D13" s="97">
        <v>104980</v>
      </c>
      <c r="E13" s="71">
        <v>1</v>
      </c>
      <c r="F13" s="157"/>
      <c r="G13" s="149"/>
      <c r="H13" s="132"/>
      <c r="I13" s="132"/>
      <c r="J13" s="149"/>
      <c r="K13" s="149"/>
      <c r="L13" s="131"/>
      <c r="M13" s="131"/>
      <c r="N13" s="131"/>
      <c r="O13" s="131"/>
      <c r="P13" s="131"/>
      <c r="Q13" s="131"/>
      <c r="R13" s="132"/>
      <c r="S13" s="87">
        <v>42339</v>
      </c>
      <c r="T13" s="71">
        <f t="shared" si="6"/>
        <v>1</v>
      </c>
      <c r="U13" s="23" t="s">
        <v>27</v>
      </c>
      <c r="V13" s="96">
        <f t="shared" si="0"/>
        <v>104980</v>
      </c>
      <c r="W13" s="62" t="s">
        <v>10</v>
      </c>
      <c r="X13" s="72">
        <f t="shared" si="1"/>
        <v>104980</v>
      </c>
      <c r="Y13" s="73"/>
      <c r="Z13" s="74">
        <f t="shared" si="2"/>
        <v>104980</v>
      </c>
      <c r="AA13" s="75" t="s">
        <v>12</v>
      </c>
      <c r="AB13" s="72">
        <f t="shared" si="3"/>
        <v>0</v>
      </c>
      <c r="AC13" s="76" t="s">
        <v>12</v>
      </c>
      <c r="AD13" s="72">
        <f>SUMIF(Table2[Milestone/ Line],$B13,Table2[Invoice Amount])</f>
        <v>104980</v>
      </c>
      <c r="AE13" s="76" t="s">
        <v>10</v>
      </c>
      <c r="AF13" s="77">
        <f>+Z13-AB13-AD13</f>
        <v>0</v>
      </c>
      <c r="AH13" s="56">
        <f t="shared" si="4"/>
        <v>6.25E-2</v>
      </c>
    </row>
    <row r="14" spans="1:34" ht="14.4" customHeight="1" x14ac:dyDescent="0.25">
      <c r="A14" s="70">
        <v>4</v>
      </c>
      <c r="B14" s="88" t="s">
        <v>54</v>
      </c>
      <c r="C14" s="88">
        <f t="shared" si="5"/>
        <v>4</v>
      </c>
      <c r="D14" s="97">
        <v>104980</v>
      </c>
      <c r="E14" s="71">
        <v>1</v>
      </c>
      <c r="F14" s="157"/>
      <c r="G14" s="149"/>
      <c r="H14" s="132"/>
      <c r="I14" s="132"/>
      <c r="J14" s="149"/>
      <c r="K14" s="149"/>
      <c r="L14" s="131"/>
      <c r="M14" s="131"/>
      <c r="N14" s="131"/>
      <c r="O14" s="131"/>
      <c r="P14" s="131"/>
      <c r="Q14" s="131"/>
      <c r="R14" s="132"/>
      <c r="S14" s="87">
        <f>S11+180</f>
        <v>42428</v>
      </c>
      <c r="T14" s="71">
        <f t="shared" si="6"/>
        <v>1</v>
      </c>
      <c r="U14" s="23" t="s">
        <v>27</v>
      </c>
      <c r="V14" s="96">
        <f t="shared" si="0"/>
        <v>104980</v>
      </c>
      <c r="W14" s="62" t="s">
        <v>10</v>
      </c>
      <c r="X14" s="72">
        <f t="shared" si="1"/>
        <v>104980</v>
      </c>
      <c r="Y14" s="73"/>
      <c r="Z14" s="74">
        <f t="shared" si="2"/>
        <v>104980</v>
      </c>
      <c r="AA14" s="75" t="s">
        <v>12</v>
      </c>
      <c r="AB14" s="72">
        <f t="shared" si="3"/>
        <v>0</v>
      </c>
      <c r="AC14" s="76" t="s">
        <v>12</v>
      </c>
      <c r="AD14" s="72">
        <f>SUMIF(Table2[Milestone/ Line],$B14,Table2[Invoice Amount])</f>
        <v>104980</v>
      </c>
      <c r="AE14" s="76" t="s">
        <v>10</v>
      </c>
      <c r="AF14" s="77">
        <f>+Z14-AB14-AD14</f>
        <v>0</v>
      </c>
      <c r="AH14" s="56">
        <f t="shared" si="4"/>
        <v>6.25E-2</v>
      </c>
    </row>
    <row r="15" spans="1:34" ht="14.4" customHeight="1" x14ac:dyDescent="0.25">
      <c r="A15" s="70">
        <v>5</v>
      </c>
      <c r="B15" s="88" t="s">
        <v>104</v>
      </c>
      <c r="C15" s="88">
        <f t="shared" si="5"/>
        <v>5</v>
      </c>
      <c r="D15" s="97">
        <v>317520</v>
      </c>
      <c r="E15" s="71">
        <v>1</v>
      </c>
      <c r="F15" s="157"/>
      <c r="G15" s="149"/>
      <c r="H15" s="132"/>
      <c r="I15" s="132"/>
      <c r="J15" s="149"/>
      <c r="K15" s="149"/>
      <c r="L15" s="131"/>
      <c r="M15" s="131"/>
      <c r="N15" s="131"/>
      <c r="O15" s="131"/>
      <c r="P15" s="131"/>
      <c r="Q15" s="131"/>
      <c r="R15" s="132"/>
      <c r="S15" s="86">
        <v>42342</v>
      </c>
      <c r="T15" s="71">
        <f t="shared" si="6"/>
        <v>1</v>
      </c>
      <c r="U15" s="23" t="s">
        <v>27</v>
      </c>
      <c r="V15" s="96">
        <f t="shared" si="0"/>
        <v>317520</v>
      </c>
      <c r="W15" s="62" t="s">
        <v>10</v>
      </c>
      <c r="X15" s="78">
        <f t="shared" si="1"/>
        <v>317520</v>
      </c>
      <c r="Y15" s="73"/>
      <c r="Z15" s="74">
        <f t="shared" si="2"/>
        <v>317520</v>
      </c>
      <c r="AA15" s="75" t="s">
        <v>12</v>
      </c>
      <c r="AB15" s="72">
        <f t="shared" si="3"/>
        <v>0</v>
      </c>
      <c r="AC15" s="76" t="s">
        <v>12</v>
      </c>
      <c r="AD15" s="72">
        <f>SUMIF(Table2[Milestone/ Line],$B15,Table2[Invoice Amount])</f>
        <v>317520</v>
      </c>
      <c r="AE15" s="76" t="s">
        <v>10</v>
      </c>
      <c r="AF15" s="77">
        <f>+Z15-AB15-AD15</f>
        <v>0</v>
      </c>
      <c r="AH15" s="56">
        <f t="shared" si="4"/>
        <v>6.25E-2</v>
      </c>
    </row>
    <row r="16" spans="1:34" ht="14.4" customHeight="1" x14ac:dyDescent="0.25">
      <c r="A16" s="70">
        <v>6</v>
      </c>
      <c r="B16" s="88" t="s">
        <v>105</v>
      </c>
      <c r="C16" s="88">
        <f t="shared" si="5"/>
        <v>6</v>
      </c>
      <c r="D16" s="97">
        <v>423360</v>
      </c>
      <c r="E16" s="71">
        <v>1</v>
      </c>
      <c r="F16" s="157"/>
      <c r="G16" s="149"/>
      <c r="H16" s="132"/>
      <c r="I16" s="132"/>
      <c r="J16" s="149"/>
      <c r="K16" s="149"/>
      <c r="L16" s="131"/>
      <c r="M16" s="131"/>
      <c r="N16" s="131"/>
      <c r="O16" s="131"/>
      <c r="P16" s="131"/>
      <c r="Q16" s="131"/>
      <c r="R16" s="132"/>
      <c r="S16" s="86">
        <v>42349</v>
      </c>
      <c r="T16" s="71">
        <f t="shared" si="6"/>
        <v>1</v>
      </c>
      <c r="U16" s="23" t="s">
        <v>27</v>
      </c>
      <c r="V16" s="96">
        <f t="shared" si="0"/>
        <v>423360</v>
      </c>
      <c r="W16" s="62" t="s">
        <v>10</v>
      </c>
      <c r="X16" s="78">
        <f t="shared" si="1"/>
        <v>423360</v>
      </c>
      <c r="Y16" s="73"/>
      <c r="Z16" s="74">
        <f t="shared" si="2"/>
        <v>423360</v>
      </c>
      <c r="AA16" s="75" t="s">
        <v>12</v>
      </c>
      <c r="AB16" s="72">
        <f t="shared" si="3"/>
        <v>0</v>
      </c>
      <c r="AC16" s="76" t="s">
        <v>12</v>
      </c>
      <c r="AD16" s="72">
        <f>SUMIF(Table2[Milestone/ Line],$B16,Table2[Invoice Amount])</f>
        <v>423360</v>
      </c>
      <c r="AE16" s="76" t="s">
        <v>10</v>
      </c>
      <c r="AF16" s="77">
        <v>0</v>
      </c>
      <c r="AG16" s="79"/>
      <c r="AH16" s="56">
        <f t="shared" si="4"/>
        <v>6.25E-2</v>
      </c>
    </row>
    <row r="17" spans="1:34" ht="14.4" customHeight="1" x14ac:dyDescent="0.25">
      <c r="A17" s="70">
        <v>7</v>
      </c>
      <c r="B17" s="89" t="s">
        <v>106</v>
      </c>
      <c r="C17" s="88">
        <f t="shared" si="5"/>
        <v>7</v>
      </c>
      <c r="D17" s="97">
        <v>1607500</v>
      </c>
      <c r="E17" s="95">
        <v>1</v>
      </c>
      <c r="F17" s="157"/>
      <c r="G17" s="150"/>
      <c r="H17" s="174"/>
      <c r="I17" s="174"/>
      <c r="J17" s="150"/>
      <c r="K17" s="150"/>
      <c r="L17" s="131"/>
      <c r="M17" s="131"/>
      <c r="N17" s="131"/>
      <c r="O17" s="131"/>
      <c r="P17" s="131"/>
      <c r="Q17" s="131"/>
      <c r="R17" s="132"/>
      <c r="S17" s="86">
        <v>42356</v>
      </c>
      <c r="T17" s="71">
        <f t="shared" si="6"/>
        <v>1</v>
      </c>
      <c r="U17" s="23" t="s">
        <v>27</v>
      </c>
      <c r="V17" s="96">
        <f t="shared" si="0"/>
        <v>1607500</v>
      </c>
      <c r="W17" s="62" t="s">
        <v>10</v>
      </c>
      <c r="X17" s="78">
        <f t="shared" si="1"/>
        <v>1607500</v>
      </c>
      <c r="Y17" s="73"/>
      <c r="Z17" s="74">
        <f>+X17</f>
        <v>1607500</v>
      </c>
      <c r="AA17" s="75" t="s">
        <v>12</v>
      </c>
      <c r="AB17" s="72">
        <f t="shared" si="3"/>
        <v>0</v>
      </c>
      <c r="AC17" s="76" t="s">
        <v>12</v>
      </c>
      <c r="AD17" s="72">
        <f>SUMIF(Table2[Milestone/ Line],$B17,Table2[Invoice Amount])</f>
        <v>1607500</v>
      </c>
      <c r="AE17" s="76" t="s">
        <v>10</v>
      </c>
      <c r="AF17" s="77">
        <f>+Z17-AB17-AD17</f>
        <v>0</v>
      </c>
      <c r="AH17" s="56">
        <f t="shared" si="4"/>
        <v>6.25E-2</v>
      </c>
    </row>
    <row r="18" spans="1:34" ht="14.4" customHeight="1" x14ac:dyDescent="0.25">
      <c r="A18" s="70">
        <v>8</v>
      </c>
      <c r="B18" s="89" t="s">
        <v>58</v>
      </c>
      <c r="C18" s="88">
        <f t="shared" si="5"/>
        <v>8</v>
      </c>
      <c r="D18" s="92">
        <v>1446750</v>
      </c>
      <c r="E18" s="95">
        <v>1</v>
      </c>
      <c r="F18" s="158"/>
      <c r="G18" s="150"/>
      <c r="H18" s="174"/>
      <c r="I18" s="174"/>
      <c r="J18" s="150"/>
      <c r="K18" s="150"/>
      <c r="L18" s="131"/>
      <c r="M18" s="131"/>
      <c r="N18" s="131"/>
      <c r="O18" s="131"/>
      <c r="P18" s="131"/>
      <c r="Q18" s="131"/>
      <c r="R18" s="133"/>
      <c r="S18" s="86">
        <v>42460</v>
      </c>
      <c r="T18" s="71">
        <f t="shared" si="6"/>
        <v>1</v>
      </c>
      <c r="U18" s="23" t="s">
        <v>27</v>
      </c>
      <c r="V18" s="96">
        <f t="shared" si="0"/>
        <v>1446750</v>
      </c>
      <c r="W18" s="62" t="s">
        <v>10</v>
      </c>
      <c r="X18" s="78">
        <f t="shared" si="1"/>
        <v>1446750</v>
      </c>
      <c r="Y18" s="73"/>
      <c r="Z18" s="74">
        <f>+X18</f>
        <v>1446750</v>
      </c>
      <c r="AA18" s="75" t="s">
        <v>12</v>
      </c>
      <c r="AB18" s="72">
        <f t="shared" si="3"/>
        <v>0</v>
      </c>
      <c r="AC18" s="76" t="s">
        <v>12</v>
      </c>
      <c r="AD18" s="72">
        <f>SUMIF(Table2[Milestone/ Line],$B18,Table2[Invoice Amount])</f>
        <v>1446750</v>
      </c>
      <c r="AE18" s="76" t="s">
        <v>10</v>
      </c>
      <c r="AF18" s="77">
        <f>+Z18-AB18-AD18</f>
        <v>0</v>
      </c>
      <c r="AH18" s="56">
        <f t="shared" si="4"/>
        <v>6.25E-2</v>
      </c>
    </row>
    <row r="19" spans="1:34" ht="14.4" customHeight="1" x14ac:dyDescent="0.25">
      <c r="A19" s="70">
        <v>9</v>
      </c>
      <c r="B19" s="89" t="s">
        <v>59</v>
      </c>
      <c r="C19" s="88">
        <f t="shared" si="5"/>
        <v>9</v>
      </c>
      <c r="D19" s="92">
        <v>317520</v>
      </c>
      <c r="E19" s="95">
        <v>1</v>
      </c>
      <c r="F19" s="158"/>
      <c r="G19" s="150"/>
      <c r="H19" s="174"/>
      <c r="I19" s="174"/>
      <c r="J19" s="150"/>
      <c r="K19" s="150"/>
      <c r="L19" s="131"/>
      <c r="M19" s="131"/>
      <c r="N19" s="131"/>
      <c r="O19" s="131"/>
      <c r="P19" s="131"/>
      <c r="Q19" s="131"/>
      <c r="R19" s="133"/>
      <c r="S19" s="86">
        <v>42607</v>
      </c>
      <c r="T19" s="71">
        <f t="shared" si="6"/>
        <v>1</v>
      </c>
      <c r="U19" s="23" t="s">
        <v>27</v>
      </c>
      <c r="V19" s="96">
        <f t="shared" si="0"/>
        <v>317520</v>
      </c>
      <c r="W19" s="62" t="s">
        <v>10</v>
      </c>
      <c r="X19" s="78">
        <f t="shared" si="1"/>
        <v>317520</v>
      </c>
      <c r="Y19" s="73"/>
      <c r="Z19" s="74">
        <f>+X19</f>
        <v>317520</v>
      </c>
      <c r="AA19" s="75"/>
      <c r="AB19" s="72">
        <f t="shared" si="3"/>
        <v>0</v>
      </c>
      <c r="AC19" s="76" t="s">
        <v>12</v>
      </c>
      <c r="AD19" s="72">
        <f>SUMIF(Table2[Milestone/ Line],$B19,Table2[Invoice Amount])</f>
        <v>317520</v>
      </c>
      <c r="AE19" s="76" t="s">
        <v>10</v>
      </c>
      <c r="AF19" s="77">
        <f>+Z19-AB19-AD19</f>
        <v>0</v>
      </c>
      <c r="AH19" s="56">
        <f t="shared" si="4"/>
        <v>6.25E-2</v>
      </c>
    </row>
    <row r="20" spans="1:34" ht="14.4" customHeight="1" x14ac:dyDescent="0.25">
      <c r="A20" s="70">
        <v>10</v>
      </c>
      <c r="B20" s="89" t="s">
        <v>60</v>
      </c>
      <c r="C20" s="88">
        <f t="shared" si="5"/>
        <v>10</v>
      </c>
      <c r="D20" s="92">
        <v>160750</v>
      </c>
      <c r="E20" s="95">
        <v>1</v>
      </c>
      <c r="F20" s="158"/>
      <c r="G20" s="150"/>
      <c r="H20" s="174"/>
      <c r="I20" s="174"/>
      <c r="J20" s="150"/>
      <c r="K20" s="150"/>
      <c r="L20" s="131"/>
      <c r="M20" s="131"/>
      <c r="N20" s="131"/>
      <c r="O20" s="131"/>
      <c r="P20" s="131"/>
      <c r="Q20" s="131"/>
      <c r="R20" s="133"/>
      <c r="S20" s="86">
        <v>42719</v>
      </c>
      <c r="T20" s="71">
        <f t="shared" si="6"/>
        <v>1</v>
      </c>
      <c r="U20" s="23" t="s">
        <v>27</v>
      </c>
      <c r="V20" s="96">
        <f t="shared" si="0"/>
        <v>160750</v>
      </c>
      <c r="W20" s="62" t="s">
        <v>10</v>
      </c>
      <c r="X20" s="78">
        <f t="shared" si="1"/>
        <v>160750</v>
      </c>
      <c r="Y20" s="73"/>
      <c r="Z20" s="74">
        <f>+X20</f>
        <v>160750</v>
      </c>
      <c r="AA20" s="75" t="s">
        <v>12</v>
      </c>
      <c r="AB20" s="72">
        <f t="shared" si="3"/>
        <v>0</v>
      </c>
      <c r="AC20" s="76" t="s">
        <v>12</v>
      </c>
      <c r="AD20" s="72">
        <f>SUMIF(Table2[Milestone/ Line],$B20,Table2[Invoice Amount])</f>
        <v>160750</v>
      </c>
      <c r="AE20" s="76" t="s">
        <v>10</v>
      </c>
      <c r="AF20" s="77">
        <f>+Z20-AB20-AD20</f>
        <v>0</v>
      </c>
      <c r="AH20" s="56">
        <f t="shared" si="4"/>
        <v>6.25E-2</v>
      </c>
    </row>
    <row r="21" spans="1:34" ht="14.4" customHeight="1" x14ac:dyDescent="0.25">
      <c r="A21" s="70">
        <v>11</v>
      </c>
      <c r="B21" s="89" t="s">
        <v>61</v>
      </c>
      <c r="C21" s="88">
        <f t="shared" si="5"/>
        <v>11</v>
      </c>
      <c r="D21" s="92">
        <v>160750</v>
      </c>
      <c r="E21" s="95">
        <v>1</v>
      </c>
      <c r="F21" s="158"/>
      <c r="G21" s="150"/>
      <c r="H21" s="174"/>
      <c r="I21" s="174"/>
      <c r="J21" s="150"/>
      <c r="K21" s="150"/>
      <c r="L21" s="131"/>
      <c r="M21" s="131"/>
      <c r="N21" s="131"/>
      <c r="O21" s="131"/>
      <c r="P21" s="131"/>
      <c r="Q21" s="131"/>
      <c r="R21" s="133"/>
      <c r="S21" s="86">
        <v>42738</v>
      </c>
      <c r="T21" s="71">
        <f t="shared" si="6"/>
        <v>1</v>
      </c>
      <c r="U21" s="23" t="s">
        <v>27</v>
      </c>
      <c r="V21" s="96">
        <f t="shared" si="0"/>
        <v>160750</v>
      </c>
      <c r="W21" s="62" t="s">
        <v>10</v>
      </c>
      <c r="X21" s="78">
        <f t="shared" si="1"/>
        <v>160750</v>
      </c>
      <c r="Y21" s="73"/>
      <c r="Z21" s="74">
        <f t="shared" ref="Z21:Z61" si="7">+X21</f>
        <v>160750</v>
      </c>
      <c r="AA21" s="75" t="s">
        <v>12</v>
      </c>
      <c r="AB21" s="72">
        <f t="shared" ref="AB21:AB53" si="8">Z21-AD21</f>
        <v>0</v>
      </c>
      <c r="AC21" s="76" t="s">
        <v>12</v>
      </c>
      <c r="AD21" s="72">
        <f>SUMIF(Table2[Milestone/ Line],$B21,Table2[Invoice Amount])</f>
        <v>160750</v>
      </c>
      <c r="AE21" s="76" t="s">
        <v>10</v>
      </c>
      <c r="AF21" s="77">
        <f t="shared" ref="AF21:AF56" si="9">+Z21-AB21-AD21</f>
        <v>0</v>
      </c>
      <c r="AH21" s="56">
        <f t="shared" si="4"/>
        <v>6.25E-2</v>
      </c>
    </row>
    <row r="22" spans="1:34" ht="14.4" customHeight="1" x14ac:dyDescent="0.25">
      <c r="A22" s="70">
        <v>12</v>
      </c>
      <c r="B22" s="89" t="s">
        <v>62</v>
      </c>
      <c r="C22" s="88">
        <f t="shared" si="5"/>
        <v>12</v>
      </c>
      <c r="D22" s="92">
        <v>160750</v>
      </c>
      <c r="E22" s="130">
        <v>1</v>
      </c>
      <c r="F22" s="158"/>
      <c r="G22" s="151"/>
      <c r="H22" s="175"/>
      <c r="I22" s="175"/>
      <c r="J22" s="151"/>
      <c r="K22" s="151"/>
      <c r="L22" s="131"/>
      <c r="M22" s="131"/>
      <c r="N22" s="131"/>
      <c r="O22" s="131"/>
      <c r="P22" s="131"/>
      <c r="Q22" s="131"/>
      <c r="R22" s="133"/>
      <c r="S22" s="86">
        <v>42746</v>
      </c>
      <c r="T22" s="71">
        <f t="shared" si="6"/>
        <v>1</v>
      </c>
      <c r="U22" s="23" t="s">
        <v>27</v>
      </c>
      <c r="V22" s="96">
        <f t="shared" si="0"/>
        <v>160750</v>
      </c>
      <c r="W22" s="62" t="s">
        <v>10</v>
      </c>
      <c r="X22" s="78">
        <f t="shared" si="1"/>
        <v>160750</v>
      </c>
      <c r="Y22" s="73"/>
      <c r="Z22" s="74">
        <f t="shared" si="7"/>
        <v>160750</v>
      </c>
      <c r="AA22" s="75" t="s">
        <v>12</v>
      </c>
      <c r="AB22" s="72">
        <f t="shared" si="8"/>
        <v>0</v>
      </c>
      <c r="AC22" s="76" t="s">
        <v>12</v>
      </c>
      <c r="AD22" s="72">
        <f>SUMIF(Table2[Milestone/ Line],$B22,Table2[Invoice Amount])</f>
        <v>160750</v>
      </c>
      <c r="AE22" s="76" t="s">
        <v>10</v>
      </c>
      <c r="AF22" s="77">
        <f t="shared" si="9"/>
        <v>0</v>
      </c>
      <c r="AH22" s="56">
        <f t="shared" si="4"/>
        <v>6.25E-2</v>
      </c>
    </row>
    <row r="23" spans="1:34" ht="14.4" customHeight="1" x14ac:dyDescent="0.25">
      <c r="A23" s="70">
        <v>13</v>
      </c>
      <c r="B23" s="89" t="s">
        <v>63</v>
      </c>
      <c r="C23" s="88">
        <f t="shared" si="5"/>
        <v>13</v>
      </c>
      <c r="D23" s="92">
        <v>160750</v>
      </c>
      <c r="E23" s="95"/>
      <c r="F23" s="158">
        <v>160750</v>
      </c>
      <c r="G23" s="150"/>
      <c r="H23" s="174"/>
      <c r="I23" s="174"/>
      <c r="J23" s="150"/>
      <c r="K23" s="150"/>
      <c r="L23" s="131"/>
      <c r="M23" s="131"/>
      <c r="N23" s="131"/>
      <c r="O23" s="131"/>
      <c r="P23" s="131"/>
      <c r="Q23" s="131"/>
      <c r="R23" s="133"/>
      <c r="S23" s="86">
        <v>42754</v>
      </c>
      <c r="T23" s="71">
        <f t="shared" si="6"/>
        <v>1</v>
      </c>
      <c r="U23" s="23" t="s">
        <v>27</v>
      </c>
      <c r="V23" s="96">
        <f t="shared" si="0"/>
        <v>160750</v>
      </c>
      <c r="W23" s="62" t="s">
        <v>10</v>
      </c>
      <c r="X23" s="78">
        <f t="shared" si="1"/>
        <v>160750</v>
      </c>
      <c r="Y23" s="73"/>
      <c r="Z23" s="74">
        <f t="shared" si="7"/>
        <v>160750</v>
      </c>
      <c r="AA23" s="75" t="s">
        <v>12</v>
      </c>
      <c r="AB23" s="72">
        <f t="shared" si="8"/>
        <v>0</v>
      </c>
      <c r="AC23" s="76" t="s">
        <v>12</v>
      </c>
      <c r="AD23" s="72">
        <f>SUMIF(Table2[Milestone/ Line],$B23,Table2[Invoice Amount])</f>
        <v>160750</v>
      </c>
      <c r="AE23" s="76" t="s">
        <v>10</v>
      </c>
      <c r="AF23" s="77">
        <f t="shared" si="9"/>
        <v>0</v>
      </c>
      <c r="AH23" s="56">
        <f t="shared" si="4"/>
        <v>6.25E-2</v>
      </c>
    </row>
    <row r="24" spans="1:34" ht="14.4" customHeight="1" x14ac:dyDescent="0.25">
      <c r="A24" s="70">
        <v>14</v>
      </c>
      <c r="B24" s="89" t="s">
        <v>64</v>
      </c>
      <c r="C24" s="88">
        <f t="shared" si="5"/>
        <v>14</v>
      </c>
      <c r="D24" s="92">
        <v>160750</v>
      </c>
      <c r="E24" s="95"/>
      <c r="F24" s="158"/>
      <c r="G24" s="174">
        <v>160750</v>
      </c>
      <c r="H24" s="174"/>
      <c r="I24" s="174"/>
      <c r="J24" s="150"/>
      <c r="K24" s="150"/>
      <c r="L24" s="131"/>
      <c r="M24" s="131"/>
      <c r="N24" s="131"/>
      <c r="O24" s="131"/>
      <c r="P24" s="131"/>
      <c r="Q24" s="131"/>
      <c r="R24" s="133"/>
      <c r="S24" s="86">
        <v>42762</v>
      </c>
      <c r="T24" s="71">
        <f t="shared" si="6"/>
        <v>1</v>
      </c>
      <c r="U24" s="23" t="s">
        <v>27</v>
      </c>
      <c r="V24" s="96">
        <f t="shared" si="0"/>
        <v>160750</v>
      </c>
      <c r="W24" s="62" t="s">
        <v>10</v>
      </c>
      <c r="X24" s="78">
        <f t="shared" si="1"/>
        <v>160750</v>
      </c>
      <c r="Y24" s="73"/>
      <c r="Z24" s="74">
        <f t="shared" si="7"/>
        <v>160750</v>
      </c>
      <c r="AA24" s="75" t="s">
        <v>12</v>
      </c>
      <c r="AB24" s="72">
        <f t="shared" si="8"/>
        <v>0</v>
      </c>
      <c r="AC24" s="76" t="s">
        <v>12</v>
      </c>
      <c r="AD24" s="72">
        <f>SUMIF(Table2[Milestone/ Line],$B24,Table2[Invoice Amount])</f>
        <v>160750</v>
      </c>
      <c r="AE24" s="76" t="s">
        <v>10</v>
      </c>
      <c r="AF24" s="77">
        <f t="shared" si="9"/>
        <v>0</v>
      </c>
      <c r="AH24" s="56">
        <f t="shared" si="4"/>
        <v>6.25E-2</v>
      </c>
    </row>
    <row r="25" spans="1:34" ht="14.4" customHeight="1" x14ac:dyDescent="0.25">
      <c r="A25" s="70">
        <v>15</v>
      </c>
      <c r="B25" s="89" t="s">
        <v>65</v>
      </c>
      <c r="C25" s="88">
        <f t="shared" si="5"/>
        <v>15</v>
      </c>
      <c r="D25" s="92">
        <v>160750</v>
      </c>
      <c r="E25" s="95"/>
      <c r="F25" s="158"/>
      <c r="G25" s="174">
        <v>160750</v>
      </c>
      <c r="H25" s="174"/>
      <c r="I25" s="174"/>
      <c r="J25" s="150"/>
      <c r="K25" s="150"/>
      <c r="L25" s="131"/>
      <c r="M25" s="131"/>
      <c r="N25" s="131"/>
      <c r="O25" s="131"/>
      <c r="P25" s="131"/>
      <c r="Q25" s="131"/>
      <c r="R25" s="133"/>
      <c r="S25" s="86">
        <v>42772</v>
      </c>
      <c r="T25" s="71">
        <f t="shared" si="6"/>
        <v>1</v>
      </c>
      <c r="U25" s="23" t="s">
        <v>27</v>
      </c>
      <c r="V25" s="96">
        <f t="shared" si="0"/>
        <v>160750</v>
      </c>
      <c r="W25" s="62" t="s">
        <v>10</v>
      </c>
      <c r="X25" s="78">
        <f t="shared" si="1"/>
        <v>160750</v>
      </c>
      <c r="Y25" s="73"/>
      <c r="Z25" s="74">
        <f t="shared" si="7"/>
        <v>160750</v>
      </c>
      <c r="AA25" s="75" t="s">
        <v>12</v>
      </c>
      <c r="AB25" s="72">
        <f t="shared" si="8"/>
        <v>0</v>
      </c>
      <c r="AC25" s="76" t="s">
        <v>12</v>
      </c>
      <c r="AD25" s="72">
        <f>SUMIF(Table2[Milestone/ Line],$B25,Table2[Invoice Amount])</f>
        <v>160750</v>
      </c>
      <c r="AE25" s="76" t="s">
        <v>10</v>
      </c>
      <c r="AF25" s="77">
        <f t="shared" si="9"/>
        <v>0</v>
      </c>
      <c r="AH25" s="56">
        <f t="shared" si="4"/>
        <v>6.25E-2</v>
      </c>
    </row>
    <row r="26" spans="1:34" ht="14.4" customHeight="1" x14ac:dyDescent="0.25">
      <c r="A26" s="70">
        <v>16</v>
      </c>
      <c r="B26" s="89" t="s">
        <v>66</v>
      </c>
      <c r="C26" s="88">
        <f t="shared" si="5"/>
        <v>16</v>
      </c>
      <c r="D26" s="92">
        <v>160750</v>
      </c>
      <c r="E26" s="95"/>
      <c r="F26" s="158"/>
      <c r="G26" s="174">
        <v>160750</v>
      </c>
      <c r="H26" s="174"/>
      <c r="I26" s="174"/>
      <c r="J26" s="150"/>
      <c r="K26" s="150"/>
      <c r="L26" s="131"/>
      <c r="M26" s="131"/>
      <c r="N26" s="131"/>
      <c r="O26" s="131"/>
      <c r="P26" s="131"/>
      <c r="Q26" s="131"/>
      <c r="R26" s="133"/>
      <c r="S26" s="86">
        <v>42780</v>
      </c>
      <c r="T26" s="71">
        <f t="shared" si="6"/>
        <v>1</v>
      </c>
      <c r="U26" s="23" t="s">
        <v>27</v>
      </c>
      <c r="V26" s="96">
        <f t="shared" si="0"/>
        <v>160750</v>
      </c>
      <c r="W26" s="62" t="s">
        <v>10</v>
      </c>
      <c r="X26" s="78">
        <f t="shared" si="1"/>
        <v>160750</v>
      </c>
      <c r="Y26" s="73"/>
      <c r="Z26" s="74">
        <f t="shared" si="7"/>
        <v>160750</v>
      </c>
      <c r="AA26" s="75" t="s">
        <v>12</v>
      </c>
      <c r="AB26" s="72">
        <f t="shared" si="8"/>
        <v>0</v>
      </c>
      <c r="AC26" s="76" t="s">
        <v>12</v>
      </c>
      <c r="AD26" s="72">
        <f>SUMIF(Table2[Milestone/ Line],$B26,Table2[Invoice Amount])</f>
        <v>160750</v>
      </c>
      <c r="AE26" s="76" t="s">
        <v>10</v>
      </c>
      <c r="AF26" s="77">
        <f t="shared" si="9"/>
        <v>0</v>
      </c>
      <c r="AH26" s="56">
        <f t="shared" si="4"/>
        <v>6.25E-2</v>
      </c>
    </row>
    <row r="27" spans="1:34" ht="14.4" customHeight="1" x14ac:dyDescent="0.25">
      <c r="A27" s="70">
        <v>17</v>
      </c>
      <c r="B27" s="89" t="s">
        <v>67</v>
      </c>
      <c r="C27" s="88">
        <f t="shared" si="5"/>
        <v>17</v>
      </c>
      <c r="D27" s="92">
        <v>160750</v>
      </c>
      <c r="E27" s="95"/>
      <c r="F27" s="158"/>
      <c r="G27" s="174">
        <v>160750</v>
      </c>
      <c r="H27" s="174"/>
      <c r="I27" s="174"/>
      <c r="J27" s="150"/>
      <c r="K27" s="150"/>
      <c r="L27" s="131"/>
      <c r="M27" s="131"/>
      <c r="N27" s="131"/>
      <c r="O27" s="131"/>
      <c r="P27" s="131"/>
      <c r="Q27" s="131"/>
      <c r="R27" s="133"/>
      <c r="S27" s="86">
        <v>42788</v>
      </c>
      <c r="T27" s="71">
        <f t="shared" si="6"/>
        <v>1</v>
      </c>
      <c r="U27" s="23" t="s">
        <v>27</v>
      </c>
      <c r="V27" s="96">
        <f t="shared" si="0"/>
        <v>160750</v>
      </c>
      <c r="W27" s="62" t="s">
        <v>10</v>
      </c>
      <c r="X27" s="78">
        <f t="shared" si="1"/>
        <v>160750</v>
      </c>
      <c r="Y27" s="73"/>
      <c r="Z27" s="74">
        <f t="shared" si="7"/>
        <v>160750</v>
      </c>
      <c r="AA27" s="75" t="s">
        <v>12</v>
      </c>
      <c r="AB27" s="72">
        <f t="shared" si="8"/>
        <v>0</v>
      </c>
      <c r="AC27" s="76" t="s">
        <v>12</v>
      </c>
      <c r="AD27" s="72">
        <f>SUMIF(Table2[Milestone/ Line],$B27,Table2[Invoice Amount])</f>
        <v>160750</v>
      </c>
      <c r="AE27" s="76" t="s">
        <v>10</v>
      </c>
      <c r="AF27" s="77">
        <f t="shared" si="9"/>
        <v>0</v>
      </c>
      <c r="AH27" s="56">
        <f t="shared" si="4"/>
        <v>6.25E-2</v>
      </c>
    </row>
    <row r="28" spans="1:34" ht="14.4" customHeight="1" x14ac:dyDescent="0.25">
      <c r="A28" s="70">
        <v>18</v>
      </c>
      <c r="B28" s="89" t="s">
        <v>68</v>
      </c>
      <c r="C28" s="88">
        <f t="shared" si="5"/>
        <v>18</v>
      </c>
      <c r="D28" s="92">
        <v>160750</v>
      </c>
      <c r="E28" s="95"/>
      <c r="F28" s="158"/>
      <c r="G28" s="174">
        <v>160750</v>
      </c>
      <c r="H28" s="174"/>
      <c r="I28" s="174"/>
      <c r="J28" s="150"/>
      <c r="K28" s="150"/>
      <c r="L28" s="131"/>
      <c r="M28" s="131"/>
      <c r="N28" s="131"/>
      <c r="O28" s="131"/>
      <c r="P28" s="131"/>
      <c r="Q28" s="131"/>
      <c r="R28" s="133"/>
      <c r="S28" s="86">
        <v>42796</v>
      </c>
      <c r="T28" s="71">
        <f t="shared" si="6"/>
        <v>1</v>
      </c>
      <c r="U28" s="23" t="s">
        <v>27</v>
      </c>
      <c r="V28" s="96">
        <f t="shared" si="0"/>
        <v>160750</v>
      </c>
      <c r="W28" s="62" t="s">
        <v>10</v>
      </c>
      <c r="X28" s="78">
        <f t="shared" si="1"/>
        <v>160750</v>
      </c>
      <c r="Y28" s="73"/>
      <c r="Z28" s="74">
        <f t="shared" si="7"/>
        <v>160750</v>
      </c>
      <c r="AA28" s="75" t="s">
        <v>12</v>
      </c>
      <c r="AB28" s="72">
        <f t="shared" si="8"/>
        <v>0</v>
      </c>
      <c r="AC28" s="76" t="s">
        <v>12</v>
      </c>
      <c r="AD28" s="72">
        <f>SUMIF(Table2[Milestone/ Line],$B28,Table2[Invoice Amount])</f>
        <v>160750</v>
      </c>
      <c r="AE28" s="76" t="s">
        <v>10</v>
      </c>
      <c r="AF28" s="77">
        <f t="shared" si="9"/>
        <v>0</v>
      </c>
      <c r="AH28" s="56">
        <f t="shared" si="4"/>
        <v>6.25E-2</v>
      </c>
    </row>
    <row r="29" spans="1:34" ht="14.4" customHeight="1" x14ac:dyDescent="0.25">
      <c r="A29" s="70">
        <v>19</v>
      </c>
      <c r="B29" s="89" t="s">
        <v>69</v>
      </c>
      <c r="C29" s="88">
        <f t="shared" si="5"/>
        <v>19</v>
      </c>
      <c r="D29" s="92">
        <v>160750</v>
      </c>
      <c r="E29" s="95"/>
      <c r="F29" s="158"/>
      <c r="G29" s="174"/>
      <c r="H29" s="174"/>
      <c r="I29" s="174">
        <v>160750</v>
      </c>
      <c r="J29" s="150"/>
      <c r="K29" s="150"/>
      <c r="L29" s="131"/>
      <c r="M29" s="131"/>
      <c r="N29" s="131"/>
      <c r="O29" s="131"/>
      <c r="P29" s="131"/>
      <c r="Q29" s="131"/>
      <c r="R29" s="133"/>
      <c r="S29" s="86">
        <v>42804</v>
      </c>
      <c r="T29" s="71">
        <f t="shared" si="6"/>
        <v>1</v>
      </c>
      <c r="U29" s="23" t="s">
        <v>27</v>
      </c>
      <c r="V29" s="96">
        <f t="shared" si="0"/>
        <v>160750</v>
      </c>
      <c r="W29" s="62" t="s">
        <v>10</v>
      </c>
      <c r="X29" s="78">
        <f t="shared" si="1"/>
        <v>160750</v>
      </c>
      <c r="Y29" s="73"/>
      <c r="Z29" s="74">
        <f t="shared" si="7"/>
        <v>160750</v>
      </c>
      <c r="AA29" s="75" t="s">
        <v>12</v>
      </c>
      <c r="AB29" s="72">
        <f t="shared" si="8"/>
        <v>160750</v>
      </c>
      <c r="AC29" s="76" t="s">
        <v>12</v>
      </c>
      <c r="AD29" s="72">
        <f>SUMIF(Table2[Milestone/ Line],$B29,Table2[Invoice Amount])</f>
        <v>0</v>
      </c>
      <c r="AE29" s="76" t="s">
        <v>10</v>
      </c>
      <c r="AF29" s="77">
        <f t="shared" si="9"/>
        <v>0</v>
      </c>
      <c r="AH29" s="56">
        <f t="shared" si="4"/>
        <v>6.25E-2</v>
      </c>
    </row>
    <row r="30" spans="1:34" ht="14.4" customHeight="1" x14ac:dyDescent="0.25">
      <c r="A30" s="70">
        <v>20</v>
      </c>
      <c r="B30" s="89" t="s">
        <v>70</v>
      </c>
      <c r="C30" s="88">
        <f t="shared" si="5"/>
        <v>20</v>
      </c>
      <c r="D30" s="92">
        <v>160750</v>
      </c>
      <c r="E30" s="95"/>
      <c r="F30" s="158"/>
      <c r="G30" s="174"/>
      <c r="H30" s="174"/>
      <c r="I30" s="174">
        <v>160750</v>
      </c>
      <c r="J30" s="150"/>
      <c r="K30" s="150"/>
      <c r="L30" s="131"/>
      <c r="M30" s="131"/>
      <c r="N30" s="131"/>
      <c r="O30" s="131"/>
      <c r="P30" s="131"/>
      <c r="Q30" s="131"/>
      <c r="R30" s="133"/>
      <c r="S30" s="86">
        <v>42814</v>
      </c>
      <c r="T30" s="71">
        <f t="shared" si="6"/>
        <v>1</v>
      </c>
      <c r="U30" s="23" t="s">
        <v>27</v>
      </c>
      <c r="V30" s="96">
        <f t="shared" si="0"/>
        <v>160750</v>
      </c>
      <c r="W30" s="62" t="s">
        <v>10</v>
      </c>
      <c r="X30" s="78">
        <f t="shared" si="1"/>
        <v>160750</v>
      </c>
      <c r="Y30" s="73"/>
      <c r="Z30" s="74">
        <f t="shared" si="7"/>
        <v>160750</v>
      </c>
      <c r="AA30" s="75" t="s">
        <v>12</v>
      </c>
      <c r="AB30" s="72">
        <f t="shared" si="8"/>
        <v>160750</v>
      </c>
      <c r="AC30" s="76" t="s">
        <v>12</v>
      </c>
      <c r="AD30" s="72">
        <f>SUMIF(Table2[Milestone/ Line],$B30,Table2[Invoice Amount])</f>
        <v>0</v>
      </c>
      <c r="AE30" s="76" t="s">
        <v>10</v>
      </c>
      <c r="AF30" s="77">
        <f t="shared" si="9"/>
        <v>0</v>
      </c>
      <c r="AH30" s="56">
        <f t="shared" si="4"/>
        <v>6.25E-2</v>
      </c>
    </row>
    <row r="31" spans="1:34" ht="14.4" customHeight="1" x14ac:dyDescent="0.25">
      <c r="A31" s="70">
        <v>21</v>
      </c>
      <c r="B31" s="89" t="s">
        <v>91</v>
      </c>
      <c r="C31" s="88">
        <f t="shared" si="5"/>
        <v>21</v>
      </c>
      <c r="D31" s="92">
        <v>90800</v>
      </c>
      <c r="E31" s="95">
        <v>1</v>
      </c>
      <c r="F31" s="158"/>
      <c r="G31" s="174"/>
      <c r="H31" s="174"/>
      <c r="I31" s="174"/>
      <c r="J31" s="150"/>
      <c r="K31" s="150"/>
      <c r="L31" s="131"/>
      <c r="M31" s="131"/>
      <c r="N31" s="131"/>
      <c r="O31" s="131"/>
      <c r="P31" s="131"/>
      <c r="Q31" s="131"/>
      <c r="R31" s="133"/>
      <c r="S31" s="86">
        <v>42478</v>
      </c>
      <c r="T31" s="71">
        <f t="shared" si="6"/>
        <v>1</v>
      </c>
      <c r="U31" s="23" t="s">
        <v>27</v>
      </c>
      <c r="V31" s="96">
        <f t="shared" si="0"/>
        <v>90800</v>
      </c>
      <c r="W31" s="62" t="s">
        <v>10</v>
      </c>
      <c r="X31" s="78">
        <f t="shared" si="1"/>
        <v>90800</v>
      </c>
      <c r="Y31" s="73"/>
      <c r="Z31" s="74">
        <f t="shared" si="7"/>
        <v>90800</v>
      </c>
      <c r="AA31" s="75" t="s">
        <v>12</v>
      </c>
      <c r="AB31" s="72">
        <f t="shared" si="8"/>
        <v>0</v>
      </c>
      <c r="AC31" s="76" t="s">
        <v>12</v>
      </c>
      <c r="AD31" s="72">
        <f>SUMIF(Table2[Milestone/ Line],$B31,Table2[Invoice Amount])</f>
        <v>90800</v>
      </c>
      <c r="AE31" s="76" t="s">
        <v>10</v>
      </c>
      <c r="AF31" s="77">
        <f t="shared" si="9"/>
        <v>0</v>
      </c>
      <c r="AH31" s="56">
        <f t="shared" si="4"/>
        <v>6.25E-2</v>
      </c>
    </row>
    <row r="32" spans="1:34" ht="14.4" customHeight="1" x14ac:dyDescent="0.25">
      <c r="A32" s="70">
        <v>22</v>
      </c>
      <c r="B32" s="89" t="s">
        <v>92</v>
      </c>
      <c r="C32" s="88">
        <f t="shared" si="5"/>
        <v>22</v>
      </c>
      <c r="D32" s="92">
        <v>49696</v>
      </c>
      <c r="E32" s="95"/>
      <c r="F32" s="158"/>
      <c r="G32" s="174">
        <v>7554.66</v>
      </c>
      <c r="H32" s="174"/>
      <c r="I32" s="174"/>
      <c r="J32" s="150"/>
      <c r="K32" s="150"/>
      <c r="L32" s="131"/>
      <c r="M32" s="131"/>
      <c r="N32" s="131"/>
      <c r="O32" s="131"/>
      <c r="P32" s="131"/>
      <c r="Q32" s="131"/>
      <c r="R32" s="133"/>
      <c r="S32" s="86">
        <v>42905</v>
      </c>
      <c r="T32" s="71">
        <f t="shared" si="6"/>
        <v>0.15201746619446233</v>
      </c>
      <c r="U32" s="23" t="s">
        <v>27</v>
      </c>
      <c r="V32" s="96">
        <f t="shared" si="0"/>
        <v>49696</v>
      </c>
      <c r="W32" s="62" t="s">
        <v>10</v>
      </c>
      <c r="X32" s="78">
        <f t="shared" si="1"/>
        <v>7554.66</v>
      </c>
      <c r="Y32" s="73"/>
      <c r="Z32" s="74">
        <f t="shared" si="7"/>
        <v>7554.66</v>
      </c>
      <c r="AA32" s="75" t="s">
        <v>12</v>
      </c>
      <c r="AB32" s="72">
        <f t="shared" si="8"/>
        <v>0</v>
      </c>
      <c r="AC32" s="76" t="s">
        <v>12</v>
      </c>
      <c r="AD32" s="72">
        <f>SUMIF(Table2[Milestone/ Line],$B32,Table2[Invoice Amount])</f>
        <v>7554.66</v>
      </c>
      <c r="AE32" s="76" t="s">
        <v>10</v>
      </c>
      <c r="AF32" s="77">
        <f t="shared" si="9"/>
        <v>0</v>
      </c>
      <c r="AH32" s="56">
        <f t="shared" si="4"/>
        <v>6.25E-2</v>
      </c>
    </row>
    <row r="33" spans="1:34" ht="14.4" customHeight="1" x14ac:dyDescent="0.25">
      <c r="A33" s="70">
        <v>23</v>
      </c>
      <c r="B33" s="89" t="s">
        <v>93</v>
      </c>
      <c r="C33" s="88">
        <f t="shared" si="5"/>
        <v>23</v>
      </c>
      <c r="D33" s="92">
        <v>323136</v>
      </c>
      <c r="E33" s="95">
        <v>0.97727272727269998</v>
      </c>
      <c r="F33" s="158"/>
      <c r="G33" s="174"/>
      <c r="H33" s="174"/>
      <c r="I33" s="174"/>
      <c r="J33" s="150"/>
      <c r="K33" s="150"/>
      <c r="L33" s="131"/>
      <c r="M33" s="131"/>
      <c r="N33" s="131"/>
      <c r="O33" s="131"/>
      <c r="P33" s="131"/>
      <c r="Q33" s="131"/>
      <c r="R33" s="133"/>
      <c r="S33" s="86">
        <v>42653</v>
      </c>
      <c r="T33" s="71">
        <f t="shared" si="6"/>
        <v>0.97727272727269998</v>
      </c>
      <c r="U33" s="23" t="s">
        <v>27</v>
      </c>
      <c r="V33" s="96">
        <f t="shared" si="0"/>
        <v>323136</v>
      </c>
      <c r="W33" s="62" t="s">
        <v>10</v>
      </c>
      <c r="X33" s="78">
        <f t="shared" si="1"/>
        <v>315791.99999999115</v>
      </c>
      <c r="Y33" s="73"/>
      <c r="Z33" s="74">
        <f t="shared" si="7"/>
        <v>315791.99999999115</v>
      </c>
      <c r="AA33" s="75" t="s">
        <v>12</v>
      </c>
      <c r="AB33" s="72">
        <f t="shared" si="8"/>
        <v>-8.8475644588470459E-9</v>
      </c>
      <c r="AC33" s="76" t="s">
        <v>12</v>
      </c>
      <c r="AD33" s="72">
        <f>SUMIF(Table2[Milestone/ Line],$B33,Table2[Invoice Amount])</f>
        <v>315792</v>
      </c>
      <c r="AE33" s="76" t="s">
        <v>10</v>
      </c>
      <c r="AF33" s="77">
        <f t="shared" si="9"/>
        <v>0</v>
      </c>
      <c r="AG33" s="108" t="s">
        <v>109</v>
      </c>
      <c r="AH33" s="56">
        <f t="shared" si="4"/>
        <v>6.25E-2</v>
      </c>
    </row>
    <row r="34" spans="1:34" ht="14.4" customHeight="1" x14ac:dyDescent="0.25">
      <c r="A34" s="70">
        <v>24</v>
      </c>
      <c r="B34" s="89" t="s">
        <v>94</v>
      </c>
      <c r="C34" s="88">
        <f t="shared" si="5"/>
        <v>24</v>
      </c>
      <c r="D34" s="92">
        <v>246240</v>
      </c>
      <c r="E34" s="130">
        <v>9.3404808000000006E-2</v>
      </c>
      <c r="F34" s="162">
        <v>23000</v>
      </c>
      <c r="G34" s="175">
        <v>101080</v>
      </c>
      <c r="H34" s="175"/>
      <c r="I34" s="175">
        <f>2270*8</f>
        <v>18160</v>
      </c>
      <c r="J34" s="151"/>
      <c r="K34" s="151"/>
      <c r="L34" s="131"/>
      <c r="M34" s="131"/>
      <c r="N34" s="131"/>
      <c r="O34" s="131"/>
      <c r="P34" s="131"/>
      <c r="Q34" s="131"/>
      <c r="R34" s="133"/>
      <c r="S34" s="86">
        <v>42933</v>
      </c>
      <c r="T34" s="71">
        <f t="shared" si="6"/>
        <v>0.67105263126185832</v>
      </c>
      <c r="U34" s="23" t="s">
        <v>27</v>
      </c>
      <c r="V34" s="96">
        <f t="shared" si="0"/>
        <v>246240</v>
      </c>
      <c r="W34" s="62" t="s">
        <v>10</v>
      </c>
      <c r="X34" s="78">
        <f t="shared" si="1"/>
        <v>165239.99992191998</v>
      </c>
      <c r="Y34" s="73"/>
      <c r="Z34" s="74">
        <f t="shared" si="7"/>
        <v>165239.99992191998</v>
      </c>
      <c r="AA34" s="75" t="s">
        <v>12</v>
      </c>
      <c r="AB34" s="72">
        <f t="shared" si="8"/>
        <v>18159.999921919982</v>
      </c>
      <c r="AC34" s="76" t="s">
        <v>12</v>
      </c>
      <c r="AD34" s="72">
        <f>SUMIF(Table2[Milestone/ Line],$B34,Table2[Invoice Amount])</f>
        <v>147080</v>
      </c>
      <c r="AE34" s="76" t="s">
        <v>10</v>
      </c>
      <c r="AF34" s="77">
        <f t="shared" si="9"/>
        <v>0</v>
      </c>
      <c r="AG34" s="56" t="s">
        <v>113</v>
      </c>
      <c r="AH34" s="56">
        <f t="shared" si="4"/>
        <v>6.25E-2</v>
      </c>
    </row>
    <row r="35" spans="1:34" ht="14.4" customHeight="1" x14ac:dyDescent="0.25">
      <c r="A35" s="70">
        <v>25</v>
      </c>
      <c r="B35" s="89" t="s">
        <v>95</v>
      </c>
      <c r="C35" s="88">
        <f t="shared" si="5"/>
        <v>25</v>
      </c>
      <c r="D35" s="92">
        <v>147200</v>
      </c>
      <c r="E35" s="130">
        <v>0.3125</v>
      </c>
      <c r="F35" s="158">
        <v>9200</v>
      </c>
      <c r="G35" s="175">
        <v>9200</v>
      </c>
      <c r="H35" s="175">
        <v>9200</v>
      </c>
      <c r="I35" s="175">
        <v>9200</v>
      </c>
      <c r="J35" s="151"/>
      <c r="K35" s="151"/>
      <c r="L35" s="131"/>
      <c r="M35" s="131"/>
      <c r="N35" s="131"/>
      <c r="O35" s="131"/>
      <c r="P35" s="131"/>
      <c r="Q35" s="131"/>
      <c r="R35" s="133"/>
      <c r="S35" s="86">
        <v>42933</v>
      </c>
      <c r="T35" s="71">
        <f t="shared" si="6"/>
        <v>0.5625</v>
      </c>
      <c r="U35" s="23" t="s">
        <v>27</v>
      </c>
      <c r="V35" s="96">
        <f t="shared" si="0"/>
        <v>147200</v>
      </c>
      <c r="W35" s="62" t="s">
        <v>10</v>
      </c>
      <c r="X35" s="78">
        <f t="shared" si="1"/>
        <v>82800</v>
      </c>
      <c r="Y35" s="73"/>
      <c r="Z35" s="74">
        <f t="shared" si="7"/>
        <v>82800</v>
      </c>
      <c r="AA35" s="75" t="s">
        <v>12</v>
      </c>
      <c r="AB35" s="72">
        <f t="shared" si="8"/>
        <v>18400</v>
      </c>
      <c r="AC35" s="76" t="s">
        <v>12</v>
      </c>
      <c r="AD35" s="72">
        <f>SUMIF(Table2[Milestone/ Line],$B35,Table2[Invoice Amount])</f>
        <v>64400</v>
      </c>
      <c r="AE35" s="76" t="s">
        <v>10</v>
      </c>
      <c r="AF35" s="77">
        <f t="shared" si="9"/>
        <v>0</v>
      </c>
      <c r="AG35" s="56" t="s">
        <v>114</v>
      </c>
      <c r="AH35" s="56">
        <f t="shared" si="4"/>
        <v>6.25E-2</v>
      </c>
    </row>
    <row r="36" spans="1:34" ht="14.4" customHeight="1" x14ac:dyDescent="0.25">
      <c r="A36" s="70">
        <v>26</v>
      </c>
      <c r="B36" s="89" t="s">
        <v>71</v>
      </c>
      <c r="C36" s="88">
        <f t="shared" si="5"/>
        <v>26</v>
      </c>
      <c r="D36" s="92">
        <v>160750</v>
      </c>
      <c r="E36" s="71"/>
      <c r="F36" s="158"/>
      <c r="G36" s="132"/>
      <c r="H36" s="132"/>
      <c r="I36" s="132">
        <f>160750/2</f>
        <v>80375</v>
      </c>
      <c r="J36" s="149"/>
      <c r="K36" s="149"/>
      <c r="L36" s="131"/>
      <c r="M36" s="131"/>
      <c r="N36" s="131"/>
      <c r="O36" s="131"/>
      <c r="P36" s="131"/>
      <c r="Q36" s="131"/>
      <c r="R36" s="133"/>
      <c r="S36" s="91">
        <v>42822</v>
      </c>
      <c r="T36" s="71">
        <v>0.75</v>
      </c>
      <c r="U36" s="23" t="s">
        <v>27</v>
      </c>
      <c r="V36" s="96">
        <f t="shared" si="0"/>
        <v>160750</v>
      </c>
      <c r="W36" s="62" t="s">
        <v>10</v>
      </c>
      <c r="X36" s="78">
        <f t="shared" si="1"/>
        <v>120562.5</v>
      </c>
      <c r="Y36" s="73"/>
      <c r="Z36" s="74">
        <f t="shared" si="7"/>
        <v>120562.5</v>
      </c>
      <c r="AA36" s="75" t="s">
        <v>12</v>
      </c>
      <c r="AB36" s="72">
        <f t="shared" si="8"/>
        <v>120562.5</v>
      </c>
      <c r="AC36" s="76" t="s">
        <v>12</v>
      </c>
      <c r="AD36" s="72">
        <f>SUMIF(Table2[Milestone/ Line],$B36,Table2[Invoice Amount])</f>
        <v>0</v>
      </c>
      <c r="AE36" s="76" t="s">
        <v>10</v>
      </c>
      <c r="AF36" s="77">
        <f t="shared" si="9"/>
        <v>0</v>
      </c>
      <c r="AH36" s="56">
        <f t="shared" si="4"/>
        <v>6.25E-2</v>
      </c>
    </row>
    <row r="37" spans="1:34" ht="14.4" customHeight="1" x14ac:dyDescent="0.25">
      <c r="A37" s="70">
        <v>27</v>
      </c>
      <c r="B37" s="89" t="s">
        <v>72</v>
      </c>
      <c r="C37" s="88">
        <f t="shared" si="5"/>
        <v>27</v>
      </c>
      <c r="D37" s="92">
        <v>160750</v>
      </c>
      <c r="E37" s="71"/>
      <c r="F37" s="158"/>
      <c r="G37" s="132"/>
      <c r="H37" s="132"/>
      <c r="I37" s="132">
        <f>160750/2</f>
        <v>80375</v>
      </c>
      <c r="J37" s="149"/>
      <c r="K37" s="149"/>
      <c r="L37" s="131"/>
      <c r="M37" s="131"/>
      <c r="N37" s="131"/>
      <c r="O37" s="131"/>
      <c r="P37" s="131"/>
      <c r="Q37" s="131"/>
      <c r="R37" s="133"/>
      <c r="S37" s="91">
        <v>42830</v>
      </c>
      <c r="T37" s="71">
        <f t="shared" si="6"/>
        <v>0.5</v>
      </c>
      <c r="U37" s="23" t="s">
        <v>27</v>
      </c>
      <c r="V37" s="96">
        <f t="shared" si="0"/>
        <v>160750</v>
      </c>
      <c r="W37" s="62" t="s">
        <v>10</v>
      </c>
      <c r="X37" s="78">
        <f t="shared" si="1"/>
        <v>80375</v>
      </c>
      <c r="Y37" s="73"/>
      <c r="Z37" s="74">
        <f t="shared" si="7"/>
        <v>80375</v>
      </c>
      <c r="AA37" s="75" t="s">
        <v>12</v>
      </c>
      <c r="AB37" s="72">
        <f t="shared" si="8"/>
        <v>80375</v>
      </c>
      <c r="AC37" s="76" t="s">
        <v>12</v>
      </c>
      <c r="AD37" s="72">
        <f>SUMIF(Table2[Milestone/ Line],$B37,Table2[Invoice Amount])</f>
        <v>0</v>
      </c>
      <c r="AE37" s="76" t="s">
        <v>10</v>
      </c>
      <c r="AF37" s="77">
        <f t="shared" si="9"/>
        <v>0</v>
      </c>
      <c r="AH37" s="56">
        <f t="shared" si="4"/>
        <v>6.25E-2</v>
      </c>
    </row>
    <row r="38" spans="1:34" ht="14.4" customHeight="1" x14ac:dyDescent="0.25">
      <c r="A38" s="70">
        <v>28</v>
      </c>
      <c r="B38" s="89" t="s">
        <v>73</v>
      </c>
      <c r="C38" s="88">
        <f t="shared" si="5"/>
        <v>28</v>
      </c>
      <c r="D38" s="92">
        <v>160750</v>
      </c>
      <c r="E38" s="71"/>
      <c r="F38" s="158"/>
      <c r="G38" s="132"/>
      <c r="H38" s="132"/>
      <c r="I38" s="132">
        <f>160750/4</f>
        <v>40187.5</v>
      </c>
      <c r="J38" s="149"/>
      <c r="K38" s="149"/>
      <c r="L38" s="131"/>
      <c r="M38" s="131"/>
      <c r="N38" s="131"/>
      <c r="O38" s="131"/>
      <c r="P38" s="131"/>
      <c r="Q38" s="131"/>
      <c r="R38" s="133"/>
      <c r="S38" s="91">
        <v>42838</v>
      </c>
      <c r="T38" s="71">
        <f t="shared" si="6"/>
        <v>0.25</v>
      </c>
      <c r="U38" s="23" t="s">
        <v>27</v>
      </c>
      <c r="V38" s="96">
        <f t="shared" si="0"/>
        <v>160750</v>
      </c>
      <c r="W38" s="62" t="s">
        <v>10</v>
      </c>
      <c r="X38" s="78">
        <f t="shared" si="1"/>
        <v>40187.5</v>
      </c>
      <c r="Y38" s="73"/>
      <c r="Z38" s="74">
        <f t="shared" si="7"/>
        <v>40187.5</v>
      </c>
      <c r="AA38" s="75" t="s">
        <v>12</v>
      </c>
      <c r="AB38" s="72">
        <f t="shared" si="8"/>
        <v>40187.5</v>
      </c>
      <c r="AC38" s="76" t="s">
        <v>12</v>
      </c>
      <c r="AD38" s="72">
        <f>SUMIF(Table2[Milestone/ Line],$B38,Table2[Invoice Amount])</f>
        <v>0</v>
      </c>
      <c r="AE38" s="76" t="s">
        <v>10</v>
      </c>
      <c r="AF38" s="77">
        <f t="shared" si="9"/>
        <v>0</v>
      </c>
      <c r="AH38" s="56">
        <f t="shared" si="4"/>
        <v>6.25E-2</v>
      </c>
    </row>
    <row r="39" spans="1:34" ht="14.4" customHeight="1" x14ac:dyDescent="0.25">
      <c r="A39" s="70">
        <v>29</v>
      </c>
      <c r="B39" s="89" t="s">
        <v>74</v>
      </c>
      <c r="C39" s="88">
        <f t="shared" si="5"/>
        <v>29</v>
      </c>
      <c r="D39" s="92">
        <v>160750</v>
      </c>
      <c r="E39" s="71"/>
      <c r="F39" s="158"/>
      <c r="G39" s="132"/>
      <c r="H39" s="132"/>
      <c r="I39" s="132"/>
      <c r="J39" s="149"/>
      <c r="K39" s="149"/>
      <c r="L39" s="131"/>
      <c r="M39" s="131"/>
      <c r="N39" s="131"/>
      <c r="O39" s="131"/>
      <c r="P39" s="131"/>
      <c r="Q39" s="131"/>
      <c r="R39" s="133"/>
      <c r="S39" s="91">
        <v>42846</v>
      </c>
      <c r="T39" s="71">
        <f t="shared" si="6"/>
        <v>0</v>
      </c>
      <c r="U39" s="23" t="s">
        <v>27</v>
      </c>
      <c r="V39" s="96">
        <f t="shared" si="0"/>
        <v>160750</v>
      </c>
      <c r="W39" s="62" t="s">
        <v>10</v>
      </c>
      <c r="X39" s="78">
        <f t="shared" si="1"/>
        <v>0</v>
      </c>
      <c r="Y39" s="73"/>
      <c r="Z39" s="74">
        <f t="shared" si="7"/>
        <v>0</v>
      </c>
      <c r="AA39" s="75" t="s">
        <v>12</v>
      </c>
      <c r="AB39" s="72">
        <f t="shared" si="8"/>
        <v>0</v>
      </c>
      <c r="AC39" s="76" t="s">
        <v>12</v>
      </c>
      <c r="AD39" s="72">
        <f>SUMIF(Table2[Milestone/ Line],$B39,Table2[Invoice Amount])</f>
        <v>0</v>
      </c>
      <c r="AE39" s="76" t="s">
        <v>10</v>
      </c>
      <c r="AF39" s="77">
        <f t="shared" si="9"/>
        <v>0</v>
      </c>
      <c r="AH39" s="56">
        <f t="shared" si="4"/>
        <v>6.25E-2</v>
      </c>
    </row>
    <row r="40" spans="1:34" ht="14.4" customHeight="1" x14ac:dyDescent="0.25">
      <c r="A40" s="70">
        <v>30</v>
      </c>
      <c r="B40" s="89" t="s">
        <v>75</v>
      </c>
      <c r="C40" s="88">
        <f t="shared" si="5"/>
        <v>30</v>
      </c>
      <c r="D40" s="92">
        <v>160750</v>
      </c>
      <c r="E40" s="71"/>
      <c r="F40" s="158"/>
      <c r="G40" s="132"/>
      <c r="H40" s="132"/>
      <c r="I40" s="132"/>
      <c r="J40" s="149"/>
      <c r="K40" s="149"/>
      <c r="L40" s="131"/>
      <c r="M40" s="131"/>
      <c r="N40" s="131"/>
      <c r="O40" s="131"/>
      <c r="P40" s="131"/>
      <c r="Q40" s="131"/>
      <c r="R40" s="133"/>
      <c r="S40" s="91">
        <v>42856</v>
      </c>
      <c r="T40" s="71">
        <f t="shared" si="6"/>
        <v>0</v>
      </c>
      <c r="U40" s="23" t="s">
        <v>27</v>
      </c>
      <c r="V40" s="96">
        <f t="shared" si="0"/>
        <v>160750</v>
      </c>
      <c r="W40" s="62" t="s">
        <v>10</v>
      </c>
      <c r="X40" s="78">
        <f t="shared" si="1"/>
        <v>0</v>
      </c>
      <c r="Y40" s="73"/>
      <c r="Z40" s="74">
        <f t="shared" si="7"/>
        <v>0</v>
      </c>
      <c r="AA40" s="75" t="s">
        <v>12</v>
      </c>
      <c r="AB40" s="72">
        <f t="shared" si="8"/>
        <v>0</v>
      </c>
      <c r="AC40" s="76" t="s">
        <v>12</v>
      </c>
      <c r="AD40" s="72">
        <f>SUMIF(Table2[Milestone/ Line],$B40,Table2[Invoice Amount])</f>
        <v>0</v>
      </c>
      <c r="AE40" s="76" t="s">
        <v>10</v>
      </c>
      <c r="AF40" s="77">
        <f t="shared" si="9"/>
        <v>0</v>
      </c>
      <c r="AH40" s="56">
        <f t="shared" si="4"/>
        <v>6.25E-2</v>
      </c>
    </row>
    <row r="41" spans="1:34" ht="14.4" customHeight="1" x14ac:dyDescent="0.25">
      <c r="A41" s="70">
        <v>31</v>
      </c>
      <c r="B41" s="89" t="s">
        <v>76</v>
      </c>
      <c r="C41" s="88">
        <f t="shared" si="5"/>
        <v>31</v>
      </c>
      <c r="D41" s="92">
        <v>160750</v>
      </c>
      <c r="E41" s="71"/>
      <c r="F41" s="158"/>
      <c r="G41" s="132"/>
      <c r="H41" s="132"/>
      <c r="I41" s="132"/>
      <c r="J41" s="149"/>
      <c r="K41" s="149"/>
      <c r="L41" s="131"/>
      <c r="M41" s="131"/>
      <c r="N41" s="131"/>
      <c r="O41" s="131"/>
      <c r="P41" s="131"/>
      <c r="Q41" s="131"/>
      <c r="R41" s="133"/>
      <c r="S41" s="91">
        <v>42864</v>
      </c>
      <c r="T41" s="71">
        <f t="shared" si="6"/>
        <v>0</v>
      </c>
      <c r="U41" s="23" t="s">
        <v>27</v>
      </c>
      <c r="V41" s="96">
        <f t="shared" si="0"/>
        <v>160750</v>
      </c>
      <c r="W41" s="62" t="s">
        <v>10</v>
      </c>
      <c r="X41" s="78">
        <f t="shared" si="1"/>
        <v>0</v>
      </c>
      <c r="Y41" s="73"/>
      <c r="Z41" s="74">
        <f t="shared" si="7"/>
        <v>0</v>
      </c>
      <c r="AA41" s="75" t="s">
        <v>12</v>
      </c>
      <c r="AB41" s="72">
        <f t="shared" si="8"/>
        <v>0</v>
      </c>
      <c r="AC41" s="76" t="s">
        <v>12</v>
      </c>
      <c r="AD41" s="72">
        <f>SUMIF(Table2[Milestone/ Line],$B41,Table2[Invoice Amount])</f>
        <v>0</v>
      </c>
      <c r="AE41" s="76" t="s">
        <v>10</v>
      </c>
      <c r="AF41" s="77">
        <f t="shared" si="9"/>
        <v>0</v>
      </c>
      <c r="AH41" s="56">
        <f t="shared" si="4"/>
        <v>6.25E-2</v>
      </c>
    </row>
    <row r="42" spans="1:34" ht="14.4" customHeight="1" x14ac:dyDescent="0.25">
      <c r="A42" s="70">
        <v>32</v>
      </c>
      <c r="B42" s="89" t="s">
        <v>77</v>
      </c>
      <c r="C42" s="88">
        <f t="shared" si="5"/>
        <v>32</v>
      </c>
      <c r="D42" s="92">
        <v>160750</v>
      </c>
      <c r="E42" s="71"/>
      <c r="F42" s="158"/>
      <c r="G42" s="132"/>
      <c r="H42" s="132"/>
      <c r="I42" s="132"/>
      <c r="J42" s="149"/>
      <c r="K42" s="149"/>
      <c r="L42" s="131"/>
      <c r="M42" s="131"/>
      <c r="N42" s="131"/>
      <c r="O42" s="131"/>
      <c r="P42" s="131"/>
      <c r="Q42" s="131"/>
      <c r="R42" s="133"/>
      <c r="S42" s="91">
        <v>42872</v>
      </c>
      <c r="T42" s="71">
        <f t="shared" si="6"/>
        <v>0</v>
      </c>
      <c r="U42" s="23" t="s">
        <v>27</v>
      </c>
      <c r="V42" s="96">
        <f t="shared" si="0"/>
        <v>160750</v>
      </c>
      <c r="W42" s="62" t="s">
        <v>10</v>
      </c>
      <c r="X42" s="78">
        <f t="shared" si="1"/>
        <v>0</v>
      </c>
      <c r="Y42" s="73"/>
      <c r="Z42" s="74">
        <f t="shared" si="7"/>
        <v>0</v>
      </c>
      <c r="AA42" s="75" t="s">
        <v>12</v>
      </c>
      <c r="AB42" s="72">
        <f t="shared" si="8"/>
        <v>0</v>
      </c>
      <c r="AC42" s="76" t="s">
        <v>12</v>
      </c>
      <c r="AD42" s="72">
        <f>SUMIF(Table2[Milestone/ Line],$B42,Table2[Invoice Amount])</f>
        <v>0</v>
      </c>
      <c r="AE42" s="76" t="s">
        <v>10</v>
      </c>
      <c r="AF42" s="77">
        <f t="shared" si="9"/>
        <v>0</v>
      </c>
      <c r="AH42" s="56">
        <f t="shared" si="4"/>
        <v>6.25E-2</v>
      </c>
    </row>
    <row r="43" spans="1:34" ht="14.4" customHeight="1" x14ac:dyDescent="0.25">
      <c r="A43" s="70">
        <v>33</v>
      </c>
      <c r="B43" s="89" t="s">
        <v>78</v>
      </c>
      <c r="C43" s="88">
        <f t="shared" si="5"/>
        <v>33</v>
      </c>
      <c r="D43" s="92">
        <v>160750</v>
      </c>
      <c r="E43" s="71"/>
      <c r="F43" s="158"/>
      <c r="G43" s="132"/>
      <c r="H43" s="132"/>
      <c r="I43" s="132"/>
      <c r="J43" s="149"/>
      <c r="K43" s="149"/>
      <c r="L43" s="131"/>
      <c r="M43" s="131"/>
      <c r="N43" s="131"/>
      <c r="O43" s="131"/>
      <c r="P43" s="131"/>
      <c r="Q43" s="131"/>
      <c r="R43" s="133"/>
      <c r="S43" s="91">
        <v>42880</v>
      </c>
      <c r="T43" s="71">
        <f t="shared" si="6"/>
        <v>0</v>
      </c>
      <c r="U43" s="23" t="s">
        <v>27</v>
      </c>
      <c r="V43" s="96">
        <f t="shared" ref="V43:V61" si="10">D43</f>
        <v>160750</v>
      </c>
      <c r="W43" s="62" t="s">
        <v>10</v>
      </c>
      <c r="X43" s="78">
        <f t="shared" ref="X43:X56" si="11">T43*V43</f>
        <v>0</v>
      </c>
      <c r="Y43" s="73"/>
      <c r="Z43" s="74">
        <f t="shared" si="7"/>
        <v>0</v>
      </c>
      <c r="AA43" s="75" t="s">
        <v>12</v>
      </c>
      <c r="AB43" s="72">
        <f t="shared" si="8"/>
        <v>0</v>
      </c>
      <c r="AC43" s="76" t="s">
        <v>12</v>
      </c>
      <c r="AD43" s="72">
        <f>SUMIF(Table2[Milestone/ Line],$B43,Table2[Invoice Amount])</f>
        <v>0</v>
      </c>
      <c r="AE43" s="76" t="s">
        <v>10</v>
      </c>
      <c r="AF43" s="77">
        <f t="shared" si="9"/>
        <v>0</v>
      </c>
      <c r="AH43" s="56">
        <f t="shared" si="4"/>
        <v>6.25E-2</v>
      </c>
    </row>
    <row r="44" spans="1:34" ht="14.4" customHeight="1" x14ac:dyDescent="0.25">
      <c r="A44" s="70">
        <v>34</v>
      </c>
      <c r="B44" s="89" t="s">
        <v>79</v>
      </c>
      <c r="C44" s="88">
        <f t="shared" si="5"/>
        <v>34</v>
      </c>
      <c r="D44" s="92">
        <v>160750</v>
      </c>
      <c r="E44" s="71"/>
      <c r="F44" s="158"/>
      <c r="G44" s="132"/>
      <c r="H44" s="132"/>
      <c r="I44" s="132"/>
      <c r="J44" s="149"/>
      <c r="K44" s="149"/>
      <c r="L44" s="131"/>
      <c r="M44" s="131"/>
      <c r="N44" s="131"/>
      <c r="O44" s="131"/>
      <c r="P44" s="131"/>
      <c r="Q44" s="131"/>
      <c r="R44" s="133"/>
      <c r="S44" s="91">
        <v>42888</v>
      </c>
      <c r="T44" s="71">
        <f t="shared" si="6"/>
        <v>0</v>
      </c>
      <c r="U44" s="23" t="s">
        <v>27</v>
      </c>
      <c r="V44" s="96">
        <f t="shared" si="10"/>
        <v>160750</v>
      </c>
      <c r="W44" s="62" t="s">
        <v>10</v>
      </c>
      <c r="X44" s="78">
        <f t="shared" si="11"/>
        <v>0</v>
      </c>
      <c r="Y44" s="73"/>
      <c r="Z44" s="74">
        <f t="shared" si="7"/>
        <v>0</v>
      </c>
      <c r="AA44" s="75" t="s">
        <v>12</v>
      </c>
      <c r="AB44" s="72">
        <f t="shared" si="8"/>
        <v>0</v>
      </c>
      <c r="AC44" s="76" t="s">
        <v>12</v>
      </c>
      <c r="AD44" s="72">
        <f>SUMIF(Table2[Milestone/ Line],$B44,Table2[Invoice Amount])</f>
        <v>0</v>
      </c>
      <c r="AE44" s="76" t="s">
        <v>10</v>
      </c>
      <c r="AF44" s="77">
        <f t="shared" si="9"/>
        <v>0</v>
      </c>
      <c r="AH44" s="56">
        <f t="shared" si="4"/>
        <v>6.25E-2</v>
      </c>
    </row>
    <row r="45" spans="1:34" ht="14.4" customHeight="1" x14ac:dyDescent="0.25">
      <c r="A45" s="70">
        <v>35</v>
      </c>
      <c r="B45" s="89" t="s">
        <v>80</v>
      </c>
      <c r="C45" s="88">
        <f t="shared" si="5"/>
        <v>35</v>
      </c>
      <c r="D45" s="92">
        <v>160750</v>
      </c>
      <c r="E45" s="71"/>
      <c r="F45" s="158"/>
      <c r="G45" s="132"/>
      <c r="H45" s="132"/>
      <c r="I45" s="132"/>
      <c r="J45" s="149"/>
      <c r="K45" s="149"/>
      <c r="L45" s="131"/>
      <c r="M45" s="131"/>
      <c r="N45" s="131"/>
      <c r="O45" s="131"/>
      <c r="P45" s="131"/>
      <c r="Q45" s="131"/>
      <c r="R45" s="133"/>
      <c r="S45" s="91">
        <v>42898</v>
      </c>
      <c r="T45" s="71">
        <f t="shared" si="6"/>
        <v>0</v>
      </c>
      <c r="U45" s="23" t="s">
        <v>27</v>
      </c>
      <c r="V45" s="96">
        <f t="shared" si="10"/>
        <v>160750</v>
      </c>
      <c r="W45" s="62" t="s">
        <v>10</v>
      </c>
      <c r="X45" s="78">
        <f t="shared" si="11"/>
        <v>0</v>
      </c>
      <c r="Y45" s="73"/>
      <c r="Z45" s="74">
        <f t="shared" si="7"/>
        <v>0</v>
      </c>
      <c r="AA45" s="75" t="s">
        <v>12</v>
      </c>
      <c r="AB45" s="72">
        <f t="shared" si="8"/>
        <v>0</v>
      </c>
      <c r="AC45" s="76" t="s">
        <v>12</v>
      </c>
      <c r="AD45" s="72">
        <f>SUMIF(Table2[Milestone/ Line],$B45,Table2[Invoice Amount])</f>
        <v>0</v>
      </c>
      <c r="AE45" s="76" t="s">
        <v>10</v>
      </c>
      <c r="AF45" s="77">
        <f t="shared" si="9"/>
        <v>0</v>
      </c>
      <c r="AH45" s="56">
        <f t="shared" si="4"/>
        <v>6.25E-2</v>
      </c>
    </row>
    <row r="46" spans="1:34" ht="14.4" customHeight="1" x14ac:dyDescent="0.25">
      <c r="A46" s="70">
        <v>36</v>
      </c>
      <c r="B46" s="89" t="s">
        <v>81</v>
      </c>
      <c r="C46" s="88">
        <f t="shared" si="5"/>
        <v>36</v>
      </c>
      <c r="D46" s="92">
        <v>160750</v>
      </c>
      <c r="E46" s="71"/>
      <c r="F46" s="158"/>
      <c r="G46" s="132"/>
      <c r="H46" s="132"/>
      <c r="I46" s="132"/>
      <c r="J46" s="149"/>
      <c r="K46" s="149"/>
      <c r="L46" s="131"/>
      <c r="M46" s="131"/>
      <c r="N46" s="131"/>
      <c r="O46" s="131"/>
      <c r="P46" s="131"/>
      <c r="Q46" s="131"/>
      <c r="R46" s="133"/>
      <c r="S46" s="91">
        <v>42906</v>
      </c>
      <c r="T46" s="71">
        <f t="shared" si="6"/>
        <v>0</v>
      </c>
      <c r="U46" s="23" t="s">
        <v>27</v>
      </c>
      <c r="V46" s="96">
        <f t="shared" si="10"/>
        <v>160750</v>
      </c>
      <c r="W46" s="62" t="s">
        <v>10</v>
      </c>
      <c r="X46" s="78">
        <f t="shared" si="11"/>
        <v>0</v>
      </c>
      <c r="Y46" s="73"/>
      <c r="Z46" s="74">
        <f t="shared" si="7"/>
        <v>0</v>
      </c>
      <c r="AA46" s="75" t="s">
        <v>12</v>
      </c>
      <c r="AB46" s="72">
        <f t="shared" si="8"/>
        <v>0</v>
      </c>
      <c r="AC46" s="76" t="s">
        <v>12</v>
      </c>
      <c r="AD46" s="72">
        <f>SUMIF(Table2[Milestone/ Line],$B46,Table2[Invoice Amount])</f>
        <v>0</v>
      </c>
      <c r="AE46" s="76" t="s">
        <v>10</v>
      </c>
      <c r="AF46" s="77">
        <f t="shared" si="9"/>
        <v>0</v>
      </c>
      <c r="AH46" s="56">
        <f t="shared" si="4"/>
        <v>6.25E-2</v>
      </c>
    </row>
    <row r="47" spans="1:34" ht="14.4" customHeight="1" x14ac:dyDescent="0.25">
      <c r="A47" s="70">
        <v>37</v>
      </c>
      <c r="B47" s="89" t="s">
        <v>82</v>
      </c>
      <c r="C47" s="88">
        <f t="shared" si="5"/>
        <v>37</v>
      </c>
      <c r="D47" s="92">
        <v>160750</v>
      </c>
      <c r="E47" s="71"/>
      <c r="F47" s="158"/>
      <c r="G47" s="132"/>
      <c r="H47" s="132"/>
      <c r="I47" s="132"/>
      <c r="J47" s="149"/>
      <c r="K47" s="149"/>
      <c r="L47" s="131"/>
      <c r="M47" s="131"/>
      <c r="N47" s="131"/>
      <c r="O47" s="131"/>
      <c r="P47" s="131"/>
      <c r="Q47" s="131"/>
      <c r="R47" s="133"/>
      <c r="S47" s="91">
        <v>42914</v>
      </c>
      <c r="T47" s="71">
        <f t="shared" si="6"/>
        <v>0</v>
      </c>
      <c r="U47" s="23" t="s">
        <v>27</v>
      </c>
      <c r="V47" s="96">
        <f t="shared" si="10"/>
        <v>160750</v>
      </c>
      <c r="W47" s="62" t="s">
        <v>10</v>
      </c>
      <c r="X47" s="78">
        <f t="shared" si="11"/>
        <v>0</v>
      </c>
      <c r="Y47" s="73"/>
      <c r="Z47" s="74">
        <f t="shared" si="7"/>
        <v>0</v>
      </c>
      <c r="AA47" s="75" t="s">
        <v>12</v>
      </c>
      <c r="AB47" s="72">
        <f t="shared" si="8"/>
        <v>0</v>
      </c>
      <c r="AC47" s="76" t="s">
        <v>12</v>
      </c>
      <c r="AD47" s="72">
        <f>SUMIF(Table2[Milestone/ Line],$B47,Table2[Invoice Amount])</f>
        <v>0</v>
      </c>
      <c r="AE47" s="76" t="s">
        <v>10</v>
      </c>
      <c r="AF47" s="77">
        <f t="shared" si="9"/>
        <v>0</v>
      </c>
      <c r="AH47" s="56">
        <f t="shared" si="4"/>
        <v>6.25E-2</v>
      </c>
    </row>
    <row r="48" spans="1:34" ht="14.4" customHeight="1" x14ac:dyDescent="0.25">
      <c r="A48" s="70">
        <v>38</v>
      </c>
      <c r="B48" s="89" t="s">
        <v>83</v>
      </c>
      <c r="C48" s="88">
        <f t="shared" si="5"/>
        <v>38</v>
      </c>
      <c r="D48" s="92">
        <v>160750</v>
      </c>
      <c r="E48" s="71"/>
      <c r="F48" s="158"/>
      <c r="G48" s="132"/>
      <c r="H48" s="132"/>
      <c r="I48" s="132"/>
      <c r="J48" s="149"/>
      <c r="K48" s="149"/>
      <c r="L48" s="131"/>
      <c r="M48" s="131"/>
      <c r="N48" s="131"/>
      <c r="O48" s="131"/>
      <c r="P48" s="131"/>
      <c r="Q48" s="131"/>
      <c r="R48" s="133"/>
      <c r="S48" s="91">
        <v>42922</v>
      </c>
      <c r="T48" s="71">
        <f t="shared" si="6"/>
        <v>0</v>
      </c>
      <c r="U48" s="23" t="s">
        <v>27</v>
      </c>
      <c r="V48" s="96">
        <f t="shared" si="10"/>
        <v>160750</v>
      </c>
      <c r="W48" s="62" t="s">
        <v>10</v>
      </c>
      <c r="X48" s="78">
        <f t="shared" si="11"/>
        <v>0</v>
      </c>
      <c r="Y48" s="73"/>
      <c r="Z48" s="74">
        <f t="shared" si="7"/>
        <v>0</v>
      </c>
      <c r="AA48" s="75" t="s">
        <v>12</v>
      </c>
      <c r="AB48" s="72">
        <f t="shared" si="8"/>
        <v>0</v>
      </c>
      <c r="AC48" s="76" t="s">
        <v>12</v>
      </c>
      <c r="AD48" s="72">
        <f>SUMIF(Table2[Milestone/ Line],$B48,Table2[Invoice Amount])</f>
        <v>0</v>
      </c>
      <c r="AE48" s="76" t="s">
        <v>10</v>
      </c>
      <c r="AF48" s="77">
        <f t="shared" si="9"/>
        <v>0</v>
      </c>
      <c r="AH48" s="56">
        <f t="shared" si="4"/>
        <v>6.25E-2</v>
      </c>
    </row>
    <row r="49" spans="1:34" ht="14.4" customHeight="1" x14ac:dyDescent="0.25">
      <c r="A49" s="70">
        <v>39</v>
      </c>
      <c r="B49" s="89" t="s">
        <v>84</v>
      </c>
      <c r="C49" s="88">
        <f t="shared" si="5"/>
        <v>39</v>
      </c>
      <c r="D49" s="92">
        <v>160750</v>
      </c>
      <c r="E49" s="71"/>
      <c r="F49" s="158"/>
      <c r="G49" s="132"/>
      <c r="H49" s="132"/>
      <c r="I49" s="132"/>
      <c r="J49" s="149"/>
      <c r="K49" s="149"/>
      <c r="L49" s="131"/>
      <c r="M49" s="131"/>
      <c r="N49" s="131"/>
      <c r="O49" s="131"/>
      <c r="P49" s="131"/>
      <c r="Q49" s="131"/>
      <c r="R49" s="133"/>
      <c r="S49" s="91">
        <v>42930</v>
      </c>
      <c r="T49" s="71">
        <f t="shared" si="6"/>
        <v>0</v>
      </c>
      <c r="U49" s="23" t="s">
        <v>27</v>
      </c>
      <c r="V49" s="96">
        <f t="shared" si="10"/>
        <v>160750</v>
      </c>
      <c r="W49" s="62" t="s">
        <v>10</v>
      </c>
      <c r="X49" s="78">
        <f t="shared" si="11"/>
        <v>0</v>
      </c>
      <c r="Y49" s="73"/>
      <c r="Z49" s="74">
        <f t="shared" si="7"/>
        <v>0</v>
      </c>
      <c r="AA49" s="75" t="s">
        <v>12</v>
      </c>
      <c r="AB49" s="72">
        <f t="shared" si="8"/>
        <v>0</v>
      </c>
      <c r="AC49" s="76" t="s">
        <v>12</v>
      </c>
      <c r="AD49" s="72">
        <f>SUMIF(Table2[Milestone/ Line],$B49,Table2[Invoice Amount])</f>
        <v>0</v>
      </c>
      <c r="AE49" s="76" t="s">
        <v>10</v>
      </c>
      <c r="AF49" s="77">
        <f t="shared" si="9"/>
        <v>0</v>
      </c>
      <c r="AH49" s="56">
        <f t="shared" si="4"/>
        <v>6.25E-2</v>
      </c>
    </row>
    <row r="50" spans="1:34" ht="14.4" customHeight="1" x14ac:dyDescent="0.25">
      <c r="A50" s="70">
        <v>40</v>
      </c>
      <c r="B50" s="89" t="s">
        <v>85</v>
      </c>
      <c r="C50" s="88">
        <f t="shared" si="5"/>
        <v>40</v>
      </c>
      <c r="D50" s="92">
        <v>160750</v>
      </c>
      <c r="E50" s="71"/>
      <c r="F50" s="158"/>
      <c r="G50" s="132"/>
      <c r="H50" s="132"/>
      <c r="I50" s="132"/>
      <c r="J50" s="149"/>
      <c r="K50" s="149"/>
      <c r="L50" s="131"/>
      <c r="M50" s="131"/>
      <c r="N50" s="131"/>
      <c r="O50" s="131"/>
      <c r="P50" s="131"/>
      <c r="Q50" s="131"/>
      <c r="R50" s="133"/>
      <c r="S50" s="91">
        <v>42940</v>
      </c>
      <c r="T50" s="71">
        <f t="shared" si="6"/>
        <v>0</v>
      </c>
      <c r="U50" s="23" t="s">
        <v>27</v>
      </c>
      <c r="V50" s="96">
        <f t="shared" si="10"/>
        <v>160750</v>
      </c>
      <c r="W50" s="62" t="s">
        <v>10</v>
      </c>
      <c r="X50" s="78">
        <f t="shared" si="11"/>
        <v>0</v>
      </c>
      <c r="Y50" s="73"/>
      <c r="Z50" s="74">
        <f t="shared" si="7"/>
        <v>0</v>
      </c>
      <c r="AA50" s="75" t="s">
        <v>12</v>
      </c>
      <c r="AB50" s="72">
        <f t="shared" si="8"/>
        <v>0</v>
      </c>
      <c r="AC50" s="76" t="s">
        <v>12</v>
      </c>
      <c r="AD50" s="72">
        <f>SUMIF(Table2[Milestone/ Line],$B50,Table2[Invoice Amount])</f>
        <v>0</v>
      </c>
      <c r="AE50" s="76" t="s">
        <v>10</v>
      </c>
      <c r="AF50" s="77">
        <f t="shared" si="9"/>
        <v>0</v>
      </c>
      <c r="AH50" s="56">
        <f t="shared" si="4"/>
        <v>6.25E-2</v>
      </c>
    </row>
    <row r="51" spans="1:34" ht="14.4" customHeight="1" x14ac:dyDescent="0.25">
      <c r="A51" s="70">
        <v>41</v>
      </c>
      <c r="B51" s="89" t="s">
        <v>86</v>
      </c>
      <c r="C51" s="88">
        <f t="shared" si="5"/>
        <v>41</v>
      </c>
      <c r="D51" s="92">
        <v>160750</v>
      </c>
      <c r="E51" s="71"/>
      <c r="F51" s="158"/>
      <c r="G51" s="132"/>
      <c r="H51" s="132"/>
      <c r="I51" s="132"/>
      <c r="J51" s="149"/>
      <c r="K51" s="149"/>
      <c r="L51" s="131"/>
      <c r="M51" s="131"/>
      <c r="N51" s="131"/>
      <c r="O51" s="131"/>
      <c r="P51" s="131"/>
      <c r="Q51" s="131"/>
      <c r="R51" s="133"/>
      <c r="S51" s="91">
        <v>42948</v>
      </c>
      <c r="T51" s="71">
        <f t="shared" si="6"/>
        <v>0</v>
      </c>
      <c r="U51" s="23" t="s">
        <v>27</v>
      </c>
      <c r="V51" s="96">
        <f t="shared" si="10"/>
        <v>160750</v>
      </c>
      <c r="W51" s="62" t="s">
        <v>10</v>
      </c>
      <c r="X51" s="78">
        <f t="shared" si="11"/>
        <v>0</v>
      </c>
      <c r="Y51" s="73"/>
      <c r="Z51" s="74">
        <f t="shared" si="7"/>
        <v>0</v>
      </c>
      <c r="AA51" s="75" t="s">
        <v>12</v>
      </c>
      <c r="AB51" s="72">
        <f t="shared" si="8"/>
        <v>0</v>
      </c>
      <c r="AC51" s="76" t="s">
        <v>12</v>
      </c>
      <c r="AD51" s="72">
        <f>SUMIF(Table2[Milestone/ Line],$B51,Table2[Invoice Amount])</f>
        <v>0</v>
      </c>
      <c r="AE51" s="76" t="s">
        <v>10</v>
      </c>
      <c r="AF51" s="77">
        <f t="shared" si="9"/>
        <v>0</v>
      </c>
      <c r="AH51" s="56">
        <f t="shared" si="4"/>
        <v>6.25E-2</v>
      </c>
    </row>
    <row r="52" spans="1:34" ht="14.4" customHeight="1" x14ac:dyDescent="0.25">
      <c r="A52" s="70">
        <v>42</v>
      </c>
      <c r="B52" s="89" t="s">
        <v>87</v>
      </c>
      <c r="C52" s="88">
        <f t="shared" si="5"/>
        <v>42</v>
      </c>
      <c r="D52" s="92">
        <v>160750</v>
      </c>
      <c r="E52" s="71"/>
      <c r="F52" s="158"/>
      <c r="G52" s="132"/>
      <c r="H52" s="132"/>
      <c r="I52" s="132"/>
      <c r="J52" s="149"/>
      <c r="K52" s="149"/>
      <c r="L52" s="131"/>
      <c r="M52" s="131"/>
      <c r="N52" s="131"/>
      <c r="O52" s="131"/>
      <c r="P52" s="131"/>
      <c r="Q52" s="131"/>
      <c r="R52" s="133"/>
      <c r="S52" s="91">
        <v>42956</v>
      </c>
      <c r="T52" s="71">
        <f t="shared" si="6"/>
        <v>0</v>
      </c>
      <c r="U52" s="23" t="s">
        <v>27</v>
      </c>
      <c r="V52" s="96">
        <f t="shared" si="10"/>
        <v>160750</v>
      </c>
      <c r="W52" s="62" t="s">
        <v>10</v>
      </c>
      <c r="X52" s="78">
        <f t="shared" si="11"/>
        <v>0</v>
      </c>
      <c r="Y52" s="73"/>
      <c r="Z52" s="74">
        <f t="shared" si="7"/>
        <v>0</v>
      </c>
      <c r="AA52" s="75" t="s">
        <v>12</v>
      </c>
      <c r="AB52" s="72">
        <f t="shared" si="8"/>
        <v>0</v>
      </c>
      <c r="AC52" s="76" t="s">
        <v>12</v>
      </c>
      <c r="AD52" s="72">
        <f>SUMIF(Table2[Milestone/ Line],$B52,Table2[Invoice Amount])</f>
        <v>0</v>
      </c>
      <c r="AE52" s="76" t="s">
        <v>10</v>
      </c>
      <c r="AF52" s="77">
        <f t="shared" si="9"/>
        <v>0</v>
      </c>
      <c r="AH52" s="56">
        <f t="shared" si="4"/>
        <v>6.25E-2</v>
      </c>
    </row>
    <row r="53" spans="1:34" ht="14.4" customHeight="1" x14ac:dyDescent="0.25">
      <c r="A53" s="70">
        <v>43</v>
      </c>
      <c r="B53" s="89" t="s">
        <v>88</v>
      </c>
      <c r="C53" s="88">
        <f t="shared" si="5"/>
        <v>43</v>
      </c>
      <c r="D53" s="92">
        <v>160750</v>
      </c>
      <c r="E53" s="71"/>
      <c r="F53" s="158"/>
      <c r="G53" s="132"/>
      <c r="H53" s="132"/>
      <c r="I53" s="132"/>
      <c r="J53" s="149"/>
      <c r="K53" s="149"/>
      <c r="L53" s="131"/>
      <c r="M53" s="131"/>
      <c r="N53" s="131"/>
      <c r="O53" s="131"/>
      <c r="P53" s="131"/>
      <c r="Q53" s="131"/>
      <c r="R53" s="133"/>
      <c r="S53" s="91">
        <v>42964</v>
      </c>
      <c r="T53" s="71">
        <f t="shared" si="6"/>
        <v>0</v>
      </c>
      <c r="U53" s="23" t="s">
        <v>27</v>
      </c>
      <c r="V53" s="96">
        <f t="shared" si="10"/>
        <v>160750</v>
      </c>
      <c r="W53" s="62" t="s">
        <v>10</v>
      </c>
      <c r="X53" s="78">
        <f t="shared" si="11"/>
        <v>0</v>
      </c>
      <c r="Y53" s="73"/>
      <c r="Z53" s="74">
        <f t="shared" si="7"/>
        <v>0</v>
      </c>
      <c r="AA53" s="75" t="s">
        <v>12</v>
      </c>
      <c r="AB53" s="72">
        <f t="shared" si="8"/>
        <v>0</v>
      </c>
      <c r="AC53" s="76" t="s">
        <v>12</v>
      </c>
      <c r="AD53" s="72">
        <f>SUMIF(Table2[Milestone/ Line],$B53,Table2[Invoice Amount])</f>
        <v>0</v>
      </c>
      <c r="AE53" s="76" t="s">
        <v>10</v>
      </c>
      <c r="AF53" s="77">
        <f t="shared" si="9"/>
        <v>0</v>
      </c>
      <c r="AH53" s="56">
        <f t="shared" si="4"/>
        <v>6.25E-2</v>
      </c>
    </row>
    <row r="54" spans="1:34" ht="14.4" customHeight="1" x14ac:dyDescent="0.25">
      <c r="A54" s="70">
        <v>44</v>
      </c>
      <c r="B54" s="89" t="s">
        <v>89</v>
      </c>
      <c r="C54" s="88">
        <f t="shared" si="5"/>
        <v>44</v>
      </c>
      <c r="D54" s="92">
        <v>160750</v>
      </c>
      <c r="E54" s="71"/>
      <c r="F54" s="158"/>
      <c r="G54" s="132"/>
      <c r="H54" s="132"/>
      <c r="I54" s="132"/>
      <c r="J54" s="149"/>
      <c r="K54" s="149"/>
      <c r="L54" s="131"/>
      <c r="M54" s="131"/>
      <c r="N54" s="131"/>
      <c r="O54" s="131"/>
      <c r="P54" s="131"/>
      <c r="Q54" s="131"/>
      <c r="R54" s="133"/>
      <c r="S54" s="91">
        <v>42972</v>
      </c>
      <c r="T54" s="71">
        <f t="shared" si="6"/>
        <v>0</v>
      </c>
      <c r="U54" s="23" t="s">
        <v>27</v>
      </c>
      <c r="V54" s="96">
        <f t="shared" si="10"/>
        <v>160750</v>
      </c>
      <c r="W54" s="62" t="s">
        <v>10</v>
      </c>
      <c r="X54" s="78">
        <f t="shared" si="11"/>
        <v>0</v>
      </c>
      <c r="Y54" s="73"/>
      <c r="Z54" s="74">
        <f t="shared" si="7"/>
        <v>0</v>
      </c>
      <c r="AA54" s="75" t="s">
        <v>12</v>
      </c>
      <c r="AB54" s="72">
        <f t="shared" ref="AB54:AB61" si="12">Z54-AD54</f>
        <v>0</v>
      </c>
      <c r="AC54" s="76" t="s">
        <v>12</v>
      </c>
      <c r="AD54" s="72">
        <f>SUMIF(Table2[Milestone/ Line],$B54,Table2[Invoice Amount])</f>
        <v>0</v>
      </c>
      <c r="AE54" s="76" t="s">
        <v>10</v>
      </c>
      <c r="AF54" s="77">
        <f t="shared" si="9"/>
        <v>0</v>
      </c>
      <c r="AH54" s="56">
        <f t="shared" si="4"/>
        <v>6.25E-2</v>
      </c>
    </row>
    <row r="55" spans="1:34" ht="14.4" customHeight="1" x14ac:dyDescent="0.25">
      <c r="A55" s="70">
        <v>45</v>
      </c>
      <c r="B55" s="89" t="s">
        <v>90</v>
      </c>
      <c r="C55" s="88">
        <f t="shared" si="5"/>
        <v>45</v>
      </c>
      <c r="D55" s="93">
        <v>160750</v>
      </c>
      <c r="E55" s="71"/>
      <c r="F55" s="158"/>
      <c r="G55" s="132"/>
      <c r="H55" s="132"/>
      <c r="I55" s="132"/>
      <c r="J55" s="149"/>
      <c r="K55" s="149"/>
      <c r="L55" s="131"/>
      <c r="M55" s="131"/>
      <c r="N55" s="131"/>
      <c r="O55" s="131"/>
      <c r="P55" s="131"/>
      <c r="Q55" s="131"/>
      <c r="R55" s="133"/>
      <c r="S55" s="90">
        <v>42997</v>
      </c>
      <c r="T55" s="71">
        <f t="shared" si="6"/>
        <v>0</v>
      </c>
      <c r="U55" s="23" t="s">
        <v>27</v>
      </c>
      <c r="V55" s="96">
        <f t="shared" si="10"/>
        <v>160750</v>
      </c>
      <c r="W55" s="62" t="s">
        <v>10</v>
      </c>
      <c r="X55" s="78">
        <f t="shared" si="11"/>
        <v>0</v>
      </c>
      <c r="Y55" s="73"/>
      <c r="Z55" s="74">
        <f t="shared" si="7"/>
        <v>0</v>
      </c>
      <c r="AA55" s="75" t="s">
        <v>12</v>
      </c>
      <c r="AB55" s="72">
        <f t="shared" si="12"/>
        <v>0</v>
      </c>
      <c r="AC55" s="76" t="s">
        <v>12</v>
      </c>
      <c r="AD55" s="72">
        <f>SUMIF(Table2[Milestone/ Line],$B55,Table2[Invoice Amount])</f>
        <v>0</v>
      </c>
      <c r="AE55" s="76" t="s">
        <v>10</v>
      </c>
      <c r="AF55" s="77">
        <f t="shared" si="9"/>
        <v>0</v>
      </c>
      <c r="AH55" s="56">
        <f t="shared" si="4"/>
        <v>6.25E-2</v>
      </c>
    </row>
    <row r="56" spans="1:34" ht="14.4" customHeight="1" x14ac:dyDescent="0.25">
      <c r="A56" s="70">
        <v>46</v>
      </c>
      <c r="B56" s="89" t="s">
        <v>96</v>
      </c>
      <c r="C56" s="88">
        <f t="shared" si="5"/>
        <v>46</v>
      </c>
      <c r="D56" s="93">
        <v>38000</v>
      </c>
      <c r="E56" s="130">
        <v>1</v>
      </c>
      <c r="F56" s="158"/>
      <c r="G56" s="175"/>
      <c r="H56" s="175"/>
      <c r="I56" s="175"/>
      <c r="J56" s="151"/>
      <c r="K56" s="151"/>
      <c r="L56" s="131"/>
      <c r="M56" s="131"/>
      <c r="N56" s="131"/>
      <c r="O56" s="131"/>
      <c r="P56" s="131"/>
      <c r="Q56" s="131"/>
      <c r="R56" s="133"/>
      <c r="S56" s="90">
        <v>42614</v>
      </c>
      <c r="T56" s="71">
        <f t="shared" si="6"/>
        <v>1</v>
      </c>
      <c r="U56" s="23" t="s">
        <v>27</v>
      </c>
      <c r="V56" s="96">
        <f t="shared" si="10"/>
        <v>38000</v>
      </c>
      <c r="W56" s="62" t="s">
        <v>10</v>
      </c>
      <c r="X56" s="78">
        <f t="shared" si="11"/>
        <v>38000</v>
      </c>
      <c r="Y56" s="73"/>
      <c r="Z56" s="74">
        <f t="shared" si="7"/>
        <v>38000</v>
      </c>
      <c r="AA56" s="75" t="s">
        <v>12</v>
      </c>
      <c r="AB56" s="72">
        <f t="shared" si="12"/>
        <v>0</v>
      </c>
      <c r="AC56" s="76" t="s">
        <v>12</v>
      </c>
      <c r="AD56" s="72">
        <f>SUMIF(Table2[Milestone/ Line],$B56,Table2[Invoice Amount])</f>
        <v>38000</v>
      </c>
      <c r="AE56" s="76" t="s">
        <v>10</v>
      </c>
      <c r="AF56" s="77">
        <f t="shared" si="9"/>
        <v>0</v>
      </c>
      <c r="AH56" s="56">
        <f t="shared" si="4"/>
        <v>6.25E-2</v>
      </c>
    </row>
    <row r="57" spans="1:34" ht="14.4" customHeight="1" x14ac:dyDescent="0.25">
      <c r="A57" s="70">
        <v>47</v>
      </c>
      <c r="B57" s="89" t="s">
        <v>103</v>
      </c>
      <c r="C57" s="88">
        <f t="shared" si="5"/>
        <v>47</v>
      </c>
      <c r="D57" s="93">
        <v>71500</v>
      </c>
      <c r="E57" s="71">
        <v>1</v>
      </c>
      <c r="F57" s="158"/>
      <c r="G57" s="132"/>
      <c r="H57" s="132"/>
      <c r="I57" s="132"/>
      <c r="J57" s="149"/>
      <c r="K57" s="149"/>
      <c r="L57" s="131"/>
      <c r="M57" s="131"/>
      <c r="N57" s="131"/>
      <c r="O57" s="131"/>
      <c r="P57" s="131"/>
      <c r="Q57" s="131"/>
      <c r="R57" s="133"/>
      <c r="S57" s="90">
        <v>42643</v>
      </c>
      <c r="T57" s="71">
        <f t="shared" si="6"/>
        <v>1</v>
      </c>
      <c r="U57" s="23" t="s">
        <v>27</v>
      </c>
      <c r="V57" s="96">
        <f t="shared" si="10"/>
        <v>71500</v>
      </c>
      <c r="W57" s="136" t="s">
        <v>10</v>
      </c>
      <c r="X57" s="78">
        <f>T57*V57</f>
        <v>71500</v>
      </c>
      <c r="Y57" s="73"/>
      <c r="Z57" s="74">
        <f>+X57</f>
        <v>71500</v>
      </c>
      <c r="AA57" s="75" t="s">
        <v>12</v>
      </c>
      <c r="AB57" s="72">
        <f t="shared" si="12"/>
        <v>0</v>
      </c>
      <c r="AC57" s="76" t="s">
        <v>12</v>
      </c>
      <c r="AD57" s="72">
        <f>SUMIF(Table2[Milestone/ Line],$B57,Table2[Invoice Amount])</f>
        <v>71500</v>
      </c>
      <c r="AE57" s="76" t="s">
        <v>10</v>
      </c>
      <c r="AF57" s="77">
        <f>+Z57-AB57-AD57</f>
        <v>0</v>
      </c>
      <c r="AH57" s="138">
        <f>9200/147200</f>
        <v>6.25E-2</v>
      </c>
    </row>
    <row r="58" spans="1:34" ht="14.4" customHeight="1" x14ac:dyDescent="0.25">
      <c r="A58" s="70">
        <v>48</v>
      </c>
      <c r="B58" s="89" t="s">
        <v>432</v>
      </c>
      <c r="C58" s="88">
        <f t="shared" si="5"/>
        <v>48</v>
      </c>
      <c r="D58" s="93">
        <v>484000</v>
      </c>
      <c r="E58" s="71"/>
      <c r="F58" s="158">
        <v>17132.759999999998</v>
      </c>
      <c r="G58" s="132">
        <v>102796.56000000003</v>
      </c>
      <c r="H58" s="132"/>
      <c r="I58" s="132">
        <f>16*4283.18</f>
        <v>68530.880000000005</v>
      </c>
      <c r="J58" s="149"/>
      <c r="K58" s="149"/>
      <c r="L58" s="131"/>
      <c r="M58" s="131"/>
      <c r="N58" s="131"/>
      <c r="O58" s="131"/>
      <c r="P58" s="131"/>
      <c r="Q58" s="131"/>
      <c r="R58" s="133"/>
      <c r="S58" s="90">
        <v>42987</v>
      </c>
      <c r="T58" s="71">
        <f t="shared" si="6"/>
        <v>0.38938057851239671</v>
      </c>
      <c r="U58" s="23" t="s">
        <v>27</v>
      </c>
      <c r="V58" s="96">
        <f t="shared" si="10"/>
        <v>484000</v>
      </c>
      <c r="W58" s="136" t="s">
        <v>10</v>
      </c>
      <c r="X58" s="78">
        <f>T58*V58</f>
        <v>188460.2</v>
      </c>
      <c r="Y58" s="73"/>
      <c r="Z58" s="74">
        <f>+X58</f>
        <v>188460.2</v>
      </c>
      <c r="AA58" s="75" t="s">
        <v>12</v>
      </c>
      <c r="AB58" s="72">
        <f t="shared" si="12"/>
        <v>85663.88</v>
      </c>
      <c r="AC58" s="76" t="s">
        <v>12</v>
      </c>
      <c r="AD58" s="72">
        <f>SUMIF(Table2[Milestone/ Line],$B58,Table2[Invoice Amount])</f>
        <v>102796.32</v>
      </c>
      <c r="AE58" s="76" t="s">
        <v>10</v>
      </c>
      <c r="AF58" s="77">
        <f>+Z58-AB58-AD58</f>
        <v>0</v>
      </c>
      <c r="AH58" s="138">
        <f>9200/147200</f>
        <v>6.25E-2</v>
      </c>
    </row>
    <row r="59" spans="1:34" ht="14.4" customHeight="1" x14ac:dyDescent="0.25">
      <c r="A59" s="70">
        <v>49</v>
      </c>
      <c r="B59" s="137" t="s">
        <v>433</v>
      </c>
      <c r="C59" s="88">
        <f t="shared" si="5"/>
        <v>49</v>
      </c>
      <c r="D59" s="93">
        <v>57800</v>
      </c>
      <c r="E59" s="95"/>
      <c r="F59" s="159"/>
      <c r="G59" s="174">
        <v>13720</v>
      </c>
      <c r="H59" s="174">
        <v>112.56</v>
      </c>
      <c r="I59" s="174">
        <f>16*494.02</f>
        <v>7904.32</v>
      </c>
      <c r="J59" s="150"/>
      <c r="K59" s="150"/>
      <c r="L59" s="131"/>
      <c r="M59" s="131"/>
      <c r="N59" s="131"/>
      <c r="O59" s="131"/>
      <c r="P59" s="131"/>
      <c r="Q59" s="131"/>
      <c r="R59" s="133"/>
      <c r="S59" s="86"/>
      <c r="T59" s="71">
        <f t="shared" si="6"/>
        <v>0.37607058823529405</v>
      </c>
      <c r="U59" s="23"/>
      <c r="V59" s="96">
        <f t="shared" si="10"/>
        <v>57800</v>
      </c>
      <c r="W59" s="136"/>
      <c r="X59" s="78">
        <f>T59*V59</f>
        <v>21736.879999999997</v>
      </c>
      <c r="Y59" s="73"/>
      <c r="Z59" s="74">
        <f>+X59</f>
        <v>21736.879999999997</v>
      </c>
      <c r="AA59" s="75"/>
      <c r="AB59" s="72">
        <f t="shared" si="12"/>
        <v>7904.3199999999979</v>
      </c>
      <c r="AC59" s="76"/>
      <c r="AD59" s="72">
        <f>SUMIF(Table2[Milestone/ Line],$B59,Table2[Invoice Amount])</f>
        <v>13832.56</v>
      </c>
      <c r="AE59" s="76"/>
      <c r="AF59" s="77">
        <f>+Z59-AB59-AD59</f>
        <v>0</v>
      </c>
      <c r="AH59" s="138">
        <f>9200/147200</f>
        <v>6.25E-2</v>
      </c>
    </row>
    <row r="60" spans="1:34" ht="14.4" customHeight="1" x14ac:dyDescent="0.25">
      <c r="A60" s="70">
        <v>50</v>
      </c>
      <c r="B60" s="137" t="s">
        <v>423</v>
      </c>
      <c r="C60" s="88">
        <f t="shared" si="5"/>
        <v>50</v>
      </c>
      <c r="D60" s="93">
        <v>21335</v>
      </c>
      <c r="E60" s="95"/>
      <c r="F60" s="159"/>
      <c r="G60" s="174"/>
      <c r="H60" s="174">
        <v>21335</v>
      </c>
      <c r="I60" s="174"/>
      <c r="J60" s="150"/>
      <c r="K60" s="150"/>
      <c r="L60" s="131"/>
      <c r="M60" s="131"/>
      <c r="N60" s="131"/>
      <c r="O60" s="131"/>
      <c r="P60" s="131"/>
      <c r="Q60" s="131"/>
      <c r="R60" s="133"/>
      <c r="S60" s="87"/>
      <c r="T60" s="71">
        <f t="shared" si="6"/>
        <v>1</v>
      </c>
      <c r="U60" s="23"/>
      <c r="V60" s="96">
        <f t="shared" si="10"/>
        <v>21335</v>
      </c>
      <c r="W60" s="167"/>
      <c r="X60" s="78">
        <f>T60*V60</f>
        <v>21335</v>
      </c>
      <c r="Y60" s="73"/>
      <c r="Z60" s="74">
        <f>+X60</f>
        <v>21335</v>
      </c>
      <c r="AA60" s="75"/>
      <c r="AB60" s="72">
        <f t="shared" si="12"/>
        <v>0</v>
      </c>
      <c r="AC60" s="76"/>
      <c r="AD60" s="72">
        <f>SUMIF(Table2[Milestone/ Line],$B60,Table2[Invoice Amount])</f>
        <v>21335</v>
      </c>
      <c r="AE60" s="76"/>
      <c r="AF60" s="77">
        <f>+Z60-AB60-AD60</f>
        <v>0</v>
      </c>
      <c r="AH60" s="138"/>
    </row>
    <row r="61" spans="1:34" ht="14.4" customHeight="1" x14ac:dyDescent="0.25">
      <c r="A61" s="70">
        <v>51</v>
      </c>
      <c r="B61" s="89" t="s">
        <v>422</v>
      </c>
      <c r="C61" s="88">
        <f t="shared" si="5"/>
        <v>51</v>
      </c>
      <c r="D61" s="93">
        <v>499817.6</v>
      </c>
      <c r="E61" s="71"/>
      <c r="F61" s="160"/>
      <c r="G61" s="132"/>
      <c r="H61" s="132"/>
      <c r="I61" s="132"/>
      <c r="J61" s="149"/>
      <c r="K61" s="149"/>
      <c r="L61" s="131"/>
      <c r="M61" s="131"/>
      <c r="N61" s="131"/>
      <c r="O61" s="131"/>
      <c r="P61" s="131"/>
      <c r="Q61" s="131"/>
      <c r="R61" s="133"/>
      <c r="S61" s="90"/>
      <c r="T61" s="71">
        <f t="shared" si="6"/>
        <v>0</v>
      </c>
      <c r="U61" s="23" t="s">
        <v>27</v>
      </c>
      <c r="V61" s="96">
        <f t="shared" si="10"/>
        <v>499817.6</v>
      </c>
      <c r="W61" s="62" t="s">
        <v>10</v>
      </c>
      <c r="X61" s="78">
        <f>T61*V61</f>
        <v>0</v>
      </c>
      <c r="Y61" s="73"/>
      <c r="Z61" s="74">
        <f t="shared" si="7"/>
        <v>0</v>
      </c>
      <c r="AA61" s="75" t="s">
        <v>12</v>
      </c>
      <c r="AB61" s="72">
        <f t="shared" si="12"/>
        <v>0</v>
      </c>
      <c r="AC61" s="76" t="s">
        <v>12</v>
      </c>
      <c r="AD61" s="72">
        <f>SUMIF(Table2[Milestone/ Line],$B61,Table2[Invoice Amount])</f>
        <v>0</v>
      </c>
      <c r="AE61" s="76" t="s">
        <v>10</v>
      </c>
      <c r="AF61" s="77">
        <f>+Z61-AB61-AD61</f>
        <v>0</v>
      </c>
      <c r="AH61" s="56">
        <f t="shared" si="4"/>
        <v>6.25E-2</v>
      </c>
    </row>
    <row r="62" spans="1:34" ht="14.4" customHeight="1" x14ac:dyDescent="0.25">
      <c r="A62" s="139" t="s">
        <v>108</v>
      </c>
      <c r="B62" s="140"/>
      <c r="C62" s="140"/>
      <c r="D62" s="141">
        <f>SUBTOTAL(109,' Accting USE Data Entry Form'!$V$11:$V$61)</f>
        <v>11650324.6</v>
      </c>
      <c r="E62" s="141"/>
      <c r="F62" s="141"/>
      <c r="G62" s="141"/>
      <c r="H62" s="213">
        <f>SUM(H11:H61)</f>
        <v>30647.559999999998</v>
      </c>
      <c r="I62" s="213"/>
      <c r="J62" s="141"/>
      <c r="K62" s="141"/>
      <c r="L62" s="141"/>
      <c r="M62" s="141"/>
      <c r="N62" s="141"/>
      <c r="O62" s="141"/>
      <c r="P62" s="141"/>
      <c r="Q62" s="141"/>
      <c r="R62" s="142"/>
      <c r="S62" s="143"/>
      <c r="T62" s="144"/>
      <c r="U62" s="80"/>
      <c r="V62" s="141">
        <f>SUBTOTAL(109,' Accting USE Data Entry Form'!$V$11:$V$61)</f>
        <v>11650324.6</v>
      </c>
      <c r="W62" s="136"/>
      <c r="X62" s="145">
        <f>SUBTOTAL(109,' Accting USE Data Entry Form'!$X$11:$X$61)</f>
        <v>7650143.7399219107</v>
      </c>
      <c r="Y62" s="146"/>
      <c r="Z62" s="147">
        <f>SUBTOTAL(109,' Accting USE Data Entry Form'!$Z$11:$Z$61)</f>
        <v>7650143.7399219107</v>
      </c>
      <c r="AA62" s="66"/>
      <c r="AB62" s="145">
        <f>SUBTOTAL(109,' Accting USE Data Entry Form'!$AB$11:$AB$61)</f>
        <v>692753.19992191112</v>
      </c>
      <c r="AC62" s="66"/>
      <c r="AD62" s="145">
        <f>SUBTOTAL(109,' Accting USE Data Entry Form'!$AD$11:$AD$61)</f>
        <v>6957390.54</v>
      </c>
      <c r="AE62" s="66"/>
      <c r="AF62" s="148">
        <f>SUBTOTAL(109,' Accting USE Data Entry Form'!$AF$11:$AF$61)</f>
        <v>0</v>
      </c>
      <c r="AG62" s="56">
        <f>SUBTOTAL(103,' Accting USE Data Entry Form'!$AG$11:$AG$61)</f>
        <v>3</v>
      </c>
      <c r="AH62"/>
    </row>
    <row r="63" spans="1:34" ht="14.4" customHeight="1" x14ac:dyDescent="0.25"/>
    <row r="64" spans="1:34" ht="14.4" customHeight="1" thickBot="1" x14ac:dyDescent="0.3">
      <c r="A64" s="67" t="s">
        <v>7</v>
      </c>
      <c r="W64" s="294"/>
      <c r="X64" s="294"/>
      <c r="Y64" s="294"/>
      <c r="Z64" s="294"/>
      <c r="AA64" s="294"/>
      <c r="AB64" s="294"/>
      <c r="AC64" s="80"/>
      <c r="AD64" s="48">
        <f>Form!K5</f>
        <v>42794</v>
      </c>
    </row>
    <row r="65" spans="1:30" ht="14.4" customHeight="1" x14ac:dyDescent="0.25">
      <c r="W65" s="64"/>
      <c r="X65" s="65"/>
      <c r="Y65" s="64"/>
      <c r="Z65" s="81"/>
      <c r="AD65" s="82" t="s">
        <v>3</v>
      </c>
    </row>
    <row r="66" spans="1:30" ht="14.4" customHeight="1" x14ac:dyDescent="0.25">
      <c r="W66" s="64"/>
      <c r="X66" s="65"/>
      <c r="Y66" s="64"/>
      <c r="Z66" s="81"/>
      <c r="AD66" s="82"/>
    </row>
    <row r="67" spans="1:30" x14ac:dyDescent="0.25">
      <c r="A67" s="67" t="s">
        <v>8</v>
      </c>
      <c r="W67" s="64"/>
      <c r="X67" s="83"/>
      <c r="Y67" s="23"/>
      <c r="Z67" s="84"/>
      <c r="AA67" s="80"/>
      <c r="AB67" s="85"/>
      <c r="AD67" s="69"/>
    </row>
    <row r="68" spans="1:30" x14ac:dyDescent="0.25">
      <c r="AD68" s="82" t="s">
        <v>3</v>
      </c>
    </row>
  </sheetData>
  <sheetProtection selectLockedCells="1"/>
  <mergeCells count="7">
    <mergeCell ref="W64:AB64"/>
    <mergeCell ref="T5:Y5"/>
    <mergeCell ref="T7:W7"/>
    <mergeCell ref="T8:V8"/>
    <mergeCell ref="A1:AF1"/>
    <mergeCell ref="A2:AF2"/>
    <mergeCell ref="A3:AF3"/>
  </mergeCells>
  <phoneticPr fontId="6" type="noConversion"/>
  <conditionalFormatting sqref="A11:AJ66">
    <cfRule type="expression" dxfId="69" priority="1" stopIfTrue="1">
      <formula>AND($T11=100%,$AB11=0)</formula>
    </cfRule>
  </conditionalFormatting>
  <conditionalFormatting sqref="A11:AJ1000">
    <cfRule type="expression" dxfId="68" priority="2">
      <formula>$T11=100%</formula>
    </cfRule>
  </conditionalFormatting>
  <pageMargins left="0.75" right="0.75" top="1" bottom="1" header="0.5" footer="0.5"/>
  <pageSetup scale="59" orientation="landscape" horizontalDpi="200" verticalDpi="200" r:id="rId1"/>
  <headerFooter alignWithMargins="0">
    <oddFooter>&amp;L&amp;Z&amp;F &amp;A</oddFooter>
  </headerFooter>
  <ignoredErrors>
    <ignoredError sqref="AD64" unlockedFormula="1"/>
  </ignoredErrors>
  <extLst>
    <ext xmlns:x14="http://schemas.microsoft.com/office/spreadsheetml/2009/9/main" uri="{CCE6A557-97BC-4b89-ADB6-D9C93CAAB3DF}">
      <x14:dataValidations xmlns:xm="http://schemas.microsoft.com/office/excel/2006/main" count="1">
        <x14:dataValidation type="list" allowBlank="1">
          <x14:formula1>
            <xm:f>List!$A$4:$A$24</xm:f>
          </x14:formula1>
          <xm:sqref>E11:E61 F59:F61 T11:T61 G11:K61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opLeftCell="A6" zoomScale="70" zoomScaleNormal="70" workbookViewId="0">
      <pane xSplit="4" ySplit="5" topLeftCell="E28" activePane="bottomRight" state="frozen"/>
      <selection activeCell="A6" sqref="A6"/>
      <selection pane="topRight" activeCell="E6" sqref="E6"/>
      <selection pane="bottomLeft" activeCell="A11" sqref="A11"/>
      <selection pane="bottomRight" activeCell="F24" sqref="F24:F61"/>
    </sheetView>
  </sheetViews>
  <sheetFormatPr defaultColWidth="29.5546875" defaultRowHeight="13.2" x14ac:dyDescent="0.25"/>
  <cols>
    <col min="1" max="1" width="7" style="67" customWidth="1"/>
    <col min="2" max="2" width="56.109375" style="56" customWidth="1"/>
    <col min="3" max="3" width="14.33203125" style="56" customWidth="1"/>
    <col min="4" max="4" width="8.77734375" style="56" customWidth="1"/>
    <col min="5" max="5" width="11.5546875" style="56" customWidth="1"/>
    <col min="6" max="6" width="13.33203125" style="56" bestFit="1" customWidth="1"/>
    <col min="7" max="16" width="9.6640625" style="56" customWidth="1"/>
    <col min="17" max="17" width="9.6640625" style="167" customWidth="1"/>
    <col min="18" max="18" width="12.5546875" style="56" customWidth="1"/>
    <col min="19" max="19" width="16.21875" style="167" customWidth="1"/>
    <col min="20" max="20" width="4.109375" style="56" customWidth="1"/>
    <col min="21" max="21" width="14.88671875" style="56" customWidth="1"/>
    <col min="22" max="22" width="3.88671875" style="167" customWidth="1"/>
    <col min="23" max="23" width="15.77734375" style="164" customWidth="1"/>
    <col min="24" max="24" width="3.88671875" style="167" customWidth="1"/>
    <col min="25" max="25" width="12.44140625" style="56" customWidth="1"/>
    <col min="26" max="26" width="2.44140625" style="56" customWidth="1"/>
    <col min="27" max="27" width="10.77734375" style="164" customWidth="1"/>
    <col min="28" max="28" width="2.44140625" style="56" customWidth="1"/>
    <col min="29" max="29" width="14.44140625" style="164" customWidth="1"/>
    <col min="30" max="30" width="5" style="56" customWidth="1"/>
    <col min="31" max="31" width="18.77734375" style="164" customWidth="1"/>
    <col min="32" max="16384" width="29.5546875" style="56"/>
  </cols>
  <sheetData>
    <row r="1" spans="1:32" ht="15.6" x14ac:dyDescent="0.3">
      <c r="A1" s="288" t="s">
        <v>4</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row>
    <row r="2" spans="1:32" x14ac:dyDescent="0.25">
      <c r="A2" s="287" t="s">
        <v>9</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row>
    <row r="3" spans="1:32" x14ac:dyDescent="0.25">
      <c r="A3" s="287" t="s">
        <v>19</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row>
    <row r="5" spans="1:32" ht="15" customHeight="1" x14ac:dyDescent="0.25">
      <c r="A5" s="61"/>
      <c r="B5" s="165" t="s">
        <v>0</v>
      </c>
      <c r="C5" s="165"/>
      <c r="D5" s="165"/>
      <c r="E5" s="165"/>
      <c r="F5" s="165"/>
      <c r="G5" s="165"/>
      <c r="H5" s="165"/>
      <c r="I5" s="165"/>
      <c r="J5" s="165"/>
      <c r="K5" s="165"/>
      <c r="L5" s="165"/>
      <c r="M5" s="165"/>
      <c r="N5" s="165"/>
      <c r="O5" s="165"/>
      <c r="P5" s="165"/>
      <c r="Q5" s="165"/>
      <c r="R5" s="164"/>
      <c r="S5" s="281" t="s">
        <v>56</v>
      </c>
      <c r="T5" s="281"/>
      <c r="U5" s="281"/>
      <c r="V5" s="281"/>
      <c r="W5" s="281"/>
      <c r="X5" s="281"/>
      <c r="Y5" s="64"/>
      <c r="Z5" s="64" t="s">
        <v>26</v>
      </c>
      <c r="AC5" s="98">
        <v>42735</v>
      </c>
    </row>
    <row r="6" spans="1:32" x14ac:dyDescent="0.25">
      <c r="A6" s="63"/>
      <c r="B6" s="164"/>
      <c r="C6" s="164"/>
      <c r="D6" s="164"/>
      <c r="E6" s="164"/>
      <c r="F6" s="164"/>
      <c r="G6" s="164"/>
      <c r="H6" s="164"/>
      <c r="I6" s="164"/>
      <c r="J6" s="164"/>
      <c r="K6" s="164"/>
      <c r="L6" s="164"/>
      <c r="M6" s="164"/>
      <c r="N6" s="164"/>
      <c r="O6" s="164"/>
      <c r="P6" s="164"/>
      <c r="Q6" s="66"/>
      <c r="R6" s="164"/>
      <c r="W6" s="65"/>
      <c r="Z6" s="64"/>
      <c r="AC6" s="66" t="s">
        <v>6</v>
      </c>
    </row>
    <row r="7" spans="1:32" ht="13.2" customHeight="1" x14ac:dyDescent="0.25">
      <c r="A7" s="164"/>
      <c r="B7" s="57" t="s">
        <v>2</v>
      </c>
      <c r="C7" s="57"/>
      <c r="D7" s="57"/>
      <c r="E7" s="57"/>
      <c r="F7" s="57"/>
      <c r="G7" s="57"/>
      <c r="H7" s="57"/>
      <c r="I7" s="57"/>
      <c r="J7" s="57"/>
      <c r="K7" s="57"/>
      <c r="L7" s="57"/>
      <c r="M7" s="57"/>
      <c r="N7" s="57"/>
      <c r="O7" s="57"/>
      <c r="P7" s="57"/>
      <c r="Q7" s="57"/>
      <c r="R7" s="164"/>
      <c r="S7" s="295" t="s">
        <v>50</v>
      </c>
      <c r="T7" s="295"/>
      <c r="U7" s="295"/>
      <c r="V7" s="295"/>
      <c r="Z7" s="64"/>
      <c r="AA7" s="49" t="s">
        <v>16</v>
      </c>
      <c r="AC7" s="65"/>
    </row>
    <row r="8" spans="1:32" x14ac:dyDescent="0.25">
      <c r="B8" s="58" t="s">
        <v>41</v>
      </c>
      <c r="C8" s="58"/>
      <c r="D8" s="58"/>
      <c r="E8" s="58"/>
      <c r="F8" s="58"/>
      <c r="G8" s="58"/>
      <c r="H8" s="58"/>
      <c r="I8" s="58"/>
      <c r="J8" s="58"/>
      <c r="K8" s="58"/>
      <c r="L8" s="58"/>
      <c r="M8" s="58"/>
      <c r="N8" s="58"/>
      <c r="O8" s="58"/>
      <c r="P8" s="58"/>
      <c r="Q8" s="58"/>
      <c r="R8" s="64"/>
      <c r="S8" s="296" t="s">
        <v>57</v>
      </c>
      <c r="T8" s="296"/>
      <c r="U8" s="296"/>
      <c r="V8" s="68"/>
      <c r="Z8" s="64" t="s">
        <v>17</v>
      </c>
      <c r="AC8" s="69"/>
    </row>
    <row r="9" spans="1:32" x14ac:dyDescent="0.25">
      <c r="B9" s="58"/>
      <c r="C9" s="58"/>
      <c r="D9" s="58"/>
      <c r="E9" s="58"/>
      <c r="F9" s="58"/>
      <c r="G9" s="58"/>
      <c r="H9" s="58"/>
      <c r="I9" s="58"/>
      <c r="J9" s="58"/>
      <c r="K9" s="58"/>
      <c r="L9" s="58"/>
      <c r="M9" s="58"/>
      <c r="N9" s="58"/>
      <c r="O9" s="58"/>
      <c r="P9" s="58"/>
      <c r="Q9" s="58"/>
      <c r="R9" s="64"/>
      <c r="S9" s="129"/>
      <c r="T9" s="129"/>
      <c r="U9" s="129"/>
      <c r="V9" s="68"/>
      <c r="Z9" s="64"/>
      <c r="AC9" s="69"/>
    </row>
    <row r="10" spans="1:32" s="82" customFormat="1" ht="44.4" customHeight="1" x14ac:dyDescent="0.25">
      <c r="A10" s="152" t="s">
        <v>1</v>
      </c>
      <c r="B10" s="152" t="s">
        <v>48</v>
      </c>
      <c r="C10" s="152" t="s">
        <v>24</v>
      </c>
      <c r="D10" s="152" t="s">
        <v>397</v>
      </c>
      <c r="E10" s="168">
        <v>42675</v>
      </c>
      <c r="F10" s="166">
        <v>42705</v>
      </c>
      <c r="G10" s="166">
        <v>42736</v>
      </c>
      <c r="H10" s="166">
        <v>42767</v>
      </c>
      <c r="I10" s="166">
        <v>42795</v>
      </c>
      <c r="J10" s="166">
        <v>42826</v>
      </c>
      <c r="K10" s="166">
        <v>42856</v>
      </c>
      <c r="L10" s="166">
        <v>42887</v>
      </c>
      <c r="M10" s="166">
        <v>42917</v>
      </c>
      <c r="N10" s="166">
        <v>42948</v>
      </c>
      <c r="O10" s="166">
        <v>42979</v>
      </c>
      <c r="P10" s="166">
        <v>43009</v>
      </c>
      <c r="Q10" s="166">
        <v>43040</v>
      </c>
      <c r="R10" s="152" t="s">
        <v>51</v>
      </c>
      <c r="S10" s="152" t="s">
        <v>5</v>
      </c>
      <c r="T10" s="153" t="s">
        <v>107</v>
      </c>
      <c r="U10" s="152" t="s">
        <v>395</v>
      </c>
      <c r="V10" s="154" t="s">
        <v>10</v>
      </c>
      <c r="W10" s="152" t="s">
        <v>11</v>
      </c>
      <c r="X10" s="155" t="s">
        <v>380</v>
      </c>
      <c r="Y10" s="152" t="s">
        <v>382</v>
      </c>
      <c r="Z10" s="153" t="s">
        <v>12</v>
      </c>
      <c r="AA10" s="152" t="s">
        <v>15</v>
      </c>
      <c r="AB10" s="154" t="s">
        <v>383</v>
      </c>
      <c r="AC10" s="152" t="s">
        <v>13</v>
      </c>
      <c r="AD10" s="154" t="s">
        <v>384</v>
      </c>
      <c r="AE10" s="152" t="s">
        <v>14</v>
      </c>
      <c r="AF10" s="82" t="s">
        <v>381</v>
      </c>
    </row>
    <row r="11" spans="1:32" ht="14.4" customHeight="1" x14ac:dyDescent="0.25">
      <c r="A11" s="70">
        <v>1</v>
      </c>
      <c r="B11" s="88" t="s">
        <v>49</v>
      </c>
      <c r="C11" s="96">
        <v>157470</v>
      </c>
      <c r="D11" s="71">
        <v>1</v>
      </c>
      <c r="E11" s="157"/>
      <c r="F11" s="132"/>
      <c r="G11" s="132"/>
      <c r="H11" s="132"/>
      <c r="I11" s="132"/>
      <c r="J11" s="132"/>
      <c r="K11" s="133"/>
      <c r="L11" s="133"/>
      <c r="M11" s="133"/>
      <c r="N11" s="133"/>
      <c r="O11" s="133"/>
      <c r="P11" s="133"/>
      <c r="Q11" s="132"/>
      <c r="R11" s="86">
        <v>42248</v>
      </c>
      <c r="S11" s="176">
        <f t="shared" ref="S11:S22" si="0">IF(D11&lt;1,SUM(E11:Q11)/C11+D11,1)</f>
        <v>1</v>
      </c>
      <c r="T11" s="23" t="s">
        <v>27</v>
      </c>
      <c r="U11" s="96">
        <f t="shared" ref="U11:U42" si="1">C11</f>
        <v>157470</v>
      </c>
      <c r="V11" s="167" t="s">
        <v>10</v>
      </c>
      <c r="W11" s="72">
        <f t="shared" ref="W11:W61" si="2">S11*U11</f>
        <v>157470</v>
      </c>
      <c r="X11" s="73"/>
      <c r="Y11" s="74">
        <f t="shared" ref="Y11:Y16" si="3">+W11</f>
        <v>157470</v>
      </c>
      <c r="Z11" s="75" t="s">
        <v>12</v>
      </c>
      <c r="AA11" s="72">
        <f t="shared" ref="AA11:AA61" si="4">Y11-AC11</f>
        <v>0</v>
      </c>
      <c r="AB11" s="76" t="s">
        <v>12</v>
      </c>
      <c r="AC11" s="72">
        <f>SUMIF(Invoices!$E$2:$E$1048576,' Accting USE Data Entry Form'!B11,Invoices!$F$2:$F$1048576)</f>
        <v>157470</v>
      </c>
      <c r="AD11" s="76" t="s">
        <v>10</v>
      </c>
      <c r="AE11" s="77">
        <f>+Y11-AA11-AC11</f>
        <v>0</v>
      </c>
    </row>
    <row r="12" spans="1:32" ht="14.4" customHeight="1" x14ac:dyDescent="0.25">
      <c r="A12" s="70">
        <v>2</v>
      </c>
      <c r="B12" s="88" t="s">
        <v>47</v>
      </c>
      <c r="C12" s="97">
        <v>157470</v>
      </c>
      <c r="D12" s="71">
        <v>1</v>
      </c>
      <c r="E12" s="157"/>
      <c r="F12" s="132"/>
      <c r="G12" s="132"/>
      <c r="H12" s="132"/>
      <c r="I12" s="132"/>
      <c r="J12" s="132"/>
      <c r="K12" s="133"/>
      <c r="L12" s="133"/>
      <c r="M12" s="133"/>
      <c r="N12" s="133"/>
      <c r="O12" s="133"/>
      <c r="P12" s="133"/>
      <c r="Q12" s="132"/>
      <c r="R12" s="86">
        <v>42309</v>
      </c>
      <c r="S12" s="176">
        <f t="shared" si="0"/>
        <v>1</v>
      </c>
      <c r="T12" s="23" t="s">
        <v>27</v>
      </c>
      <c r="U12" s="96">
        <f t="shared" si="1"/>
        <v>157470</v>
      </c>
      <c r="V12" s="167" t="s">
        <v>10</v>
      </c>
      <c r="W12" s="72">
        <f t="shared" si="2"/>
        <v>157470</v>
      </c>
      <c r="X12" s="73"/>
      <c r="Y12" s="74">
        <f t="shared" si="3"/>
        <v>157470</v>
      </c>
      <c r="Z12" s="75" t="s">
        <v>12</v>
      </c>
      <c r="AA12" s="72">
        <f t="shared" si="4"/>
        <v>0</v>
      </c>
      <c r="AB12" s="76" t="s">
        <v>12</v>
      </c>
      <c r="AC12" s="72">
        <f>SUMIF(Invoices!$E$2:$E$1048576,' Accting USE Data Entry Form'!B12,Invoices!$F$2:$F$1048576)</f>
        <v>157470</v>
      </c>
      <c r="AD12" s="76" t="s">
        <v>10</v>
      </c>
      <c r="AE12" s="77">
        <f>+Y12-AA12-AC12</f>
        <v>0</v>
      </c>
    </row>
    <row r="13" spans="1:32" ht="14.4" customHeight="1" x14ac:dyDescent="0.25">
      <c r="A13" s="70">
        <v>3</v>
      </c>
      <c r="B13" s="88" t="s">
        <v>53</v>
      </c>
      <c r="C13" s="97">
        <v>104980</v>
      </c>
      <c r="D13" s="71">
        <v>1</v>
      </c>
      <c r="E13" s="157"/>
      <c r="F13" s="132"/>
      <c r="G13" s="132"/>
      <c r="H13" s="132"/>
      <c r="I13" s="132"/>
      <c r="J13" s="132"/>
      <c r="K13" s="133"/>
      <c r="L13" s="133"/>
      <c r="M13" s="133"/>
      <c r="N13" s="133"/>
      <c r="O13" s="133"/>
      <c r="P13" s="133"/>
      <c r="Q13" s="132"/>
      <c r="R13" s="87">
        <v>42339</v>
      </c>
      <c r="S13" s="176">
        <f t="shared" si="0"/>
        <v>1</v>
      </c>
      <c r="T13" s="23" t="s">
        <v>27</v>
      </c>
      <c r="U13" s="96">
        <f t="shared" si="1"/>
        <v>104980</v>
      </c>
      <c r="V13" s="167" t="s">
        <v>10</v>
      </c>
      <c r="W13" s="72">
        <f t="shared" si="2"/>
        <v>104980</v>
      </c>
      <c r="X13" s="73"/>
      <c r="Y13" s="74">
        <f t="shared" si="3"/>
        <v>104980</v>
      </c>
      <c r="Z13" s="75" t="s">
        <v>12</v>
      </c>
      <c r="AA13" s="72">
        <f t="shared" si="4"/>
        <v>0</v>
      </c>
      <c r="AB13" s="76" t="s">
        <v>12</v>
      </c>
      <c r="AC13" s="72">
        <f>SUMIF(Invoices!$E$2:$E$1048576,' Accting USE Data Entry Form'!B13,Invoices!$F$2:$F$1048576)</f>
        <v>104980</v>
      </c>
      <c r="AD13" s="76" t="s">
        <v>10</v>
      </c>
      <c r="AE13" s="77">
        <f>+Y13-AA13-AC13</f>
        <v>0</v>
      </c>
    </row>
    <row r="14" spans="1:32" ht="14.4" customHeight="1" x14ac:dyDescent="0.25">
      <c r="A14" s="70">
        <v>4</v>
      </c>
      <c r="B14" s="88" t="s">
        <v>54</v>
      </c>
      <c r="C14" s="97">
        <v>104980</v>
      </c>
      <c r="D14" s="71">
        <v>1</v>
      </c>
      <c r="E14" s="157"/>
      <c r="F14" s="132"/>
      <c r="G14" s="132"/>
      <c r="H14" s="132"/>
      <c r="I14" s="132"/>
      <c r="J14" s="132"/>
      <c r="K14" s="133"/>
      <c r="L14" s="133"/>
      <c r="M14" s="133"/>
      <c r="N14" s="133"/>
      <c r="O14" s="133"/>
      <c r="P14" s="133"/>
      <c r="Q14" s="132"/>
      <c r="R14" s="87">
        <f>R11+180</f>
        <v>42428</v>
      </c>
      <c r="S14" s="176">
        <f t="shared" si="0"/>
        <v>1</v>
      </c>
      <c r="T14" s="23" t="s">
        <v>27</v>
      </c>
      <c r="U14" s="96">
        <f t="shared" si="1"/>
        <v>104980</v>
      </c>
      <c r="V14" s="167" t="s">
        <v>10</v>
      </c>
      <c r="W14" s="72">
        <f t="shared" si="2"/>
        <v>104980</v>
      </c>
      <c r="X14" s="73"/>
      <c r="Y14" s="74">
        <f t="shared" si="3"/>
        <v>104980</v>
      </c>
      <c r="Z14" s="75" t="s">
        <v>12</v>
      </c>
      <c r="AA14" s="72">
        <f t="shared" si="4"/>
        <v>0</v>
      </c>
      <c r="AB14" s="76" t="s">
        <v>12</v>
      </c>
      <c r="AC14" s="72">
        <f>SUMIF(Invoices!$E$2:$E$1048576,' Accting USE Data Entry Form'!B14,Invoices!$F$2:$F$1048576)</f>
        <v>104980</v>
      </c>
      <c r="AD14" s="76" t="s">
        <v>10</v>
      </c>
      <c r="AE14" s="77">
        <f>+Y14-AA14-AC14</f>
        <v>0</v>
      </c>
    </row>
    <row r="15" spans="1:32" ht="14.4" customHeight="1" x14ac:dyDescent="0.25">
      <c r="A15" s="70">
        <v>5</v>
      </c>
      <c r="B15" s="88" t="s">
        <v>104</v>
      </c>
      <c r="C15" s="97">
        <v>317520</v>
      </c>
      <c r="D15" s="71">
        <v>1</v>
      </c>
      <c r="E15" s="157"/>
      <c r="F15" s="132"/>
      <c r="G15" s="132"/>
      <c r="H15" s="132"/>
      <c r="I15" s="132"/>
      <c r="J15" s="132"/>
      <c r="K15" s="133"/>
      <c r="L15" s="133"/>
      <c r="M15" s="133"/>
      <c r="N15" s="133"/>
      <c r="O15" s="133"/>
      <c r="P15" s="133"/>
      <c r="Q15" s="132"/>
      <c r="R15" s="86">
        <v>42342</v>
      </c>
      <c r="S15" s="176">
        <f t="shared" si="0"/>
        <v>1</v>
      </c>
      <c r="T15" s="23" t="s">
        <v>27</v>
      </c>
      <c r="U15" s="96">
        <f t="shared" si="1"/>
        <v>317520</v>
      </c>
      <c r="V15" s="167" t="s">
        <v>10</v>
      </c>
      <c r="W15" s="78">
        <f t="shared" si="2"/>
        <v>317520</v>
      </c>
      <c r="X15" s="73"/>
      <c r="Y15" s="74">
        <f t="shared" si="3"/>
        <v>317520</v>
      </c>
      <c r="Z15" s="75" t="s">
        <v>12</v>
      </c>
      <c r="AA15" s="72">
        <f t="shared" si="4"/>
        <v>0</v>
      </c>
      <c r="AB15" s="76" t="s">
        <v>12</v>
      </c>
      <c r="AC15" s="72">
        <f>SUMIF(Invoices!$E$2:$E$1048576,' Accting USE Data Entry Form'!B15,Invoices!$F$2:$F$1048576)</f>
        <v>317520</v>
      </c>
      <c r="AD15" s="76" t="s">
        <v>10</v>
      </c>
      <c r="AE15" s="77">
        <f>+Y15-AA15-AC15</f>
        <v>0</v>
      </c>
    </row>
    <row r="16" spans="1:32" ht="14.4" customHeight="1" x14ac:dyDescent="0.25">
      <c r="A16" s="70">
        <v>6</v>
      </c>
      <c r="B16" s="88" t="s">
        <v>105</v>
      </c>
      <c r="C16" s="97">
        <v>423360</v>
      </c>
      <c r="D16" s="71">
        <v>1</v>
      </c>
      <c r="E16" s="157"/>
      <c r="F16" s="132"/>
      <c r="G16" s="132"/>
      <c r="H16" s="132"/>
      <c r="I16" s="132"/>
      <c r="J16" s="132"/>
      <c r="K16" s="133"/>
      <c r="L16" s="133"/>
      <c r="M16" s="133"/>
      <c r="N16" s="133"/>
      <c r="O16" s="133"/>
      <c r="P16" s="133"/>
      <c r="Q16" s="132"/>
      <c r="R16" s="86">
        <v>42349</v>
      </c>
      <c r="S16" s="176">
        <f t="shared" si="0"/>
        <v>1</v>
      </c>
      <c r="T16" s="23" t="s">
        <v>27</v>
      </c>
      <c r="U16" s="96">
        <f t="shared" si="1"/>
        <v>423360</v>
      </c>
      <c r="V16" s="167" t="s">
        <v>10</v>
      </c>
      <c r="W16" s="78">
        <f t="shared" si="2"/>
        <v>423360</v>
      </c>
      <c r="X16" s="73"/>
      <c r="Y16" s="74">
        <f t="shared" si="3"/>
        <v>423360</v>
      </c>
      <c r="Z16" s="75" t="s">
        <v>12</v>
      </c>
      <c r="AA16" s="72">
        <f t="shared" si="4"/>
        <v>0</v>
      </c>
      <c r="AB16" s="76" t="s">
        <v>12</v>
      </c>
      <c r="AC16" s="72">
        <f>SUMIF(Invoices!$E$2:$E$1048576,' Accting USE Data Entry Form'!B16,Invoices!$F$2:$F$1048576)</f>
        <v>423360</v>
      </c>
      <c r="AD16" s="76" t="s">
        <v>10</v>
      </c>
      <c r="AE16" s="77">
        <v>0</v>
      </c>
      <c r="AF16" s="79"/>
    </row>
    <row r="17" spans="1:31" ht="14.4" customHeight="1" x14ac:dyDescent="0.25">
      <c r="A17" s="70">
        <v>7</v>
      </c>
      <c r="B17" s="89" t="s">
        <v>106</v>
      </c>
      <c r="C17" s="97">
        <v>1607500</v>
      </c>
      <c r="D17" s="95">
        <v>1</v>
      </c>
      <c r="E17" s="157"/>
      <c r="F17" s="174"/>
      <c r="G17" s="174"/>
      <c r="H17" s="174"/>
      <c r="I17" s="174"/>
      <c r="J17" s="174"/>
      <c r="K17" s="133"/>
      <c r="L17" s="133"/>
      <c r="M17" s="133"/>
      <c r="N17" s="133"/>
      <c r="O17" s="133"/>
      <c r="P17" s="133"/>
      <c r="Q17" s="132"/>
      <c r="R17" s="86">
        <v>42356</v>
      </c>
      <c r="S17" s="176">
        <f t="shared" si="0"/>
        <v>1</v>
      </c>
      <c r="T17" s="23" t="s">
        <v>27</v>
      </c>
      <c r="U17" s="96">
        <f t="shared" si="1"/>
        <v>1607500</v>
      </c>
      <c r="V17" s="167" t="s">
        <v>10</v>
      </c>
      <c r="W17" s="78">
        <f t="shared" si="2"/>
        <v>1607500</v>
      </c>
      <c r="X17" s="73"/>
      <c r="Y17" s="74">
        <f>+W17</f>
        <v>1607500</v>
      </c>
      <c r="Z17" s="75" t="s">
        <v>12</v>
      </c>
      <c r="AA17" s="72">
        <f t="shared" si="4"/>
        <v>0</v>
      </c>
      <c r="AB17" s="76" t="s">
        <v>12</v>
      </c>
      <c r="AC17" s="72">
        <f>SUMIF(Invoices!$E$2:$E$1048576,' Accting USE Data Entry Form'!B17,Invoices!$F$2:$F$1048576)</f>
        <v>1607500</v>
      </c>
      <c r="AD17" s="76" t="s">
        <v>10</v>
      </c>
      <c r="AE17" s="77">
        <f>+Y17-AA17-AC17</f>
        <v>0</v>
      </c>
    </row>
    <row r="18" spans="1:31" ht="14.4" customHeight="1" x14ac:dyDescent="0.25">
      <c r="A18" s="70">
        <v>8</v>
      </c>
      <c r="B18" s="89" t="s">
        <v>58</v>
      </c>
      <c r="C18" s="92">
        <v>1446750</v>
      </c>
      <c r="D18" s="95">
        <v>1</v>
      </c>
      <c r="E18" s="158"/>
      <c r="F18" s="174"/>
      <c r="G18" s="174"/>
      <c r="H18" s="174"/>
      <c r="I18" s="174"/>
      <c r="J18" s="174"/>
      <c r="K18" s="133"/>
      <c r="L18" s="133"/>
      <c r="M18" s="133"/>
      <c r="N18" s="133"/>
      <c r="O18" s="133"/>
      <c r="P18" s="133"/>
      <c r="Q18" s="133"/>
      <c r="R18" s="86">
        <v>42460</v>
      </c>
      <c r="S18" s="176">
        <f t="shared" si="0"/>
        <v>1</v>
      </c>
      <c r="T18" s="23" t="s">
        <v>27</v>
      </c>
      <c r="U18" s="96">
        <f t="shared" si="1"/>
        <v>1446750</v>
      </c>
      <c r="V18" s="167" t="s">
        <v>10</v>
      </c>
      <c r="W18" s="78">
        <f t="shared" si="2"/>
        <v>1446750</v>
      </c>
      <c r="X18" s="73"/>
      <c r="Y18" s="74">
        <f>+W18</f>
        <v>1446750</v>
      </c>
      <c r="Z18" s="75" t="s">
        <v>12</v>
      </c>
      <c r="AA18" s="72">
        <f t="shared" si="4"/>
        <v>0</v>
      </c>
      <c r="AB18" s="76" t="s">
        <v>12</v>
      </c>
      <c r="AC18" s="72">
        <f>SUMIF(Invoices!$E$2:$E$1048576,' Accting USE Data Entry Form'!B18,Invoices!$F$2:$F$1048576)</f>
        <v>1446750</v>
      </c>
      <c r="AD18" s="76" t="s">
        <v>10</v>
      </c>
      <c r="AE18" s="77">
        <f>+Y18-AA18-AC18</f>
        <v>0</v>
      </c>
    </row>
    <row r="19" spans="1:31" ht="14.4" customHeight="1" x14ac:dyDescent="0.25">
      <c r="A19" s="70">
        <v>9</v>
      </c>
      <c r="B19" s="89" t="s">
        <v>59</v>
      </c>
      <c r="C19" s="92">
        <v>317520</v>
      </c>
      <c r="D19" s="95">
        <v>1</v>
      </c>
      <c r="E19" s="158"/>
      <c r="F19" s="174"/>
      <c r="G19" s="174"/>
      <c r="H19" s="174"/>
      <c r="I19" s="174"/>
      <c r="J19" s="174"/>
      <c r="K19" s="133"/>
      <c r="L19" s="133"/>
      <c r="M19" s="133"/>
      <c r="N19" s="133"/>
      <c r="O19" s="133"/>
      <c r="P19" s="133"/>
      <c r="Q19" s="133"/>
      <c r="R19" s="86">
        <v>42607</v>
      </c>
      <c r="S19" s="176">
        <f t="shared" si="0"/>
        <v>1</v>
      </c>
      <c r="T19" s="23" t="s">
        <v>27</v>
      </c>
      <c r="U19" s="96">
        <f t="shared" si="1"/>
        <v>317520</v>
      </c>
      <c r="V19" s="167" t="s">
        <v>10</v>
      </c>
      <c r="W19" s="78">
        <f t="shared" si="2"/>
        <v>317520</v>
      </c>
      <c r="X19" s="73"/>
      <c r="Y19" s="74">
        <f>+W19</f>
        <v>317520</v>
      </c>
      <c r="Z19" s="75"/>
      <c r="AA19" s="72">
        <f t="shared" si="4"/>
        <v>0</v>
      </c>
      <c r="AB19" s="76" t="s">
        <v>12</v>
      </c>
      <c r="AC19" s="72">
        <f>SUMIF(Invoices!$E$2:$E$1048576,' Accting USE Data Entry Form'!B19,Invoices!$F$2:$F$1048576)</f>
        <v>317520</v>
      </c>
      <c r="AD19" s="76" t="s">
        <v>10</v>
      </c>
      <c r="AE19" s="77">
        <f>+Y19-AA19-AC19</f>
        <v>0</v>
      </c>
    </row>
    <row r="20" spans="1:31" ht="14.4" customHeight="1" x14ac:dyDescent="0.25">
      <c r="A20" s="70">
        <v>10</v>
      </c>
      <c r="B20" s="89" t="s">
        <v>60</v>
      </c>
      <c r="C20" s="92">
        <v>160750</v>
      </c>
      <c r="D20" s="95">
        <v>1</v>
      </c>
      <c r="E20" s="158"/>
      <c r="F20" s="174"/>
      <c r="G20" s="174"/>
      <c r="H20" s="174"/>
      <c r="I20" s="174"/>
      <c r="J20" s="174"/>
      <c r="K20" s="133"/>
      <c r="L20" s="133"/>
      <c r="M20" s="133"/>
      <c r="N20" s="133"/>
      <c r="O20" s="133"/>
      <c r="P20" s="133"/>
      <c r="Q20" s="133"/>
      <c r="R20" s="86">
        <v>42719</v>
      </c>
      <c r="S20" s="176">
        <f t="shared" si="0"/>
        <v>1</v>
      </c>
      <c r="T20" s="23" t="s">
        <v>27</v>
      </c>
      <c r="U20" s="96">
        <f t="shared" si="1"/>
        <v>160750</v>
      </c>
      <c r="V20" s="167" t="s">
        <v>10</v>
      </c>
      <c r="W20" s="78">
        <f t="shared" si="2"/>
        <v>160750</v>
      </c>
      <c r="X20" s="73"/>
      <c r="Y20" s="74">
        <f>+W20</f>
        <v>160750</v>
      </c>
      <c r="Z20" s="75" t="s">
        <v>12</v>
      </c>
      <c r="AA20" s="72">
        <f t="shared" si="4"/>
        <v>0</v>
      </c>
      <c r="AB20" s="76" t="s">
        <v>12</v>
      </c>
      <c r="AC20" s="72">
        <f>SUMIF(Invoices!$E$2:$E$1048576,' Accting USE Data Entry Form'!B20,Invoices!$F$2:$F$1048576)</f>
        <v>160750</v>
      </c>
      <c r="AD20" s="76" t="s">
        <v>10</v>
      </c>
      <c r="AE20" s="77">
        <f>+Y20-AA20-AC20</f>
        <v>0</v>
      </c>
    </row>
    <row r="21" spans="1:31" ht="14.4" customHeight="1" x14ac:dyDescent="0.25">
      <c r="A21" s="70">
        <v>11</v>
      </c>
      <c r="B21" s="89" t="s">
        <v>61</v>
      </c>
      <c r="C21" s="92">
        <v>160750</v>
      </c>
      <c r="D21" s="95">
        <v>1</v>
      </c>
      <c r="E21" s="158"/>
      <c r="F21" s="174"/>
      <c r="G21" s="174"/>
      <c r="H21" s="174"/>
      <c r="I21" s="174"/>
      <c r="J21" s="174"/>
      <c r="K21" s="133"/>
      <c r="L21" s="133"/>
      <c r="M21" s="133"/>
      <c r="N21" s="133"/>
      <c r="O21" s="133"/>
      <c r="P21" s="133"/>
      <c r="Q21" s="133"/>
      <c r="R21" s="86">
        <v>42738</v>
      </c>
      <c r="S21" s="176">
        <f t="shared" si="0"/>
        <v>1</v>
      </c>
      <c r="T21" s="23" t="s">
        <v>27</v>
      </c>
      <c r="U21" s="96">
        <f t="shared" si="1"/>
        <v>160750</v>
      </c>
      <c r="V21" s="167" t="s">
        <v>10</v>
      </c>
      <c r="W21" s="78">
        <f t="shared" si="2"/>
        <v>160750</v>
      </c>
      <c r="X21" s="73"/>
      <c r="Y21" s="74">
        <f t="shared" ref="Y21:Y61" si="5">+W21</f>
        <v>160750</v>
      </c>
      <c r="Z21" s="75" t="s">
        <v>12</v>
      </c>
      <c r="AA21" s="72">
        <f t="shared" si="4"/>
        <v>0</v>
      </c>
      <c r="AB21" s="76" t="s">
        <v>12</v>
      </c>
      <c r="AC21" s="72">
        <f>SUMIF(Invoices!$E$2:$E$1048576,' Accting USE Data Entry Form'!B21,Invoices!$F$2:$F$1048576)</f>
        <v>160750</v>
      </c>
      <c r="AD21" s="76" t="s">
        <v>10</v>
      </c>
      <c r="AE21" s="77">
        <f t="shared" ref="AE21:AE61" si="6">+Y21-AA21-AC21</f>
        <v>0</v>
      </c>
    </row>
    <row r="22" spans="1:31" ht="14.4" customHeight="1" x14ac:dyDescent="0.25">
      <c r="A22" s="70">
        <v>12</v>
      </c>
      <c r="B22" s="89" t="s">
        <v>62</v>
      </c>
      <c r="C22" s="92">
        <v>160750</v>
      </c>
      <c r="D22" s="130">
        <v>1</v>
      </c>
      <c r="E22" s="158"/>
      <c r="F22" s="175"/>
      <c r="G22" s="175"/>
      <c r="H22" s="175"/>
      <c r="I22" s="175"/>
      <c r="J22" s="175"/>
      <c r="K22" s="133"/>
      <c r="L22" s="133"/>
      <c r="M22" s="133"/>
      <c r="N22" s="133"/>
      <c r="O22" s="133"/>
      <c r="P22" s="133"/>
      <c r="Q22" s="133"/>
      <c r="R22" s="86">
        <v>42746</v>
      </c>
      <c r="S22" s="176">
        <f t="shared" si="0"/>
        <v>1</v>
      </c>
      <c r="T22" s="23" t="s">
        <v>27</v>
      </c>
      <c r="U22" s="96">
        <f t="shared" si="1"/>
        <v>160750</v>
      </c>
      <c r="V22" s="167" t="s">
        <v>10</v>
      </c>
      <c r="W22" s="78">
        <f t="shared" si="2"/>
        <v>160750</v>
      </c>
      <c r="X22" s="73"/>
      <c r="Y22" s="74">
        <f t="shared" si="5"/>
        <v>160750</v>
      </c>
      <c r="Z22" s="75" t="s">
        <v>12</v>
      </c>
      <c r="AA22" s="72">
        <f t="shared" si="4"/>
        <v>0</v>
      </c>
      <c r="AB22" s="76" t="s">
        <v>12</v>
      </c>
      <c r="AC22" s="72">
        <f>SUMIF(Invoices!$E$2:$E$1048576,' Accting USE Data Entry Form'!B22,Invoices!$F$2:$F$1048576)</f>
        <v>160750</v>
      </c>
      <c r="AD22" s="76" t="s">
        <v>10</v>
      </c>
      <c r="AE22" s="77">
        <f t="shared" si="6"/>
        <v>0</v>
      </c>
    </row>
    <row r="23" spans="1:31" ht="14.4" customHeight="1" x14ac:dyDescent="0.25">
      <c r="A23" s="70">
        <v>13</v>
      </c>
      <c r="B23" s="89" t="s">
        <v>63</v>
      </c>
      <c r="C23" s="92">
        <v>160750</v>
      </c>
      <c r="D23" s="95">
        <v>-3.1918911957973251E-16</v>
      </c>
      <c r="E23" s="158">
        <v>160750</v>
      </c>
      <c r="F23" s="174"/>
      <c r="G23" s="174"/>
      <c r="H23" s="174"/>
      <c r="I23" s="174"/>
      <c r="J23" s="174"/>
      <c r="K23" s="133"/>
      <c r="L23" s="133"/>
      <c r="M23" s="133"/>
      <c r="N23" s="133"/>
      <c r="O23" s="133"/>
      <c r="P23" s="133"/>
      <c r="Q23" s="133"/>
      <c r="R23" s="86">
        <v>42754</v>
      </c>
      <c r="S23" s="176">
        <f>IF(D23&lt;1,SUM(E23:Q23)/C23+D23,1)</f>
        <v>0.99999999999999967</v>
      </c>
      <c r="T23" s="23" t="s">
        <v>27</v>
      </c>
      <c r="U23" s="96">
        <f t="shared" si="1"/>
        <v>160750</v>
      </c>
      <c r="V23" s="167" t="s">
        <v>10</v>
      </c>
      <c r="W23" s="78">
        <f t="shared" si="2"/>
        <v>160749.99999999994</v>
      </c>
      <c r="X23" s="73"/>
      <c r="Y23" s="74">
        <f t="shared" si="5"/>
        <v>160749.99999999994</v>
      </c>
      <c r="Z23" s="75" t="s">
        <v>12</v>
      </c>
      <c r="AA23" s="72">
        <f t="shared" si="4"/>
        <v>0</v>
      </c>
      <c r="AB23" s="76" t="s">
        <v>12</v>
      </c>
      <c r="AC23" s="72">
        <f>SUMIF(Invoices!$E$2:$E$1048576,' Accting USE Data Entry Form'!B23,Invoices!$F$2:$F$1048576)</f>
        <v>160750</v>
      </c>
      <c r="AD23" s="76" t="s">
        <v>10</v>
      </c>
      <c r="AE23" s="77">
        <f t="shared" si="6"/>
        <v>0</v>
      </c>
    </row>
    <row r="24" spans="1:31" ht="14.4" customHeight="1" x14ac:dyDescent="0.25">
      <c r="A24" s="70">
        <v>14</v>
      </c>
      <c r="B24" s="89" t="s">
        <v>64</v>
      </c>
      <c r="C24" s="92">
        <v>160750</v>
      </c>
      <c r="D24" s="95"/>
      <c r="E24" s="158"/>
      <c r="F24" s="174">
        <v>160750</v>
      </c>
      <c r="G24" s="174"/>
      <c r="H24" s="174"/>
      <c r="I24" s="174"/>
      <c r="J24" s="174"/>
      <c r="K24" s="133"/>
      <c r="L24" s="133"/>
      <c r="M24" s="133"/>
      <c r="N24" s="133"/>
      <c r="O24" s="133"/>
      <c r="P24" s="133"/>
      <c r="Q24" s="133"/>
      <c r="R24" s="86">
        <v>42762</v>
      </c>
      <c r="S24" s="71">
        <f t="shared" ref="S24:S61" si="7">IF(D24&lt;1,SUM(E24:Q24)/C24+D24,1)</f>
        <v>1</v>
      </c>
      <c r="T24" s="23" t="s">
        <v>27</v>
      </c>
      <c r="U24" s="96">
        <f t="shared" si="1"/>
        <v>160750</v>
      </c>
      <c r="V24" s="167" t="s">
        <v>10</v>
      </c>
      <c r="W24" s="78">
        <f t="shared" si="2"/>
        <v>160750</v>
      </c>
      <c r="X24" s="73"/>
      <c r="Y24" s="74">
        <f t="shared" si="5"/>
        <v>160750</v>
      </c>
      <c r="Z24" s="75" t="s">
        <v>12</v>
      </c>
      <c r="AA24" s="72">
        <f t="shared" si="4"/>
        <v>0</v>
      </c>
      <c r="AB24" s="76" t="s">
        <v>12</v>
      </c>
      <c r="AC24" s="72">
        <f>SUMIF(Invoices!$E$2:$E$1048576,' Accting USE Data Entry Form'!B24,Invoices!$F$2:$F$1048576)</f>
        <v>160750</v>
      </c>
      <c r="AD24" s="76" t="s">
        <v>10</v>
      </c>
      <c r="AE24" s="77">
        <f t="shared" si="6"/>
        <v>0</v>
      </c>
    </row>
    <row r="25" spans="1:31" ht="14.4" customHeight="1" x14ac:dyDescent="0.25">
      <c r="A25" s="70">
        <v>15</v>
      </c>
      <c r="B25" s="89" t="s">
        <v>65</v>
      </c>
      <c r="C25" s="92">
        <v>160750</v>
      </c>
      <c r="D25" s="95"/>
      <c r="E25" s="158"/>
      <c r="F25" s="174">
        <v>160750</v>
      </c>
      <c r="G25" s="174"/>
      <c r="H25" s="174"/>
      <c r="I25" s="174"/>
      <c r="J25" s="174"/>
      <c r="K25" s="133"/>
      <c r="L25" s="133"/>
      <c r="M25" s="133"/>
      <c r="N25" s="133"/>
      <c r="O25" s="133"/>
      <c r="P25" s="133"/>
      <c r="Q25" s="133"/>
      <c r="R25" s="86">
        <v>42772</v>
      </c>
      <c r="S25" s="71">
        <f t="shared" si="7"/>
        <v>1</v>
      </c>
      <c r="T25" s="23" t="s">
        <v>27</v>
      </c>
      <c r="U25" s="96">
        <f t="shared" si="1"/>
        <v>160750</v>
      </c>
      <c r="V25" s="167" t="s">
        <v>10</v>
      </c>
      <c r="W25" s="78">
        <f t="shared" si="2"/>
        <v>160750</v>
      </c>
      <c r="X25" s="73"/>
      <c r="Y25" s="74">
        <f t="shared" si="5"/>
        <v>160750</v>
      </c>
      <c r="Z25" s="75" t="s">
        <v>12</v>
      </c>
      <c r="AA25" s="72">
        <f t="shared" si="4"/>
        <v>0</v>
      </c>
      <c r="AB25" s="76" t="s">
        <v>12</v>
      </c>
      <c r="AC25" s="72">
        <f>SUMIF(Invoices!$E$2:$E$1048576,' Accting USE Data Entry Form'!B25,Invoices!$F$2:$F$1048576)</f>
        <v>160750</v>
      </c>
      <c r="AD25" s="76" t="s">
        <v>10</v>
      </c>
      <c r="AE25" s="77">
        <f t="shared" si="6"/>
        <v>0</v>
      </c>
    </row>
    <row r="26" spans="1:31" ht="14.4" customHeight="1" x14ac:dyDescent="0.25">
      <c r="A26" s="70">
        <v>16</v>
      </c>
      <c r="B26" s="89" t="s">
        <v>66</v>
      </c>
      <c r="C26" s="92">
        <v>160750</v>
      </c>
      <c r="D26" s="95"/>
      <c r="E26" s="158"/>
      <c r="F26" s="174">
        <v>160750</v>
      </c>
      <c r="G26" s="174"/>
      <c r="H26" s="174"/>
      <c r="I26" s="174"/>
      <c r="J26" s="174"/>
      <c r="K26" s="133"/>
      <c r="L26" s="133"/>
      <c r="M26" s="133"/>
      <c r="N26" s="133"/>
      <c r="O26" s="133"/>
      <c r="P26" s="133"/>
      <c r="Q26" s="133"/>
      <c r="R26" s="86">
        <v>42780</v>
      </c>
      <c r="S26" s="71">
        <f t="shared" si="7"/>
        <v>1</v>
      </c>
      <c r="T26" s="23" t="s">
        <v>27</v>
      </c>
      <c r="U26" s="96">
        <f t="shared" si="1"/>
        <v>160750</v>
      </c>
      <c r="V26" s="167" t="s">
        <v>10</v>
      </c>
      <c r="W26" s="78">
        <f t="shared" si="2"/>
        <v>160750</v>
      </c>
      <c r="X26" s="73"/>
      <c r="Y26" s="74">
        <f t="shared" si="5"/>
        <v>160750</v>
      </c>
      <c r="Z26" s="75" t="s">
        <v>12</v>
      </c>
      <c r="AA26" s="72">
        <f t="shared" si="4"/>
        <v>0</v>
      </c>
      <c r="AB26" s="76" t="s">
        <v>12</v>
      </c>
      <c r="AC26" s="72">
        <f>SUMIF(Invoices!$E$2:$E$1048576,' Accting USE Data Entry Form'!B26,Invoices!$F$2:$F$1048576)</f>
        <v>160750</v>
      </c>
      <c r="AD26" s="76" t="s">
        <v>10</v>
      </c>
      <c r="AE26" s="77">
        <f t="shared" si="6"/>
        <v>0</v>
      </c>
    </row>
    <row r="27" spans="1:31" ht="14.4" customHeight="1" x14ac:dyDescent="0.25">
      <c r="A27" s="70">
        <v>17</v>
      </c>
      <c r="B27" s="89" t="s">
        <v>67</v>
      </c>
      <c r="C27" s="92">
        <v>160750</v>
      </c>
      <c r="D27" s="95"/>
      <c r="E27" s="158"/>
      <c r="F27" s="174">
        <v>160750</v>
      </c>
      <c r="G27" s="174"/>
      <c r="H27" s="174"/>
      <c r="I27" s="174"/>
      <c r="J27" s="174"/>
      <c r="K27" s="133"/>
      <c r="L27" s="133"/>
      <c r="M27" s="133"/>
      <c r="N27" s="133"/>
      <c r="O27" s="133"/>
      <c r="P27" s="133"/>
      <c r="Q27" s="133"/>
      <c r="R27" s="86">
        <v>42788</v>
      </c>
      <c r="S27" s="71">
        <f t="shared" si="7"/>
        <v>1</v>
      </c>
      <c r="T27" s="23" t="s">
        <v>27</v>
      </c>
      <c r="U27" s="96">
        <f t="shared" si="1"/>
        <v>160750</v>
      </c>
      <c r="V27" s="167" t="s">
        <v>10</v>
      </c>
      <c r="W27" s="78">
        <f t="shared" si="2"/>
        <v>160750</v>
      </c>
      <c r="X27" s="73"/>
      <c r="Y27" s="74">
        <f t="shared" si="5"/>
        <v>160750</v>
      </c>
      <c r="Z27" s="75" t="s">
        <v>12</v>
      </c>
      <c r="AA27" s="72">
        <f t="shared" si="4"/>
        <v>0</v>
      </c>
      <c r="AB27" s="76" t="s">
        <v>12</v>
      </c>
      <c r="AC27" s="72">
        <f>SUMIF(Invoices!$E$2:$E$1048576,' Accting USE Data Entry Form'!B27,Invoices!$F$2:$F$1048576)</f>
        <v>160750</v>
      </c>
      <c r="AD27" s="76" t="s">
        <v>10</v>
      </c>
      <c r="AE27" s="77">
        <f t="shared" si="6"/>
        <v>0</v>
      </c>
    </row>
    <row r="28" spans="1:31" ht="14.4" customHeight="1" x14ac:dyDescent="0.25">
      <c r="A28" s="70">
        <v>18</v>
      </c>
      <c r="B28" s="89" t="s">
        <v>68</v>
      </c>
      <c r="C28" s="92">
        <v>160750</v>
      </c>
      <c r="D28" s="95"/>
      <c r="E28" s="158"/>
      <c r="F28" s="174">
        <v>160750</v>
      </c>
      <c r="G28" s="174"/>
      <c r="H28" s="174"/>
      <c r="I28" s="174"/>
      <c r="J28" s="174"/>
      <c r="K28" s="133"/>
      <c r="L28" s="133"/>
      <c r="M28" s="133"/>
      <c r="N28" s="133"/>
      <c r="O28" s="133"/>
      <c r="P28" s="133"/>
      <c r="Q28" s="133"/>
      <c r="R28" s="86">
        <v>42796</v>
      </c>
      <c r="S28" s="71">
        <f t="shared" si="7"/>
        <v>1</v>
      </c>
      <c r="T28" s="23" t="s">
        <v>27</v>
      </c>
      <c r="U28" s="96">
        <f t="shared" si="1"/>
        <v>160750</v>
      </c>
      <c r="V28" s="167" t="s">
        <v>10</v>
      </c>
      <c r="W28" s="78">
        <f t="shared" si="2"/>
        <v>160750</v>
      </c>
      <c r="X28" s="73"/>
      <c r="Y28" s="74">
        <f t="shared" si="5"/>
        <v>160750</v>
      </c>
      <c r="Z28" s="75" t="s">
        <v>12</v>
      </c>
      <c r="AA28" s="72">
        <f t="shared" si="4"/>
        <v>0</v>
      </c>
      <c r="AB28" s="76" t="s">
        <v>12</v>
      </c>
      <c r="AC28" s="72">
        <f>SUMIF(Invoices!$E$2:$E$1048576,' Accting USE Data Entry Form'!B28,Invoices!$F$2:$F$1048576)</f>
        <v>160750</v>
      </c>
      <c r="AD28" s="76" t="s">
        <v>10</v>
      </c>
      <c r="AE28" s="77">
        <f t="shared" si="6"/>
        <v>0</v>
      </c>
    </row>
    <row r="29" spans="1:31" ht="14.4" customHeight="1" x14ac:dyDescent="0.25">
      <c r="A29" s="70">
        <v>19</v>
      </c>
      <c r="B29" s="89" t="s">
        <v>69</v>
      </c>
      <c r="C29" s="92">
        <v>160750</v>
      </c>
      <c r="D29" s="95"/>
      <c r="E29" s="158"/>
      <c r="F29" s="174"/>
      <c r="G29" s="174"/>
      <c r="H29" s="174"/>
      <c r="I29" s="174"/>
      <c r="J29" s="174"/>
      <c r="K29" s="133"/>
      <c r="L29" s="133"/>
      <c r="M29" s="133"/>
      <c r="N29" s="133"/>
      <c r="O29" s="133"/>
      <c r="P29" s="133"/>
      <c r="Q29" s="133"/>
      <c r="R29" s="86">
        <v>42804</v>
      </c>
      <c r="S29" s="71">
        <f t="shared" si="7"/>
        <v>0</v>
      </c>
      <c r="T29" s="23" t="s">
        <v>27</v>
      </c>
      <c r="U29" s="96">
        <f t="shared" si="1"/>
        <v>160750</v>
      </c>
      <c r="V29" s="167" t="s">
        <v>10</v>
      </c>
      <c r="W29" s="78">
        <f t="shared" si="2"/>
        <v>0</v>
      </c>
      <c r="X29" s="73"/>
      <c r="Y29" s="74">
        <f t="shared" si="5"/>
        <v>0</v>
      </c>
      <c r="Z29" s="75" t="s">
        <v>12</v>
      </c>
      <c r="AA29" s="72">
        <f t="shared" si="4"/>
        <v>0</v>
      </c>
      <c r="AB29" s="76" t="s">
        <v>12</v>
      </c>
      <c r="AC29" s="72">
        <f>SUMIF(Invoices!$E$2:$E$1048576,' Accting USE Data Entry Form'!B29,Invoices!$F$2:$F$1048576)</f>
        <v>0</v>
      </c>
      <c r="AD29" s="76" t="s">
        <v>10</v>
      </c>
      <c r="AE29" s="77">
        <f t="shared" si="6"/>
        <v>0</v>
      </c>
    </row>
    <row r="30" spans="1:31" ht="14.4" customHeight="1" x14ac:dyDescent="0.25">
      <c r="A30" s="70">
        <v>20</v>
      </c>
      <c r="B30" s="89" t="s">
        <v>70</v>
      </c>
      <c r="C30" s="92">
        <v>160750</v>
      </c>
      <c r="D30" s="95"/>
      <c r="E30" s="158"/>
      <c r="F30" s="174"/>
      <c r="G30" s="174"/>
      <c r="H30" s="174"/>
      <c r="I30" s="174"/>
      <c r="J30" s="174"/>
      <c r="K30" s="133"/>
      <c r="L30" s="133"/>
      <c r="M30" s="133"/>
      <c r="N30" s="133"/>
      <c r="O30" s="133"/>
      <c r="P30" s="133"/>
      <c r="Q30" s="133"/>
      <c r="R30" s="86">
        <v>42814</v>
      </c>
      <c r="S30" s="71">
        <f t="shared" si="7"/>
        <v>0</v>
      </c>
      <c r="T30" s="23" t="s">
        <v>27</v>
      </c>
      <c r="U30" s="96">
        <f t="shared" si="1"/>
        <v>160750</v>
      </c>
      <c r="V30" s="167" t="s">
        <v>10</v>
      </c>
      <c r="W30" s="78">
        <f t="shared" si="2"/>
        <v>0</v>
      </c>
      <c r="X30" s="73"/>
      <c r="Y30" s="74">
        <f t="shared" si="5"/>
        <v>0</v>
      </c>
      <c r="Z30" s="75" t="s">
        <v>12</v>
      </c>
      <c r="AA30" s="72">
        <f t="shared" si="4"/>
        <v>0</v>
      </c>
      <c r="AB30" s="76" t="s">
        <v>12</v>
      </c>
      <c r="AC30" s="72">
        <f>SUMIF(Invoices!$E$2:$E$1048576,' Accting USE Data Entry Form'!B30,Invoices!$F$2:$F$1048576)</f>
        <v>0</v>
      </c>
      <c r="AD30" s="76" t="s">
        <v>10</v>
      </c>
      <c r="AE30" s="77">
        <f t="shared" si="6"/>
        <v>0</v>
      </c>
    </row>
    <row r="31" spans="1:31" ht="14.4" customHeight="1" x14ac:dyDescent="0.25">
      <c r="A31" s="70">
        <v>21</v>
      </c>
      <c r="B31" s="89" t="s">
        <v>91</v>
      </c>
      <c r="C31" s="92">
        <v>90800</v>
      </c>
      <c r="D31" s="95">
        <v>1</v>
      </c>
      <c r="E31" s="158"/>
      <c r="F31" s="174"/>
      <c r="G31" s="174"/>
      <c r="H31" s="174"/>
      <c r="I31" s="174"/>
      <c r="J31" s="174"/>
      <c r="K31" s="133"/>
      <c r="L31" s="133"/>
      <c r="M31" s="133"/>
      <c r="N31" s="133"/>
      <c r="O31" s="133"/>
      <c r="P31" s="133"/>
      <c r="Q31" s="133"/>
      <c r="R31" s="86">
        <v>42478</v>
      </c>
      <c r="S31" s="71">
        <f t="shared" si="7"/>
        <v>1</v>
      </c>
      <c r="T31" s="23" t="s">
        <v>27</v>
      </c>
      <c r="U31" s="96">
        <f t="shared" si="1"/>
        <v>90800</v>
      </c>
      <c r="V31" s="167" t="s">
        <v>10</v>
      </c>
      <c r="W31" s="78">
        <f t="shared" si="2"/>
        <v>90800</v>
      </c>
      <c r="X31" s="73"/>
      <c r="Y31" s="74">
        <f t="shared" si="5"/>
        <v>90800</v>
      </c>
      <c r="Z31" s="75" t="s">
        <v>12</v>
      </c>
      <c r="AA31" s="72">
        <f t="shared" si="4"/>
        <v>0</v>
      </c>
      <c r="AB31" s="76" t="s">
        <v>12</v>
      </c>
      <c r="AC31" s="72">
        <f>SUMIF(Invoices!$E$2:$E$1048576,' Accting USE Data Entry Form'!B31,Invoices!$F$2:$F$1048576)</f>
        <v>90800</v>
      </c>
      <c r="AD31" s="76" t="s">
        <v>10</v>
      </c>
      <c r="AE31" s="77">
        <f t="shared" si="6"/>
        <v>0</v>
      </c>
    </row>
    <row r="32" spans="1:31" ht="14.4" customHeight="1" x14ac:dyDescent="0.25">
      <c r="A32" s="70">
        <v>22</v>
      </c>
      <c r="B32" s="89" t="s">
        <v>92</v>
      </c>
      <c r="C32" s="92">
        <v>49696</v>
      </c>
      <c r="D32" s="95"/>
      <c r="E32" s="158"/>
      <c r="F32" s="174"/>
      <c r="G32" s="174"/>
      <c r="H32" s="174"/>
      <c r="I32" s="174"/>
      <c r="J32" s="174"/>
      <c r="K32" s="133"/>
      <c r="L32" s="133"/>
      <c r="M32" s="133"/>
      <c r="N32" s="133"/>
      <c r="O32" s="133"/>
      <c r="P32" s="133"/>
      <c r="Q32" s="133"/>
      <c r="R32" s="86">
        <v>42905</v>
      </c>
      <c r="S32" s="71">
        <f t="shared" si="7"/>
        <v>0</v>
      </c>
      <c r="T32" s="23" t="s">
        <v>27</v>
      </c>
      <c r="U32" s="96">
        <f t="shared" si="1"/>
        <v>49696</v>
      </c>
      <c r="V32" s="167" t="s">
        <v>10</v>
      </c>
      <c r="W32" s="78">
        <f t="shared" si="2"/>
        <v>0</v>
      </c>
      <c r="X32" s="73"/>
      <c r="Y32" s="74">
        <f t="shared" si="5"/>
        <v>0</v>
      </c>
      <c r="Z32" s="75" t="s">
        <v>12</v>
      </c>
      <c r="AA32" s="72">
        <f t="shared" si="4"/>
        <v>-7554.66</v>
      </c>
      <c r="AB32" s="76" t="s">
        <v>12</v>
      </c>
      <c r="AC32" s="72">
        <f>SUMIF(Invoices!$E$2:$E$1048576,' Accting USE Data Entry Form'!B32,Invoices!$F$2:$F$1048576)</f>
        <v>7554.66</v>
      </c>
      <c r="AD32" s="76" t="s">
        <v>10</v>
      </c>
      <c r="AE32" s="77">
        <f t="shared" si="6"/>
        <v>0</v>
      </c>
    </row>
    <row r="33" spans="1:32" ht="14.4" customHeight="1" x14ac:dyDescent="0.25">
      <c r="A33" s="70">
        <v>23</v>
      </c>
      <c r="B33" s="89" t="s">
        <v>93</v>
      </c>
      <c r="C33" s="92">
        <v>323136</v>
      </c>
      <c r="D33" s="95">
        <v>0.97727272727269998</v>
      </c>
      <c r="E33" s="158"/>
      <c r="F33" s="174"/>
      <c r="G33" s="174"/>
      <c r="H33" s="174"/>
      <c r="I33" s="174"/>
      <c r="J33" s="174"/>
      <c r="K33" s="133"/>
      <c r="L33" s="133"/>
      <c r="M33" s="133"/>
      <c r="N33" s="133"/>
      <c r="O33" s="133"/>
      <c r="P33" s="133"/>
      <c r="Q33" s="133"/>
      <c r="R33" s="86">
        <v>42653</v>
      </c>
      <c r="S33" s="71">
        <f t="shared" si="7"/>
        <v>0.97727272727269998</v>
      </c>
      <c r="T33" s="23" t="s">
        <v>27</v>
      </c>
      <c r="U33" s="96">
        <f t="shared" si="1"/>
        <v>323136</v>
      </c>
      <c r="V33" s="167" t="s">
        <v>10</v>
      </c>
      <c r="W33" s="78">
        <f t="shared" si="2"/>
        <v>315791.99999999115</v>
      </c>
      <c r="X33" s="73"/>
      <c r="Y33" s="74">
        <f t="shared" si="5"/>
        <v>315791.99999999115</v>
      </c>
      <c r="Z33" s="75" t="s">
        <v>12</v>
      </c>
      <c r="AA33" s="72">
        <f t="shared" si="4"/>
        <v>-8.8475644588470459E-9</v>
      </c>
      <c r="AB33" s="76" t="s">
        <v>12</v>
      </c>
      <c r="AC33" s="72">
        <f>SUMIF(Invoices!$E$2:$E$1048576,' Accting USE Data Entry Form'!B33,Invoices!$F$2:$F$1048576)</f>
        <v>315792</v>
      </c>
      <c r="AD33" s="76" t="s">
        <v>10</v>
      </c>
      <c r="AE33" s="77">
        <f t="shared" si="6"/>
        <v>0</v>
      </c>
      <c r="AF33" s="108" t="s">
        <v>109</v>
      </c>
    </row>
    <row r="34" spans="1:32" ht="14.4" customHeight="1" x14ac:dyDescent="0.25">
      <c r="A34" s="70">
        <v>24</v>
      </c>
      <c r="B34" s="89" t="s">
        <v>94</v>
      </c>
      <c r="C34" s="92">
        <v>246240</v>
      </c>
      <c r="D34" s="130">
        <v>9.3404808000000006E-2</v>
      </c>
      <c r="E34" s="162">
        <v>23000</v>
      </c>
      <c r="F34" s="175">
        <v>101080</v>
      </c>
      <c r="G34" s="175"/>
      <c r="H34" s="175"/>
      <c r="I34" s="175"/>
      <c r="J34" s="175"/>
      <c r="K34" s="133"/>
      <c r="L34" s="133"/>
      <c r="M34" s="133"/>
      <c r="N34" s="133"/>
      <c r="O34" s="133"/>
      <c r="P34" s="133"/>
      <c r="Q34" s="133"/>
      <c r="R34" s="86">
        <v>42933</v>
      </c>
      <c r="S34" s="71">
        <f t="shared" si="7"/>
        <v>0.5973034434775828</v>
      </c>
      <c r="T34" s="23" t="s">
        <v>27</v>
      </c>
      <c r="U34" s="96">
        <f t="shared" si="1"/>
        <v>246240</v>
      </c>
      <c r="V34" s="167" t="s">
        <v>10</v>
      </c>
      <c r="W34" s="78">
        <f t="shared" si="2"/>
        <v>147079.99992191998</v>
      </c>
      <c r="X34" s="73"/>
      <c r="Y34" s="74">
        <f t="shared" si="5"/>
        <v>147079.99992191998</v>
      </c>
      <c r="Z34" s="75" t="s">
        <v>12</v>
      </c>
      <c r="AA34" s="72">
        <f t="shared" si="4"/>
        <v>-7.8080018283799291E-5</v>
      </c>
      <c r="AB34" s="76" t="s">
        <v>12</v>
      </c>
      <c r="AC34" s="72">
        <f>SUMIF(Invoices!$E$2:$E$1048576,' Accting USE Data Entry Form'!B34,Invoices!$F$2:$F$1048576)</f>
        <v>147080</v>
      </c>
      <c r="AD34" s="76" t="s">
        <v>10</v>
      </c>
      <c r="AE34" s="77">
        <f t="shared" si="6"/>
        <v>0</v>
      </c>
      <c r="AF34" s="56" t="s">
        <v>113</v>
      </c>
    </row>
    <row r="35" spans="1:32" ht="14.4" customHeight="1" x14ac:dyDescent="0.25">
      <c r="A35" s="70">
        <v>25</v>
      </c>
      <c r="B35" s="89" t="s">
        <v>95</v>
      </c>
      <c r="C35" s="92">
        <v>147200</v>
      </c>
      <c r="D35" s="130">
        <v>0.3125</v>
      </c>
      <c r="E35" s="158">
        <v>9200</v>
      </c>
      <c r="F35" s="175">
        <v>9200</v>
      </c>
      <c r="G35" s="175"/>
      <c r="H35" s="175"/>
      <c r="I35" s="175"/>
      <c r="J35" s="175"/>
      <c r="K35" s="133"/>
      <c r="L35" s="133"/>
      <c r="M35" s="133"/>
      <c r="N35" s="133"/>
      <c r="O35" s="133"/>
      <c r="P35" s="133"/>
      <c r="Q35" s="133"/>
      <c r="R35" s="86">
        <v>42933</v>
      </c>
      <c r="S35" s="71">
        <f t="shared" si="7"/>
        <v>0.4375</v>
      </c>
      <c r="T35" s="23" t="s">
        <v>27</v>
      </c>
      <c r="U35" s="96">
        <f t="shared" si="1"/>
        <v>147200</v>
      </c>
      <c r="V35" s="167" t="s">
        <v>10</v>
      </c>
      <c r="W35" s="78">
        <f t="shared" si="2"/>
        <v>64400</v>
      </c>
      <c r="X35" s="73"/>
      <c r="Y35" s="74">
        <f t="shared" si="5"/>
        <v>64400</v>
      </c>
      <c r="Z35" s="75" t="s">
        <v>12</v>
      </c>
      <c r="AA35" s="72">
        <f t="shared" si="4"/>
        <v>0</v>
      </c>
      <c r="AB35" s="76" t="s">
        <v>12</v>
      </c>
      <c r="AC35" s="72">
        <f>SUMIF(Invoices!$E$2:$E$1048576,' Accting USE Data Entry Form'!B35,Invoices!$F$2:$F$1048576)</f>
        <v>64400</v>
      </c>
      <c r="AD35" s="76" t="s">
        <v>10</v>
      </c>
      <c r="AE35" s="77">
        <f t="shared" si="6"/>
        <v>0</v>
      </c>
      <c r="AF35" s="56" t="s">
        <v>114</v>
      </c>
    </row>
    <row r="36" spans="1:32" ht="14.4" customHeight="1" x14ac:dyDescent="0.25">
      <c r="A36" s="70">
        <v>26</v>
      </c>
      <c r="B36" s="89" t="s">
        <v>71</v>
      </c>
      <c r="C36" s="92">
        <v>160750</v>
      </c>
      <c r="D36" s="71"/>
      <c r="E36" s="158"/>
      <c r="F36" s="132"/>
      <c r="G36" s="132"/>
      <c r="H36" s="132"/>
      <c r="I36" s="132"/>
      <c r="J36" s="132"/>
      <c r="K36" s="133"/>
      <c r="L36" s="133"/>
      <c r="M36" s="133"/>
      <c r="N36" s="133"/>
      <c r="O36" s="133"/>
      <c r="P36" s="133"/>
      <c r="Q36" s="133"/>
      <c r="R36" s="91">
        <v>42822</v>
      </c>
      <c r="S36" s="71">
        <f t="shared" si="7"/>
        <v>0</v>
      </c>
      <c r="T36" s="23" t="s">
        <v>27</v>
      </c>
      <c r="U36" s="96">
        <f t="shared" si="1"/>
        <v>160750</v>
      </c>
      <c r="V36" s="167" t="s">
        <v>10</v>
      </c>
      <c r="W36" s="78">
        <f t="shared" si="2"/>
        <v>0</v>
      </c>
      <c r="X36" s="73"/>
      <c r="Y36" s="74">
        <f t="shared" si="5"/>
        <v>0</v>
      </c>
      <c r="Z36" s="75" t="s">
        <v>12</v>
      </c>
      <c r="AA36" s="72">
        <f t="shared" si="4"/>
        <v>0</v>
      </c>
      <c r="AB36" s="76" t="s">
        <v>12</v>
      </c>
      <c r="AC36" s="72">
        <f>SUMIF(Invoices!$E$2:$E$1048576,' Accting USE Data Entry Form'!B36,Invoices!$F$2:$F$1048576)</f>
        <v>0</v>
      </c>
      <c r="AD36" s="76" t="s">
        <v>10</v>
      </c>
      <c r="AE36" s="77">
        <f t="shared" si="6"/>
        <v>0</v>
      </c>
    </row>
    <row r="37" spans="1:32" ht="14.4" customHeight="1" x14ac:dyDescent="0.25">
      <c r="A37" s="70">
        <v>27</v>
      </c>
      <c r="B37" s="89" t="s">
        <v>72</v>
      </c>
      <c r="C37" s="92">
        <v>160750</v>
      </c>
      <c r="D37" s="71"/>
      <c r="E37" s="158"/>
      <c r="F37" s="132"/>
      <c r="G37" s="132"/>
      <c r="H37" s="132"/>
      <c r="I37" s="132"/>
      <c r="J37" s="132"/>
      <c r="K37" s="133"/>
      <c r="L37" s="133"/>
      <c r="M37" s="133"/>
      <c r="N37" s="133"/>
      <c r="O37" s="133"/>
      <c r="P37" s="133"/>
      <c r="Q37" s="133"/>
      <c r="R37" s="91">
        <v>42830</v>
      </c>
      <c r="S37" s="71">
        <f t="shared" si="7"/>
        <v>0</v>
      </c>
      <c r="T37" s="23" t="s">
        <v>27</v>
      </c>
      <c r="U37" s="96">
        <f t="shared" si="1"/>
        <v>160750</v>
      </c>
      <c r="V37" s="167" t="s">
        <v>10</v>
      </c>
      <c r="W37" s="78">
        <f t="shared" si="2"/>
        <v>0</v>
      </c>
      <c r="X37" s="73"/>
      <c r="Y37" s="74">
        <f t="shared" si="5"/>
        <v>0</v>
      </c>
      <c r="Z37" s="75" t="s">
        <v>12</v>
      </c>
      <c r="AA37" s="72">
        <f t="shared" si="4"/>
        <v>0</v>
      </c>
      <c r="AB37" s="76" t="s">
        <v>12</v>
      </c>
      <c r="AC37" s="72">
        <f>SUMIF(Invoices!$E$2:$E$1048576,' Accting USE Data Entry Form'!B37,Invoices!$F$2:$F$1048576)</f>
        <v>0</v>
      </c>
      <c r="AD37" s="76" t="s">
        <v>10</v>
      </c>
      <c r="AE37" s="77">
        <f t="shared" si="6"/>
        <v>0</v>
      </c>
    </row>
    <row r="38" spans="1:32" ht="14.4" customHeight="1" x14ac:dyDescent="0.25">
      <c r="A38" s="70">
        <v>28</v>
      </c>
      <c r="B38" s="89" t="s">
        <v>73</v>
      </c>
      <c r="C38" s="92">
        <v>160750</v>
      </c>
      <c r="D38" s="71"/>
      <c r="E38" s="158"/>
      <c r="F38" s="132"/>
      <c r="G38" s="132"/>
      <c r="H38" s="132"/>
      <c r="I38" s="132"/>
      <c r="J38" s="132"/>
      <c r="K38" s="133"/>
      <c r="L38" s="133"/>
      <c r="M38" s="133"/>
      <c r="N38" s="133"/>
      <c r="O38" s="133"/>
      <c r="P38" s="133"/>
      <c r="Q38" s="133"/>
      <c r="R38" s="91">
        <v>42838</v>
      </c>
      <c r="S38" s="71">
        <f t="shared" si="7"/>
        <v>0</v>
      </c>
      <c r="T38" s="23" t="s">
        <v>27</v>
      </c>
      <c r="U38" s="96">
        <f t="shared" si="1"/>
        <v>160750</v>
      </c>
      <c r="V38" s="167" t="s">
        <v>10</v>
      </c>
      <c r="W38" s="78">
        <f t="shared" si="2"/>
        <v>0</v>
      </c>
      <c r="X38" s="73"/>
      <c r="Y38" s="74">
        <f t="shared" si="5"/>
        <v>0</v>
      </c>
      <c r="Z38" s="75" t="s">
        <v>12</v>
      </c>
      <c r="AA38" s="72">
        <f t="shared" si="4"/>
        <v>0</v>
      </c>
      <c r="AB38" s="76" t="s">
        <v>12</v>
      </c>
      <c r="AC38" s="72">
        <f>SUMIF(Invoices!$E$2:$E$1048576,' Accting USE Data Entry Form'!B38,Invoices!$F$2:$F$1048576)</f>
        <v>0</v>
      </c>
      <c r="AD38" s="76" t="s">
        <v>10</v>
      </c>
      <c r="AE38" s="77">
        <f t="shared" si="6"/>
        <v>0</v>
      </c>
    </row>
    <row r="39" spans="1:32" ht="14.4" customHeight="1" x14ac:dyDescent="0.25">
      <c r="A39" s="70">
        <v>29</v>
      </c>
      <c r="B39" s="89" t="s">
        <v>74</v>
      </c>
      <c r="C39" s="92">
        <v>160750</v>
      </c>
      <c r="D39" s="71"/>
      <c r="E39" s="158"/>
      <c r="F39" s="132"/>
      <c r="G39" s="132"/>
      <c r="H39" s="132"/>
      <c r="I39" s="132"/>
      <c r="J39" s="132"/>
      <c r="K39" s="133"/>
      <c r="L39" s="133"/>
      <c r="M39" s="133"/>
      <c r="N39" s="133"/>
      <c r="O39" s="133"/>
      <c r="P39" s="133"/>
      <c r="Q39" s="133"/>
      <c r="R39" s="91">
        <v>42846</v>
      </c>
      <c r="S39" s="71">
        <f t="shared" si="7"/>
        <v>0</v>
      </c>
      <c r="T39" s="23" t="s">
        <v>27</v>
      </c>
      <c r="U39" s="96">
        <f t="shared" si="1"/>
        <v>160750</v>
      </c>
      <c r="V39" s="167" t="s">
        <v>10</v>
      </c>
      <c r="W39" s="78">
        <f t="shared" si="2"/>
        <v>0</v>
      </c>
      <c r="X39" s="73"/>
      <c r="Y39" s="74">
        <f t="shared" si="5"/>
        <v>0</v>
      </c>
      <c r="Z39" s="75" t="s">
        <v>12</v>
      </c>
      <c r="AA39" s="72">
        <f t="shared" si="4"/>
        <v>0</v>
      </c>
      <c r="AB39" s="76" t="s">
        <v>12</v>
      </c>
      <c r="AC39" s="72">
        <f>SUMIF(Invoices!$E$2:$E$1048576,' Accting USE Data Entry Form'!B39,Invoices!$F$2:$F$1048576)</f>
        <v>0</v>
      </c>
      <c r="AD39" s="76" t="s">
        <v>10</v>
      </c>
      <c r="AE39" s="77">
        <f t="shared" si="6"/>
        <v>0</v>
      </c>
    </row>
    <row r="40" spans="1:32" ht="14.4" customHeight="1" x14ac:dyDescent="0.25">
      <c r="A40" s="70">
        <v>30</v>
      </c>
      <c r="B40" s="89" t="s">
        <v>75</v>
      </c>
      <c r="C40" s="92">
        <v>160750</v>
      </c>
      <c r="D40" s="71"/>
      <c r="E40" s="158"/>
      <c r="F40" s="132"/>
      <c r="G40" s="132"/>
      <c r="H40" s="132"/>
      <c r="I40" s="132"/>
      <c r="J40" s="132"/>
      <c r="K40" s="133"/>
      <c r="L40" s="133"/>
      <c r="M40" s="133"/>
      <c r="N40" s="133"/>
      <c r="O40" s="133"/>
      <c r="P40" s="133"/>
      <c r="Q40" s="133"/>
      <c r="R40" s="91">
        <v>42856</v>
      </c>
      <c r="S40" s="71">
        <f t="shared" si="7"/>
        <v>0</v>
      </c>
      <c r="T40" s="23" t="s">
        <v>27</v>
      </c>
      <c r="U40" s="96">
        <f t="shared" si="1"/>
        <v>160750</v>
      </c>
      <c r="V40" s="167" t="s">
        <v>10</v>
      </c>
      <c r="W40" s="78">
        <f t="shared" si="2"/>
        <v>0</v>
      </c>
      <c r="X40" s="73"/>
      <c r="Y40" s="74">
        <f t="shared" si="5"/>
        <v>0</v>
      </c>
      <c r="Z40" s="75" t="s">
        <v>12</v>
      </c>
      <c r="AA40" s="72">
        <f t="shared" si="4"/>
        <v>0</v>
      </c>
      <c r="AB40" s="76" t="s">
        <v>12</v>
      </c>
      <c r="AC40" s="72">
        <f>SUMIF(Invoices!$E$2:$E$1048576,' Accting USE Data Entry Form'!B40,Invoices!$F$2:$F$1048576)</f>
        <v>0</v>
      </c>
      <c r="AD40" s="76" t="s">
        <v>10</v>
      </c>
      <c r="AE40" s="77">
        <f t="shared" si="6"/>
        <v>0</v>
      </c>
    </row>
    <row r="41" spans="1:32" ht="14.4" customHeight="1" x14ac:dyDescent="0.25">
      <c r="A41" s="70">
        <v>31</v>
      </c>
      <c r="B41" s="89" t="s">
        <v>76</v>
      </c>
      <c r="C41" s="92">
        <v>160750</v>
      </c>
      <c r="D41" s="71"/>
      <c r="E41" s="158"/>
      <c r="F41" s="132"/>
      <c r="G41" s="132"/>
      <c r="H41" s="132"/>
      <c r="I41" s="132"/>
      <c r="J41" s="132"/>
      <c r="K41" s="133"/>
      <c r="L41" s="133"/>
      <c r="M41" s="133"/>
      <c r="N41" s="133"/>
      <c r="O41" s="133"/>
      <c r="P41" s="133"/>
      <c r="Q41" s="133"/>
      <c r="R41" s="91">
        <v>42864</v>
      </c>
      <c r="S41" s="71">
        <f t="shared" si="7"/>
        <v>0</v>
      </c>
      <c r="T41" s="23" t="s">
        <v>27</v>
      </c>
      <c r="U41" s="96">
        <f t="shared" si="1"/>
        <v>160750</v>
      </c>
      <c r="V41" s="167" t="s">
        <v>10</v>
      </c>
      <c r="W41" s="78">
        <f t="shared" si="2"/>
        <v>0</v>
      </c>
      <c r="X41" s="73"/>
      <c r="Y41" s="74">
        <f t="shared" si="5"/>
        <v>0</v>
      </c>
      <c r="Z41" s="75" t="s">
        <v>12</v>
      </c>
      <c r="AA41" s="72">
        <f t="shared" si="4"/>
        <v>0</v>
      </c>
      <c r="AB41" s="76" t="s">
        <v>12</v>
      </c>
      <c r="AC41" s="72">
        <f>SUMIF(Invoices!$E$2:$E$1048576,' Accting USE Data Entry Form'!B41,Invoices!$F$2:$F$1048576)</f>
        <v>0</v>
      </c>
      <c r="AD41" s="76" t="s">
        <v>10</v>
      </c>
      <c r="AE41" s="77">
        <f t="shared" si="6"/>
        <v>0</v>
      </c>
    </row>
    <row r="42" spans="1:32" ht="14.4" customHeight="1" x14ac:dyDescent="0.25">
      <c r="A42" s="70">
        <v>32</v>
      </c>
      <c r="B42" s="89" t="s">
        <v>77</v>
      </c>
      <c r="C42" s="92">
        <v>160750</v>
      </c>
      <c r="D42" s="71"/>
      <c r="E42" s="158"/>
      <c r="F42" s="132"/>
      <c r="G42" s="132"/>
      <c r="H42" s="132"/>
      <c r="I42" s="132"/>
      <c r="J42" s="132"/>
      <c r="K42" s="133"/>
      <c r="L42" s="133"/>
      <c r="M42" s="133"/>
      <c r="N42" s="133"/>
      <c r="O42" s="133"/>
      <c r="P42" s="133"/>
      <c r="Q42" s="133"/>
      <c r="R42" s="91">
        <v>42872</v>
      </c>
      <c r="S42" s="71">
        <f t="shared" si="7"/>
        <v>0</v>
      </c>
      <c r="T42" s="23" t="s">
        <v>27</v>
      </c>
      <c r="U42" s="96">
        <f t="shared" si="1"/>
        <v>160750</v>
      </c>
      <c r="V42" s="167" t="s">
        <v>10</v>
      </c>
      <c r="W42" s="78">
        <f t="shared" si="2"/>
        <v>0</v>
      </c>
      <c r="X42" s="73"/>
      <c r="Y42" s="74">
        <f t="shared" si="5"/>
        <v>0</v>
      </c>
      <c r="Z42" s="75" t="s">
        <v>12</v>
      </c>
      <c r="AA42" s="72">
        <f t="shared" si="4"/>
        <v>0</v>
      </c>
      <c r="AB42" s="76" t="s">
        <v>12</v>
      </c>
      <c r="AC42" s="72">
        <f>SUMIF(Invoices!$E$2:$E$1048576,' Accting USE Data Entry Form'!B42,Invoices!$F$2:$F$1048576)</f>
        <v>0</v>
      </c>
      <c r="AD42" s="76" t="s">
        <v>10</v>
      </c>
      <c r="AE42" s="77">
        <f t="shared" si="6"/>
        <v>0</v>
      </c>
    </row>
    <row r="43" spans="1:32" ht="14.4" customHeight="1" x14ac:dyDescent="0.25">
      <c r="A43" s="70">
        <v>33</v>
      </c>
      <c r="B43" s="89" t="s">
        <v>78</v>
      </c>
      <c r="C43" s="92">
        <v>160750</v>
      </c>
      <c r="D43" s="71"/>
      <c r="E43" s="158"/>
      <c r="F43" s="132"/>
      <c r="G43" s="132"/>
      <c r="H43" s="132"/>
      <c r="I43" s="132"/>
      <c r="J43" s="132"/>
      <c r="K43" s="133"/>
      <c r="L43" s="133"/>
      <c r="M43" s="133"/>
      <c r="N43" s="133"/>
      <c r="O43" s="133"/>
      <c r="P43" s="133"/>
      <c r="Q43" s="133"/>
      <c r="R43" s="91">
        <v>42880</v>
      </c>
      <c r="S43" s="71">
        <f t="shared" si="7"/>
        <v>0</v>
      </c>
      <c r="T43" s="23" t="s">
        <v>27</v>
      </c>
      <c r="U43" s="96">
        <f t="shared" ref="U43:U61" si="8">C43</f>
        <v>160750</v>
      </c>
      <c r="V43" s="167" t="s">
        <v>10</v>
      </c>
      <c r="W43" s="78">
        <f t="shared" si="2"/>
        <v>0</v>
      </c>
      <c r="X43" s="73"/>
      <c r="Y43" s="74">
        <f t="shared" si="5"/>
        <v>0</v>
      </c>
      <c r="Z43" s="75" t="s">
        <v>12</v>
      </c>
      <c r="AA43" s="72">
        <f t="shared" si="4"/>
        <v>0</v>
      </c>
      <c r="AB43" s="76" t="s">
        <v>12</v>
      </c>
      <c r="AC43" s="72">
        <f>SUMIF(Invoices!$E$2:$E$1048576,' Accting USE Data Entry Form'!B43,Invoices!$F$2:$F$1048576)</f>
        <v>0</v>
      </c>
      <c r="AD43" s="76" t="s">
        <v>10</v>
      </c>
      <c r="AE43" s="77">
        <f t="shared" si="6"/>
        <v>0</v>
      </c>
    </row>
    <row r="44" spans="1:32" ht="14.4" customHeight="1" x14ac:dyDescent="0.25">
      <c r="A44" s="70">
        <v>34</v>
      </c>
      <c r="B44" s="89" t="s">
        <v>79</v>
      </c>
      <c r="C44" s="92">
        <v>160750</v>
      </c>
      <c r="D44" s="71"/>
      <c r="E44" s="158"/>
      <c r="F44" s="132"/>
      <c r="G44" s="132"/>
      <c r="H44" s="132"/>
      <c r="I44" s="132"/>
      <c r="J44" s="132"/>
      <c r="K44" s="133"/>
      <c r="L44" s="133"/>
      <c r="M44" s="133"/>
      <c r="N44" s="133"/>
      <c r="O44" s="133"/>
      <c r="P44" s="133"/>
      <c r="Q44" s="133"/>
      <c r="R44" s="91">
        <v>42888</v>
      </c>
      <c r="S44" s="71">
        <f t="shared" si="7"/>
        <v>0</v>
      </c>
      <c r="T44" s="23" t="s">
        <v>27</v>
      </c>
      <c r="U44" s="96">
        <f t="shared" si="8"/>
        <v>160750</v>
      </c>
      <c r="V44" s="167" t="s">
        <v>10</v>
      </c>
      <c r="W44" s="78">
        <f t="shared" si="2"/>
        <v>0</v>
      </c>
      <c r="X44" s="73"/>
      <c r="Y44" s="74">
        <f t="shared" si="5"/>
        <v>0</v>
      </c>
      <c r="Z44" s="75" t="s">
        <v>12</v>
      </c>
      <c r="AA44" s="72">
        <f t="shared" si="4"/>
        <v>0</v>
      </c>
      <c r="AB44" s="76" t="s">
        <v>12</v>
      </c>
      <c r="AC44" s="72">
        <f>SUMIF(Invoices!$E$2:$E$1048576,' Accting USE Data Entry Form'!B44,Invoices!$F$2:$F$1048576)</f>
        <v>0</v>
      </c>
      <c r="AD44" s="76" t="s">
        <v>10</v>
      </c>
      <c r="AE44" s="77">
        <f t="shared" si="6"/>
        <v>0</v>
      </c>
    </row>
    <row r="45" spans="1:32" ht="14.4" customHeight="1" x14ac:dyDescent="0.25">
      <c r="A45" s="70">
        <v>35</v>
      </c>
      <c r="B45" s="89" t="s">
        <v>80</v>
      </c>
      <c r="C45" s="92">
        <v>160750</v>
      </c>
      <c r="D45" s="71"/>
      <c r="E45" s="158"/>
      <c r="F45" s="132"/>
      <c r="G45" s="132"/>
      <c r="H45" s="132"/>
      <c r="I45" s="132"/>
      <c r="J45" s="132"/>
      <c r="K45" s="133"/>
      <c r="L45" s="133"/>
      <c r="M45" s="133"/>
      <c r="N45" s="133"/>
      <c r="O45" s="133"/>
      <c r="P45" s="133"/>
      <c r="Q45" s="133"/>
      <c r="R45" s="91">
        <v>42898</v>
      </c>
      <c r="S45" s="71">
        <f t="shared" si="7"/>
        <v>0</v>
      </c>
      <c r="T45" s="23" t="s">
        <v>27</v>
      </c>
      <c r="U45" s="96">
        <f t="shared" si="8"/>
        <v>160750</v>
      </c>
      <c r="V45" s="167" t="s">
        <v>10</v>
      </c>
      <c r="W45" s="78">
        <f t="shared" si="2"/>
        <v>0</v>
      </c>
      <c r="X45" s="73"/>
      <c r="Y45" s="74">
        <f t="shared" si="5"/>
        <v>0</v>
      </c>
      <c r="Z45" s="75" t="s">
        <v>12</v>
      </c>
      <c r="AA45" s="72">
        <f t="shared" si="4"/>
        <v>0</v>
      </c>
      <c r="AB45" s="76" t="s">
        <v>12</v>
      </c>
      <c r="AC45" s="72">
        <f>SUMIF(Invoices!$E$2:$E$1048576,' Accting USE Data Entry Form'!B45,Invoices!$F$2:$F$1048576)</f>
        <v>0</v>
      </c>
      <c r="AD45" s="76" t="s">
        <v>10</v>
      </c>
      <c r="AE45" s="77">
        <f t="shared" si="6"/>
        <v>0</v>
      </c>
    </row>
    <row r="46" spans="1:32" ht="14.4" customHeight="1" x14ac:dyDescent="0.25">
      <c r="A46" s="70">
        <v>36</v>
      </c>
      <c r="B46" s="89" t="s">
        <v>81</v>
      </c>
      <c r="C46" s="92">
        <v>160750</v>
      </c>
      <c r="D46" s="71"/>
      <c r="E46" s="158"/>
      <c r="F46" s="132"/>
      <c r="G46" s="132"/>
      <c r="H46" s="132"/>
      <c r="I46" s="132"/>
      <c r="J46" s="132"/>
      <c r="K46" s="133"/>
      <c r="L46" s="133"/>
      <c r="M46" s="133"/>
      <c r="N46" s="133"/>
      <c r="O46" s="133"/>
      <c r="P46" s="133"/>
      <c r="Q46" s="133"/>
      <c r="R46" s="91">
        <v>42906</v>
      </c>
      <c r="S46" s="71">
        <f t="shared" si="7"/>
        <v>0</v>
      </c>
      <c r="T46" s="23" t="s">
        <v>27</v>
      </c>
      <c r="U46" s="96">
        <f t="shared" si="8"/>
        <v>160750</v>
      </c>
      <c r="V46" s="167" t="s">
        <v>10</v>
      </c>
      <c r="W46" s="78">
        <f t="shared" si="2"/>
        <v>0</v>
      </c>
      <c r="X46" s="73"/>
      <c r="Y46" s="74">
        <f t="shared" si="5"/>
        <v>0</v>
      </c>
      <c r="Z46" s="75" t="s">
        <v>12</v>
      </c>
      <c r="AA46" s="72">
        <f t="shared" si="4"/>
        <v>0</v>
      </c>
      <c r="AB46" s="76" t="s">
        <v>12</v>
      </c>
      <c r="AC46" s="72">
        <f>SUMIF(Invoices!$E$2:$E$1048576,' Accting USE Data Entry Form'!B46,Invoices!$F$2:$F$1048576)</f>
        <v>0</v>
      </c>
      <c r="AD46" s="76" t="s">
        <v>10</v>
      </c>
      <c r="AE46" s="77">
        <f t="shared" si="6"/>
        <v>0</v>
      </c>
    </row>
    <row r="47" spans="1:32" ht="14.4" customHeight="1" x14ac:dyDescent="0.25">
      <c r="A47" s="70">
        <v>37</v>
      </c>
      <c r="B47" s="89" t="s">
        <v>82</v>
      </c>
      <c r="C47" s="92">
        <v>160750</v>
      </c>
      <c r="D47" s="71"/>
      <c r="E47" s="158"/>
      <c r="F47" s="132"/>
      <c r="G47" s="132"/>
      <c r="H47" s="132"/>
      <c r="I47" s="132"/>
      <c r="J47" s="132"/>
      <c r="K47" s="133"/>
      <c r="L47" s="133"/>
      <c r="M47" s="133"/>
      <c r="N47" s="133"/>
      <c r="O47" s="133"/>
      <c r="P47" s="133"/>
      <c r="Q47" s="133"/>
      <c r="R47" s="91">
        <v>42914</v>
      </c>
      <c r="S47" s="71">
        <f t="shared" si="7"/>
        <v>0</v>
      </c>
      <c r="T47" s="23" t="s">
        <v>27</v>
      </c>
      <c r="U47" s="96">
        <f t="shared" si="8"/>
        <v>160750</v>
      </c>
      <c r="V47" s="167" t="s">
        <v>10</v>
      </c>
      <c r="W47" s="78">
        <f t="shared" si="2"/>
        <v>0</v>
      </c>
      <c r="X47" s="73"/>
      <c r="Y47" s="74">
        <f t="shared" si="5"/>
        <v>0</v>
      </c>
      <c r="Z47" s="75" t="s">
        <v>12</v>
      </c>
      <c r="AA47" s="72">
        <f t="shared" si="4"/>
        <v>0</v>
      </c>
      <c r="AB47" s="76" t="s">
        <v>12</v>
      </c>
      <c r="AC47" s="72">
        <f>SUMIF(Invoices!$E$2:$E$1048576,' Accting USE Data Entry Form'!B47,Invoices!$F$2:$F$1048576)</f>
        <v>0</v>
      </c>
      <c r="AD47" s="76" t="s">
        <v>10</v>
      </c>
      <c r="AE47" s="77">
        <f t="shared" si="6"/>
        <v>0</v>
      </c>
    </row>
    <row r="48" spans="1:32" ht="14.4" customHeight="1" x14ac:dyDescent="0.25">
      <c r="A48" s="70">
        <v>38</v>
      </c>
      <c r="B48" s="89" t="s">
        <v>83</v>
      </c>
      <c r="C48" s="92">
        <v>160750</v>
      </c>
      <c r="D48" s="71"/>
      <c r="E48" s="158"/>
      <c r="F48" s="132"/>
      <c r="G48" s="132"/>
      <c r="H48" s="132"/>
      <c r="I48" s="132"/>
      <c r="J48" s="132"/>
      <c r="K48" s="133"/>
      <c r="L48" s="133"/>
      <c r="M48" s="133"/>
      <c r="N48" s="133"/>
      <c r="O48" s="133"/>
      <c r="P48" s="133"/>
      <c r="Q48" s="133"/>
      <c r="R48" s="91">
        <v>42922</v>
      </c>
      <c r="S48" s="71">
        <f t="shared" si="7"/>
        <v>0</v>
      </c>
      <c r="T48" s="23" t="s">
        <v>27</v>
      </c>
      <c r="U48" s="96">
        <f t="shared" si="8"/>
        <v>160750</v>
      </c>
      <c r="V48" s="167" t="s">
        <v>10</v>
      </c>
      <c r="W48" s="78">
        <f t="shared" si="2"/>
        <v>0</v>
      </c>
      <c r="X48" s="73"/>
      <c r="Y48" s="74">
        <f t="shared" si="5"/>
        <v>0</v>
      </c>
      <c r="Z48" s="75" t="s">
        <v>12</v>
      </c>
      <c r="AA48" s="72">
        <f t="shared" si="4"/>
        <v>0</v>
      </c>
      <c r="AB48" s="76" t="s">
        <v>12</v>
      </c>
      <c r="AC48" s="72">
        <f>SUMIF(Invoices!$E$2:$E$1048576,' Accting USE Data Entry Form'!B48,Invoices!$F$2:$F$1048576)</f>
        <v>0</v>
      </c>
      <c r="AD48" s="76" t="s">
        <v>10</v>
      </c>
      <c r="AE48" s="77">
        <f t="shared" si="6"/>
        <v>0</v>
      </c>
    </row>
    <row r="49" spans="1:32" ht="14.4" customHeight="1" x14ac:dyDescent="0.25">
      <c r="A49" s="70">
        <v>39</v>
      </c>
      <c r="B49" s="89" t="s">
        <v>84</v>
      </c>
      <c r="C49" s="92">
        <v>160750</v>
      </c>
      <c r="D49" s="71"/>
      <c r="E49" s="158"/>
      <c r="F49" s="132"/>
      <c r="G49" s="132"/>
      <c r="H49" s="132"/>
      <c r="I49" s="132"/>
      <c r="J49" s="132"/>
      <c r="K49" s="133"/>
      <c r="L49" s="133"/>
      <c r="M49" s="133"/>
      <c r="N49" s="133"/>
      <c r="O49" s="133"/>
      <c r="P49" s="133"/>
      <c r="Q49" s="133"/>
      <c r="R49" s="91">
        <v>42930</v>
      </c>
      <c r="S49" s="71">
        <f t="shared" si="7"/>
        <v>0</v>
      </c>
      <c r="T49" s="23" t="s">
        <v>27</v>
      </c>
      <c r="U49" s="96">
        <f t="shared" si="8"/>
        <v>160750</v>
      </c>
      <c r="V49" s="167" t="s">
        <v>10</v>
      </c>
      <c r="W49" s="78">
        <f t="shared" si="2"/>
        <v>0</v>
      </c>
      <c r="X49" s="73"/>
      <c r="Y49" s="74">
        <f t="shared" si="5"/>
        <v>0</v>
      </c>
      <c r="Z49" s="75" t="s">
        <v>12</v>
      </c>
      <c r="AA49" s="72">
        <f t="shared" si="4"/>
        <v>0</v>
      </c>
      <c r="AB49" s="76" t="s">
        <v>12</v>
      </c>
      <c r="AC49" s="72">
        <f>SUMIF(Invoices!$E$2:$E$1048576,' Accting USE Data Entry Form'!B49,Invoices!$F$2:$F$1048576)</f>
        <v>0</v>
      </c>
      <c r="AD49" s="76" t="s">
        <v>10</v>
      </c>
      <c r="AE49" s="77">
        <f t="shared" si="6"/>
        <v>0</v>
      </c>
    </row>
    <row r="50" spans="1:32" ht="14.4" customHeight="1" x14ac:dyDescent="0.25">
      <c r="A50" s="70">
        <v>40</v>
      </c>
      <c r="B50" s="89" t="s">
        <v>85</v>
      </c>
      <c r="C50" s="92">
        <v>160750</v>
      </c>
      <c r="D50" s="71"/>
      <c r="E50" s="158"/>
      <c r="F50" s="132"/>
      <c r="G50" s="132"/>
      <c r="H50" s="132"/>
      <c r="I50" s="132"/>
      <c r="J50" s="132"/>
      <c r="K50" s="133"/>
      <c r="L50" s="133"/>
      <c r="M50" s="133"/>
      <c r="N50" s="133"/>
      <c r="O50" s="133"/>
      <c r="P50" s="133"/>
      <c r="Q50" s="133"/>
      <c r="R50" s="91">
        <v>42940</v>
      </c>
      <c r="S50" s="71">
        <f t="shared" si="7"/>
        <v>0</v>
      </c>
      <c r="T50" s="23" t="s">
        <v>27</v>
      </c>
      <c r="U50" s="96">
        <f t="shared" si="8"/>
        <v>160750</v>
      </c>
      <c r="V50" s="167" t="s">
        <v>10</v>
      </c>
      <c r="W50" s="78">
        <f t="shared" si="2"/>
        <v>0</v>
      </c>
      <c r="X50" s="73"/>
      <c r="Y50" s="74">
        <f t="shared" si="5"/>
        <v>0</v>
      </c>
      <c r="Z50" s="75" t="s">
        <v>12</v>
      </c>
      <c r="AA50" s="72">
        <f t="shared" si="4"/>
        <v>0</v>
      </c>
      <c r="AB50" s="76" t="s">
        <v>12</v>
      </c>
      <c r="AC50" s="72">
        <f>SUMIF(Invoices!$E$2:$E$1048576,' Accting USE Data Entry Form'!B50,Invoices!$F$2:$F$1048576)</f>
        <v>0</v>
      </c>
      <c r="AD50" s="76" t="s">
        <v>10</v>
      </c>
      <c r="AE50" s="77">
        <f t="shared" si="6"/>
        <v>0</v>
      </c>
    </row>
    <row r="51" spans="1:32" ht="14.4" customHeight="1" x14ac:dyDescent="0.25">
      <c r="A51" s="70">
        <v>41</v>
      </c>
      <c r="B51" s="89" t="s">
        <v>86</v>
      </c>
      <c r="C51" s="92">
        <v>160750</v>
      </c>
      <c r="D51" s="71"/>
      <c r="E51" s="158"/>
      <c r="F51" s="132"/>
      <c r="G51" s="132"/>
      <c r="H51" s="132"/>
      <c r="I51" s="132"/>
      <c r="J51" s="132"/>
      <c r="K51" s="133"/>
      <c r="L51" s="133"/>
      <c r="M51" s="133"/>
      <c r="N51" s="133"/>
      <c r="O51" s="133"/>
      <c r="P51" s="133"/>
      <c r="Q51" s="133"/>
      <c r="R51" s="91">
        <v>42948</v>
      </c>
      <c r="S51" s="71">
        <f t="shared" si="7"/>
        <v>0</v>
      </c>
      <c r="T51" s="23" t="s">
        <v>27</v>
      </c>
      <c r="U51" s="96">
        <f t="shared" si="8"/>
        <v>160750</v>
      </c>
      <c r="V51" s="167" t="s">
        <v>10</v>
      </c>
      <c r="W51" s="78">
        <f t="shared" si="2"/>
        <v>0</v>
      </c>
      <c r="X51" s="73"/>
      <c r="Y51" s="74">
        <f t="shared" si="5"/>
        <v>0</v>
      </c>
      <c r="Z51" s="75" t="s">
        <v>12</v>
      </c>
      <c r="AA51" s="72">
        <f t="shared" si="4"/>
        <v>0</v>
      </c>
      <c r="AB51" s="76" t="s">
        <v>12</v>
      </c>
      <c r="AC51" s="72">
        <f>SUMIF(Invoices!$E$2:$E$1048576,' Accting USE Data Entry Form'!B51,Invoices!$F$2:$F$1048576)</f>
        <v>0</v>
      </c>
      <c r="AD51" s="76" t="s">
        <v>10</v>
      </c>
      <c r="AE51" s="77">
        <f t="shared" si="6"/>
        <v>0</v>
      </c>
    </row>
    <row r="52" spans="1:32" ht="14.4" customHeight="1" x14ac:dyDescent="0.25">
      <c r="A52" s="70">
        <v>42</v>
      </c>
      <c r="B52" s="89" t="s">
        <v>87</v>
      </c>
      <c r="C52" s="92">
        <v>160750</v>
      </c>
      <c r="D52" s="71"/>
      <c r="E52" s="158"/>
      <c r="F52" s="132"/>
      <c r="G52" s="132"/>
      <c r="H52" s="132"/>
      <c r="I52" s="132"/>
      <c r="J52" s="132"/>
      <c r="K52" s="133"/>
      <c r="L52" s="133"/>
      <c r="M52" s="133"/>
      <c r="N52" s="133"/>
      <c r="O52" s="133"/>
      <c r="P52" s="133"/>
      <c r="Q52" s="133"/>
      <c r="R52" s="91">
        <v>42956</v>
      </c>
      <c r="S52" s="71">
        <f t="shared" si="7"/>
        <v>0</v>
      </c>
      <c r="T52" s="23" t="s">
        <v>27</v>
      </c>
      <c r="U52" s="96">
        <f t="shared" si="8"/>
        <v>160750</v>
      </c>
      <c r="V52" s="167" t="s">
        <v>10</v>
      </c>
      <c r="W52" s="78">
        <f t="shared" si="2"/>
        <v>0</v>
      </c>
      <c r="X52" s="73"/>
      <c r="Y52" s="74">
        <f t="shared" si="5"/>
        <v>0</v>
      </c>
      <c r="Z52" s="75" t="s">
        <v>12</v>
      </c>
      <c r="AA52" s="72">
        <f t="shared" si="4"/>
        <v>0</v>
      </c>
      <c r="AB52" s="76" t="s">
        <v>12</v>
      </c>
      <c r="AC52" s="72">
        <f>SUMIF(Invoices!$E$2:$E$1048576,' Accting USE Data Entry Form'!B52,Invoices!$F$2:$F$1048576)</f>
        <v>0</v>
      </c>
      <c r="AD52" s="76" t="s">
        <v>10</v>
      </c>
      <c r="AE52" s="77">
        <f t="shared" si="6"/>
        <v>0</v>
      </c>
    </row>
    <row r="53" spans="1:32" ht="14.4" customHeight="1" x14ac:dyDescent="0.25">
      <c r="A53" s="70">
        <v>43</v>
      </c>
      <c r="B53" s="89" t="s">
        <v>88</v>
      </c>
      <c r="C53" s="92">
        <v>160750</v>
      </c>
      <c r="D53" s="71"/>
      <c r="E53" s="158"/>
      <c r="F53" s="132"/>
      <c r="G53" s="132"/>
      <c r="H53" s="132"/>
      <c r="I53" s="132"/>
      <c r="J53" s="132"/>
      <c r="K53" s="133"/>
      <c r="L53" s="133"/>
      <c r="M53" s="133"/>
      <c r="N53" s="133"/>
      <c r="O53" s="133"/>
      <c r="P53" s="133"/>
      <c r="Q53" s="133"/>
      <c r="R53" s="91">
        <v>42964</v>
      </c>
      <c r="S53" s="71">
        <f t="shared" si="7"/>
        <v>0</v>
      </c>
      <c r="T53" s="23" t="s">
        <v>27</v>
      </c>
      <c r="U53" s="96">
        <f t="shared" si="8"/>
        <v>160750</v>
      </c>
      <c r="V53" s="167" t="s">
        <v>10</v>
      </c>
      <c r="W53" s="78">
        <f t="shared" si="2"/>
        <v>0</v>
      </c>
      <c r="X53" s="73"/>
      <c r="Y53" s="74">
        <f t="shared" si="5"/>
        <v>0</v>
      </c>
      <c r="Z53" s="75" t="s">
        <v>12</v>
      </c>
      <c r="AA53" s="72">
        <f t="shared" si="4"/>
        <v>0</v>
      </c>
      <c r="AB53" s="76" t="s">
        <v>12</v>
      </c>
      <c r="AC53" s="72">
        <f>SUMIF(Invoices!$E$2:$E$1048576,' Accting USE Data Entry Form'!B53,Invoices!$F$2:$F$1048576)</f>
        <v>0</v>
      </c>
      <c r="AD53" s="76" t="s">
        <v>10</v>
      </c>
      <c r="AE53" s="77">
        <f t="shared" si="6"/>
        <v>0</v>
      </c>
    </row>
    <row r="54" spans="1:32" ht="14.4" customHeight="1" x14ac:dyDescent="0.25">
      <c r="A54" s="70">
        <v>44</v>
      </c>
      <c r="B54" s="89" t="s">
        <v>89</v>
      </c>
      <c r="C54" s="92">
        <v>160750</v>
      </c>
      <c r="D54" s="71"/>
      <c r="E54" s="158"/>
      <c r="F54" s="132"/>
      <c r="G54" s="132"/>
      <c r="H54" s="132"/>
      <c r="I54" s="132"/>
      <c r="J54" s="132"/>
      <c r="K54" s="133"/>
      <c r="L54" s="133"/>
      <c r="M54" s="133"/>
      <c r="N54" s="133"/>
      <c r="O54" s="133"/>
      <c r="P54" s="133"/>
      <c r="Q54" s="133"/>
      <c r="R54" s="91">
        <v>42972</v>
      </c>
      <c r="S54" s="71">
        <f t="shared" si="7"/>
        <v>0</v>
      </c>
      <c r="T54" s="23" t="s">
        <v>27</v>
      </c>
      <c r="U54" s="96">
        <f t="shared" si="8"/>
        <v>160750</v>
      </c>
      <c r="V54" s="167" t="s">
        <v>10</v>
      </c>
      <c r="W54" s="78">
        <f t="shared" si="2"/>
        <v>0</v>
      </c>
      <c r="X54" s="73"/>
      <c r="Y54" s="74">
        <f t="shared" si="5"/>
        <v>0</v>
      </c>
      <c r="Z54" s="75" t="s">
        <v>12</v>
      </c>
      <c r="AA54" s="72">
        <f t="shared" si="4"/>
        <v>0</v>
      </c>
      <c r="AB54" s="76" t="s">
        <v>12</v>
      </c>
      <c r="AC54" s="72">
        <f>SUMIF(Invoices!$E$2:$E$1048576,' Accting USE Data Entry Form'!B54,Invoices!$F$2:$F$1048576)</f>
        <v>0</v>
      </c>
      <c r="AD54" s="76" t="s">
        <v>10</v>
      </c>
      <c r="AE54" s="77">
        <f t="shared" si="6"/>
        <v>0</v>
      </c>
    </row>
    <row r="55" spans="1:32" ht="14.4" customHeight="1" x14ac:dyDescent="0.25">
      <c r="A55" s="70">
        <v>45</v>
      </c>
      <c r="B55" s="89" t="s">
        <v>90</v>
      </c>
      <c r="C55" s="93">
        <v>160750</v>
      </c>
      <c r="D55" s="71"/>
      <c r="E55" s="158"/>
      <c r="F55" s="132"/>
      <c r="G55" s="132"/>
      <c r="H55" s="132"/>
      <c r="I55" s="132"/>
      <c r="J55" s="132"/>
      <c r="K55" s="133"/>
      <c r="L55" s="133"/>
      <c r="M55" s="133"/>
      <c r="N55" s="133"/>
      <c r="O55" s="133"/>
      <c r="P55" s="133"/>
      <c r="Q55" s="133"/>
      <c r="R55" s="90">
        <v>42997</v>
      </c>
      <c r="S55" s="71">
        <f t="shared" si="7"/>
        <v>0</v>
      </c>
      <c r="T55" s="23" t="s">
        <v>27</v>
      </c>
      <c r="U55" s="96">
        <f t="shared" si="8"/>
        <v>160750</v>
      </c>
      <c r="V55" s="167" t="s">
        <v>10</v>
      </c>
      <c r="W55" s="78">
        <f t="shared" si="2"/>
        <v>0</v>
      </c>
      <c r="X55" s="73"/>
      <c r="Y55" s="74">
        <f t="shared" si="5"/>
        <v>0</v>
      </c>
      <c r="Z55" s="75" t="s">
        <v>12</v>
      </c>
      <c r="AA55" s="72">
        <f t="shared" si="4"/>
        <v>0</v>
      </c>
      <c r="AB55" s="76" t="s">
        <v>12</v>
      </c>
      <c r="AC55" s="72">
        <f>SUMIF(Invoices!$E$2:$E$1048576,' Accting USE Data Entry Form'!B55,Invoices!$F$2:$F$1048576)</f>
        <v>0</v>
      </c>
      <c r="AD55" s="76" t="s">
        <v>10</v>
      </c>
      <c r="AE55" s="77">
        <f t="shared" si="6"/>
        <v>0</v>
      </c>
    </row>
    <row r="56" spans="1:32" ht="14.4" customHeight="1" x14ac:dyDescent="0.25">
      <c r="A56" s="70">
        <v>46</v>
      </c>
      <c r="B56" s="89" t="s">
        <v>96</v>
      </c>
      <c r="C56" s="93">
        <v>38000</v>
      </c>
      <c r="D56" s="130">
        <v>1</v>
      </c>
      <c r="E56" s="158"/>
      <c r="F56" s="175"/>
      <c r="G56" s="175"/>
      <c r="H56" s="175"/>
      <c r="I56" s="175"/>
      <c r="J56" s="175"/>
      <c r="K56" s="133"/>
      <c r="L56" s="133"/>
      <c r="M56" s="133"/>
      <c r="N56" s="133"/>
      <c r="O56" s="133"/>
      <c r="P56" s="133"/>
      <c r="Q56" s="133"/>
      <c r="R56" s="90">
        <v>42614</v>
      </c>
      <c r="S56" s="71">
        <f t="shared" si="7"/>
        <v>1</v>
      </c>
      <c r="T56" s="23" t="s">
        <v>27</v>
      </c>
      <c r="U56" s="96">
        <f t="shared" si="8"/>
        <v>38000</v>
      </c>
      <c r="V56" s="167" t="s">
        <v>10</v>
      </c>
      <c r="W56" s="78">
        <f t="shared" si="2"/>
        <v>38000</v>
      </c>
      <c r="X56" s="73"/>
      <c r="Y56" s="74">
        <f t="shared" si="5"/>
        <v>38000</v>
      </c>
      <c r="Z56" s="75" t="s">
        <v>12</v>
      </c>
      <c r="AA56" s="72">
        <f t="shared" si="4"/>
        <v>0</v>
      </c>
      <c r="AB56" s="76" t="s">
        <v>12</v>
      </c>
      <c r="AC56" s="72">
        <f>SUMIF(Invoices!$E$2:$E$1048576,' Accting USE Data Entry Form'!B56,Invoices!$F$2:$F$1048576)</f>
        <v>38000</v>
      </c>
      <c r="AD56" s="76" t="s">
        <v>10</v>
      </c>
      <c r="AE56" s="77">
        <f t="shared" si="6"/>
        <v>0</v>
      </c>
    </row>
    <row r="57" spans="1:32" ht="14.4" customHeight="1" x14ac:dyDescent="0.25">
      <c r="A57" s="70">
        <v>47</v>
      </c>
      <c r="B57" s="89" t="s">
        <v>103</v>
      </c>
      <c r="C57" s="93">
        <v>71500</v>
      </c>
      <c r="D57" s="71">
        <v>1</v>
      </c>
      <c r="E57" s="158"/>
      <c r="F57" s="132"/>
      <c r="G57" s="132"/>
      <c r="H57" s="132"/>
      <c r="I57" s="132"/>
      <c r="J57" s="132"/>
      <c r="K57" s="133"/>
      <c r="L57" s="133"/>
      <c r="M57" s="133"/>
      <c r="N57" s="133"/>
      <c r="O57" s="133"/>
      <c r="P57" s="133"/>
      <c r="Q57" s="133"/>
      <c r="R57" s="90">
        <v>42643</v>
      </c>
      <c r="S57" s="71">
        <f t="shared" si="7"/>
        <v>1</v>
      </c>
      <c r="T57" s="23" t="s">
        <v>27</v>
      </c>
      <c r="U57" s="96">
        <f t="shared" si="8"/>
        <v>71500</v>
      </c>
      <c r="V57" s="167" t="s">
        <v>10</v>
      </c>
      <c r="W57" s="78">
        <f t="shared" si="2"/>
        <v>71500</v>
      </c>
      <c r="X57" s="73"/>
      <c r="Y57" s="74">
        <f t="shared" si="5"/>
        <v>71500</v>
      </c>
      <c r="Z57" s="75" t="s">
        <v>12</v>
      </c>
      <c r="AA57" s="72">
        <f t="shared" si="4"/>
        <v>0</v>
      </c>
      <c r="AB57" s="76" t="s">
        <v>12</v>
      </c>
      <c r="AC57" s="72">
        <f>SUMIF(Invoices!$E$2:$E$1048576,' Accting USE Data Entry Form'!B57,Invoices!$F$2:$F$1048576)</f>
        <v>71500</v>
      </c>
      <c r="AD57" s="76" t="s">
        <v>10</v>
      </c>
      <c r="AE57" s="77">
        <f t="shared" si="6"/>
        <v>0</v>
      </c>
    </row>
    <row r="58" spans="1:32" ht="14.4" customHeight="1" x14ac:dyDescent="0.25">
      <c r="A58" s="70">
        <v>48</v>
      </c>
      <c r="B58" s="89" t="s">
        <v>411</v>
      </c>
      <c r="C58" s="93">
        <v>484000</v>
      </c>
      <c r="D58" s="71"/>
      <c r="E58" s="158">
        <v>17132.759999999998</v>
      </c>
      <c r="F58" s="132">
        <v>102796.56000000003</v>
      </c>
      <c r="G58" s="132"/>
      <c r="H58" s="132"/>
      <c r="I58" s="132"/>
      <c r="J58" s="132"/>
      <c r="K58" s="133"/>
      <c r="L58" s="133"/>
      <c r="M58" s="133"/>
      <c r="N58" s="133"/>
      <c r="O58" s="133"/>
      <c r="P58" s="133"/>
      <c r="Q58" s="133"/>
      <c r="R58" s="90">
        <v>42987</v>
      </c>
      <c r="S58" s="71">
        <f t="shared" si="7"/>
        <v>0.24778785123966945</v>
      </c>
      <c r="T58" s="23" t="s">
        <v>27</v>
      </c>
      <c r="U58" s="96">
        <f t="shared" si="8"/>
        <v>484000</v>
      </c>
      <c r="V58" s="167" t="s">
        <v>10</v>
      </c>
      <c r="W58" s="78">
        <f t="shared" si="2"/>
        <v>119929.32000000002</v>
      </c>
      <c r="X58" s="73"/>
      <c r="Y58" s="74">
        <f t="shared" si="5"/>
        <v>119929.32000000002</v>
      </c>
      <c r="Z58" s="75" t="s">
        <v>12</v>
      </c>
      <c r="AA58" s="72">
        <f t="shared" si="4"/>
        <v>17133.000000000015</v>
      </c>
      <c r="AB58" s="76" t="s">
        <v>12</v>
      </c>
      <c r="AC58" s="72">
        <f>SUMIF(Invoices!$E$2:$E$1048576,' Accting USE Data Entry Form'!B58,Invoices!$F$2:$F$1048576)</f>
        <v>102796.32</v>
      </c>
      <c r="AD58" s="76" t="s">
        <v>10</v>
      </c>
      <c r="AE58" s="77">
        <f t="shared" si="6"/>
        <v>0</v>
      </c>
    </row>
    <row r="59" spans="1:32" ht="14.4" customHeight="1" x14ac:dyDescent="0.25">
      <c r="A59" s="70">
        <v>49</v>
      </c>
      <c r="B59" s="137" t="s">
        <v>424</v>
      </c>
      <c r="C59" s="93">
        <v>57800</v>
      </c>
      <c r="D59" s="95"/>
      <c r="E59" s="159"/>
      <c r="F59" s="174">
        <v>12276.106194690265</v>
      </c>
      <c r="G59" s="174"/>
      <c r="H59" s="174"/>
      <c r="I59" s="174"/>
      <c r="J59" s="174"/>
      <c r="K59" s="133"/>
      <c r="L59" s="133"/>
      <c r="M59" s="133"/>
      <c r="N59" s="133"/>
      <c r="O59" s="133"/>
      <c r="P59" s="133"/>
      <c r="Q59" s="133"/>
      <c r="R59" s="86"/>
      <c r="S59" s="71">
        <f t="shared" si="7"/>
        <v>0.21238938053097345</v>
      </c>
      <c r="T59" s="23"/>
      <c r="U59" s="96">
        <f t="shared" si="8"/>
        <v>57800</v>
      </c>
      <c r="W59" s="78"/>
      <c r="X59" s="73"/>
      <c r="Y59" s="74">
        <f>+W59</f>
        <v>0</v>
      </c>
      <c r="Z59" s="75"/>
      <c r="AA59" s="72">
        <f>Y59-AC59</f>
        <v>0</v>
      </c>
      <c r="AB59" s="76"/>
      <c r="AC59" s="72"/>
      <c r="AD59" s="76"/>
      <c r="AE59" s="77">
        <f>+Y59-AA59-AC59</f>
        <v>0</v>
      </c>
    </row>
    <row r="60" spans="1:32" ht="14.4" customHeight="1" x14ac:dyDescent="0.25">
      <c r="A60" s="70">
        <v>50</v>
      </c>
      <c r="B60" s="137" t="s">
        <v>423</v>
      </c>
      <c r="C60" s="93">
        <v>21335</v>
      </c>
      <c r="D60" s="95"/>
      <c r="E60" s="159"/>
      <c r="F60" s="174"/>
      <c r="G60" s="174"/>
      <c r="H60" s="174"/>
      <c r="I60" s="174"/>
      <c r="J60" s="174"/>
      <c r="K60" s="133"/>
      <c r="L60" s="133"/>
      <c r="M60" s="133"/>
      <c r="N60" s="133"/>
      <c r="O60" s="133"/>
      <c r="P60" s="133"/>
      <c r="Q60" s="133"/>
      <c r="R60" s="87"/>
      <c r="S60" s="71">
        <f t="shared" si="7"/>
        <v>0</v>
      </c>
      <c r="T60" s="23"/>
      <c r="U60" s="96">
        <f t="shared" si="8"/>
        <v>21335</v>
      </c>
      <c r="W60" s="78"/>
      <c r="X60" s="73"/>
      <c r="Y60" s="74"/>
      <c r="Z60" s="75"/>
      <c r="AA60" s="72"/>
      <c r="AB60" s="76"/>
      <c r="AC60" s="72"/>
      <c r="AD60" s="76"/>
      <c r="AE60" s="77"/>
    </row>
    <row r="61" spans="1:32" ht="14.4" customHeight="1" x14ac:dyDescent="0.25">
      <c r="A61" s="178">
        <v>51</v>
      </c>
      <c r="B61" s="179" t="s">
        <v>422</v>
      </c>
      <c r="C61" s="93">
        <v>499817.6</v>
      </c>
      <c r="D61" s="180"/>
      <c r="E61" s="181"/>
      <c r="F61" s="182"/>
      <c r="G61" s="182"/>
      <c r="H61" s="182"/>
      <c r="I61" s="182"/>
      <c r="J61" s="182"/>
      <c r="K61" s="183"/>
      <c r="L61" s="183"/>
      <c r="M61" s="183"/>
      <c r="N61" s="183"/>
      <c r="O61" s="183"/>
      <c r="P61" s="183"/>
      <c r="Q61" s="183"/>
      <c r="R61" s="90"/>
      <c r="S61" s="180">
        <f t="shared" si="7"/>
        <v>0</v>
      </c>
      <c r="T61" s="23" t="s">
        <v>27</v>
      </c>
      <c r="U61" s="184">
        <f t="shared" si="8"/>
        <v>499817.6</v>
      </c>
      <c r="V61" s="167" t="s">
        <v>10</v>
      </c>
      <c r="W61" s="185">
        <f t="shared" si="2"/>
        <v>0</v>
      </c>
      <c r="X61" s="73"/>
      <c r="Y61" s="147">
        <f t="shared" si="5"/>
        <v>0</v>
      </c>
      <c r="Z61" s="75" t="s">
        <v>12</v>
      </c>
      <c r="AA61" s="145">
        <f t="shared" si="4"/>
        <v>0</v>
      </c>
      <c r="AB61" s="76" t="s">
        <v>12</v>
      </c>
      <c r="AC61" s="145">
        <f>SUMIF(Invoices!$E$2:$E$1048576,' Accting USE Data Entry Form'!B61,Invoices!$F$2:$F$1048576)</f>
        <v>0</v>
      </c>
      <c r="AD61" s="76" t="s">
        <v>10</v>
      </c>
      <c r="AE61" s="148">
        <f t="shared" si="6"/>
        <v>0</v>
      </c>
    </row>
    <row r="62" spans="1:32" ht="14.4" customHeight="1" x14ac:dyDescent="0.25">
      <c r="A62" s="186" t="s">
        <v>108</v>
      </c>
      <c r="B62" s="187"/>
      <c r="C62" s="188">
        <f>SUBTOTAL(109,' Accting USE Data Entry Form'!$V$11:$V$61)</f>
        <v>11650324.6</v>
      </c>
      <c r="D62" s="188"/>
      <c r="E62" s="188"/>
      <c r="F62" s="188">
        <f>SUM(F11:F61)</f>
        <v>1029102.6661946903</v>
      </c>
      <c r="G62" s="188"/>
      <c r="H62" s="188"/>
      <c r="I62" s="188"/>
      <c r="J62" s="189"/>
      <c r="K62" s="189"/>
      <c r="L62" s="189"/>
      <c r="M62" s="189"/>
      <c r="N62" s="189"/>
      <c r="O62" s="189"/>
      <c r="P62" s="189"/>
      <c r="Q62" s="190"/>
      <c r="R62" s="191"/>
      <c r="S62" s="192"/>
      <c r="T62" s="193"/>
      <c r="U62" s="188">
        <f>SUBTOTAL(109,' Accting USE Data Entry Form'!$V$11:$V$61)</f>
        <v>11650324.6</v>
      </c>
      <c r="V62" s="194"/>
      <c r="W62" s="195">
        <f>SUBTOTAL(109,' Accting USE Data Entry Form'!$X$11:$X$61)</f>
        <v>7650143.7399219107</v>
      </c>
      <c r="X62" s="194"/>
      <c r="Y62" s="196">
        <f>SUBTOTAL(109,' Accting USE Data Entry Form'!$Z$11:$Z$61)</f>
        <v>7650143.7399219107</v>
      </c>
      <c r="Z62" s="197"/>
      <c r="AA62" s="195">
        <f>SUBTOTAL(109,' Accting USE Data Entry Form'!$AB$11:$AB$61)</f>
        <v>692753.19992191112</v>
      </c>
      <c r="AB62" s="197"/>
      <c r="AC62" s="195">
        <f>SUBTOTAL(109,' Accting USE Data Entry Form'!$AD$11:$AD$61)</f>
        <v>6957390.54</v>
      </c>
      <c r="AD62" s="197"/>
      <c r="AE62" s="198">
        <f>SUBTOTAL(109,' Accting USE Data Entry Form'!$AF$11:$AF$61)</f>
        <v>0</v>
      </c>
      <c r="AF62" s="199">
        <f>SUBTOTAL(103,' Accting USE Data Entry Form'!$AG$11:$AG$61)</f>
        <v>3</v>
      </c>
    </row>
    <row r="63" spans="1:32" ht="14.4" customHeight="1" x14ac:dyDescent="0.25"/>
    <row r="64" spans="1:32" ht="14.4" customHeight="1" thickBot="1" x14ac:dyDescent="0.3">
      <c r="A64" s="67" t="s">
        <v>7</v>
      </c>
      <c r="V64" s="294"/>
      <c r="W64" s="294"/>
      <c r="X64" s="294"/>
      <c r="Y64" s="294"/>
      <c r="Z64" s="294"/>
      <c r="AA64" s="294"/>
      <c r="AB64" s="80"/>
      <c r="AC64" s="48">
        <f>Form!K5</f>
        <v>42794</v>
      </c>
    </row>
    <row r="65" spans="1:29" ht="14.4" customHeight="1" x14ac:dyDescent="0.25">
      <c r="V65" s="64"/>
      <c r="W65" s="65"/>
      <c r="X65" s="64"/>
      <c r="Y65" s="81"/>
      <c r="AC65" s="82" t="s">
        <v>3</v>
      </c>
    </row>
    <row r="66" spans="1:29" ht="14.4" customHeight="1" x14ac:dyDescent="0.25">
      <c r="V66" s="64"/>
      <c r="W66" s="65"/>
      <c r="X66" s="64"/>
      <c r="Y66" s="81"/>
      <c r="AC66" s="82"/>
    </row>
    <row r="67" spans="1:29" x14ac:dyDescent="0.25">
      <c r="A67" s="67" t="s">
        <v>8</v>
      </c>
      <c r="V67" s="64"/>
      <c r="W67" s="83"/>
      <c r="X67" s="23"/>
      <c r="Y67" s="84"/>
      <c r="Z67" s="80"/>
      <c r="AA67" s="85"/>
      <c r="AC67" s="69"/>
    </row>
    <row r="68" spans="1:29" x14ac:dyDescent="0.25">
      <c r="AC68" s="82" t="s">
        <v>3</v>
      </c>
    </row>
  </sheetData>
  <mergeCells count="7">
    <mergeCell ref="V64:AA64"/>
    <mergeCell ref="A1:AE1"/>
    <mergeCell ref="A2:AE2"/>
    <mergeCell ref="A3:AE3"/>
    <mergeCell ref="S5:X5"/>
    <mergeCell ref="S7:V7"/>
    <mergeCell ref="S8:U8"/>
  </mergeCells>
  <conditionalFormatting sqref="A11:AF66">
    <cfRule type="expression" dxfId="67" priority="1">
      <formula>$S11=100%</formula>
    </cfRule>
  </conditionalFormatting>
  <dataValidations count="1">
    <dataValidation allowBlank="1" sqref="S11:S61 J11:Q62 F11:I6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List!$A$4:$A$24</xm:f>
          </x14:formula1>
          <xm:sqref>D11:D61 E59:E61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52"/>
  <sheetViews>
    <sheetView showGridLines="0" workbookViewId="0">
      <pane xSplit="3" ySplit="1" topLeftCell="D20" activePane="bottomRight" state="frozen"/>
      <selection pane="topRight" activeCell="C1" sqref="C1"/>
      <selection pane="bottomLeft" activeCell="A2" sqref="A2"/>
      <selection pane="bottomRight" activeCell="E29" sqref="E29"/>
    </sheetView>
  </sheetViews>
  <sheetFormatPr defaultRowHeight="13.2" x14ac:dyDescent="0.25"/>
  <cols>
    <col min="1" max="1" width="10" style="99" customWidth="1"/>
    <col min="2" max="2" width="1.77734375" style="107" customWidth="1"/>
    <col min="3" max="3" width="10.88671875" style="94" bestFit="1" customWidth="1"/>
    <col min="4" max="4" width="10.88671875" style="94" customWidth="1"/>
    <col min="5" max="5" width="53.109375" bestFit="1" customWidth="1"/>
    <col min="6" max="6" width="18.21875" customWidth="1"/>
    <col min="7" max="7" width="15.21875" customWidth="1"/>
  </cols>
  <sheetData>
    <row r="1" spans="1:8" s="212" customFormat="1" x14ac:dyDescent="0.25">
      <c r="A1" s="208" t="s">
        <v>107</v>
      </c>
      <c r="B1" s="209"/>
      <c r="C1" s="210" t="s">
        <v>97</v>
      </c>
      <c r="D1" s="210" t="s">
        <v>3</v>
      </c>
      <c r="E1" s="211" t="s">
        <v>98</v>
      </c>
      <c r="F1" s="211" t="s">
        <v>101</v>
      </c>
      <c r="G1" s="212" t="s">
        <v>412</v>
      </c>
      <c r="H1" s="216" t="s">
        <v>436</v>
      </c>
    </row>
    <row r="2" spans="1:8" x14ac:dyDescent="0.25">
      <c r="A2" s="103">
        <v>1</v>
      </c>
      <c r="B2" s="105"/>
      <c r="C2" s="257">
        <v>3456.01</v>
      </c>
      <c r="D2" s="258">
        <v>42227</v>
      </c>
      <c r="E2" s="259" t="s">
        <v>49</v>
      </c>
      <c r="F2" s="260">
        <v>157470</v>
      </c>
      <c r="G2" s="261"/>
      <c r="H2" s="262"/>
    </row>
    <row r="3" spans="1:8" x14ac:dyDescent="0.25">
      <c r="A3" s="102">
        <v>2</v>
      </c>
      <c r="B3" s="105"/>
      <c r="C3" s="263">
        <v>3456.02</v>
      </c>
      <c r="D3" s="264">
        <v>42320</v>
      </c>
      <c r="E3" s="265" t="s">
        <v>47</v>
      </c>
      <c r="F3" s="266">
        <v>157470</v>
      </c>
      <c r="G3" s="261"/>
      <c r="H3" s="262"/>
    </row>
    <row r="4" spans="1:8" x14ac:dyDescent="0.25">
      <c r="A4" s="101">
        <v>3</v>
      </c>
      <c r="B4" s="105"/>
      <c r="C4" s="263">
        <v>3456.03</v>
      </c>
      <c r="D4" s="264">
        <v>42515</v>
      </c>
      <c r="E4" s="265" t="s">
        <v>105</v>
      </c>
      <c r="F4" s="266">
        <v>423360</v>
      </c>
      <c r="G4" s="261"/>
      <c r="H4" s="262"/>
    </row>
    <row r="5" spans="1:8" x14ac:dyDescent="0.25">
      <c r="A5" s="102">
        <v>4</v>
      </c>
      <c r="B5" s="105"/>
      <c r="C5" s="263">
        <v>3456.04</v>
      </c>
      <c r="D5" s="264">
        <v>42515</v>
      </c>
      <c r="E5" s="267" t="s">
        <v>106</v>
      </c>
      <c r="F5" s="266">
        <v>1607500</v>
      </c>
      <c r="G5" s="261"/>
      <c r="H5" s="262"/>
    </row>
    <row r="6" spans="1:8" x14ac:dyDescent="0.25">
      <c r="A6" s="101">
        <v>5</v>
      </c>
      <c r="B6" s="105"/>
      <c r="C6" s="263">
        <v>3456.05</v>
      </c>
      <c r="D6" s="264">
        <v>42601</v>
      </c>
      <c r="E6" s="265" t="s">
        <v>104</v>
      </c>
      <c r="F6" s="266">
        <v>317520</v>
      </c>
      <c r="G6" s="261"/>
      <c r="H6" s="262"/>
    </row>
    <row r="7" spans="1:8" x14ac:dyDescent="0.25">
      <c r="A7" s="102">
        <v>6</v>
      </c>
      <c r="B7" s="105"/>
      <c r="C7" s="268">
        <v>3456.06</v>
      </c>
      <c r="D7" s="269">
        <v>42633</v>
      </c>
      <c r="E7" s="270" t="s">
        <v>58</v>
      </c>
      <c r="F7" s="271">
        <v>1446750</v>
      </c>
      <c r="G7" s="261"/>
      <c r="H7" s="262"/>
    </row>
    <row r="8" spans="1:8" x14ac:dyDescent="0.25">
      <c r="A8" s="101">
        <v>7</v>
      </c>
      <c r="B8" s="105"/>
      <c r="C8" s="268">
        <v>51222</v>
      </c>
      <c r="D8" s="269">
        <v>42417</v>
      </c>
      <c r="E8" s="270" t="s">
        <v>53</v>
      </c>
      <c r="F8" s="271">
        <v>104980</v>
      </c>
      <c r="G8" s="261"/>
      <c r="H8" s="262"/>
    </row>
    <row r="9" spans="1:8" x14ac:dyDescent="0.25">
      <c r="A9" s="102">
        <v>8</v>
      </c>
      <c r="B9" s="105"/>
      <c r="C9" s="263">
        <v>51222</v>
      </c>
      <c r="D9" s="264">
        <v>42417</v>
      </c>
      <c r="E9" s="265" t="s">
        <v>54</v>
      </c>
      <c r="F9" s="266">
        <v>104980</v>
      </c>
      <c r="G9" s="261"/>
      <c r="H9" s="262"/>
    </row>
    <row r="10" spans="1:8" x14ac:dyDescent="0.25">
      <c r="A10" s="101">
        <v>9</v>
      </c>
      <c r="B10" s="105"/>
      <c r="C10" s="263">
        <v>51315</v>
      </c>
      <c r="D10" s="264">
        <v>42515</v>
      </c>
      <c r="E10" s="265" t="s">
        <v>102</v>
      </c>
      <c r="F10" s="266">
        <v>90800</v>
      </c>
      <c r="G10" s="261"/>
      <c r="H10" s="262"/>
    </row>
    <row r="11" spans="1:8" x14ac:dyDescent="0.25">
      <c r="A11" s="102">
        <v>10</v>
      </c>
      <c r="B11" s="105"/>
      <c r="C11" s="263">
        <v>51419</v>
      </c>
      <c r="D11" s="264">
        <v>42611</v>
      </c>
      <c r="E11" s="265" t="s">
        <v>99</v>
      </c>
      <c r="F11" s="266">
        <v>80784</v>
      </c>
      <c r="G11" s="261"/>
      <c r="H11" s="262"/>
    </row>
    <row r="12" spans="1:8" x14ac:dyDescent="0.25">
      <c r="A12" s="101">
        <v>11</v>
      </c>
      <c r="B12" s="105"/>
      <c r="C12" s="263">
        <v>51419</v>
      </c>
      <c r="D12" s="264">
        <v>42611</v>
      </c>
      <c r="E12" s="265" t="s">
        <v>59</v>
      </c>
      <c r="F12" s="266">
        <v>158760</v>
      </c>
      <c r="G12" s="261"/>
      <c r="H12" s="262"/>
    </row>
    <row r="13" spans="1:8" x14ac:dyDescent="0.25">
      <c r="A13" s="102">
        <v>12</v>
      </c>
      <c r="B13" s="105"/>
      <c r="C13" s="263">
        <v>51428</v>
      </c>
      <c r="D13" s="264">
        <v>42612</v>
      </c>
      <c r="E13" s="265" t="s">
        <v>100</v>
      </c>
      <c r="F13" s="266">
        <v>71500</v>
      </c>
      <c r="G13" s="261"/>
      <c r="H13" s="262"/>
    </row>
    <row r="14" spans="1:8" x14ac:dyDescent="0.25">
      <c r="A14" s="101">
        <v>13</v>
      </c>
      <c r="B14" s="105"/>
      <c r="C14" s="263">
        <v>51448</v>
      </c>
      <c r="D14" s="264">
        <v>42636</v>
      </c>
      <c r="E14" s="265" t="s">
        <v>99</v>
      </c>
      <c r="F14" s="266">
        <v>73440</v>
      </c>
      <c r="G14" s="261"/>
      <c r="H14" s="272"/>
    </row>
    <row r="15" spans="1:8" x14ac:dyDescent="0.25">
      <c r="A15" s="102">
        <v>14</v>
      </c>
      <c r="B15" s="105"/>
      <c r="C15" s="263">
        <v>51448</v>
      </c>
      <c r="D15" s="264">
        <v>42636</v>
      </c>
      <c r="E15" s="265" t="s">
        <v>59</v>
      </c>
      <c r="F15" s="266">
        <v>158760</v>
      </c>
      <c r="G15" s="261"/>
      <c r="H15" s="272"/>
    </row>
    <row r="16" spans="1:8" x14ac:dyDescent="0.25">
      <c r="A16" s="101">
        <v>15</v>
      </c>
      <c r="B16" s="105"/>
      <c r="C16" s="263">
        <v>51450</v>
      </c>
      <c r="D16" s="264">
        <v>42639</v>
      </c>
      <c r="E16" s="265" t="s">
        <v>99</v>
      </c>
      <c r="F16" s="266">
        <v>161568</v>
      </c>
      <c r="G16" s="261"/>
      <c r="H16" s="272"/>
    </row>
    <row r="17" spans="1:11" x14ac:dyDescent="0.25">
      <c r="A17" s="102">
        <v>16</v>
      </c>
      <c r="B17" s="105"/>
      <c r="C17" s="263">
        <v>51450</v>
      </c>
      <c r="D17" s="264">
        <v>42639</v>
      </c>
      <c r="E17" s="265" t="s">
        <v>60</v>
      </c>
      <c r="F17" s="266">
        <v>160750</v>
      </c>
      <c r="G17" s="261"/>
      <c r="H17" s="272"/>
    </row>
    <row r="18" spans="1:11" x14ac:dyDescent="0.25">
      <c r="A18" s="101">
        <v>17</v>
      </c>
      <c r="B18" s="105"/>
      <c r="C18" s="263">
        <v>51450</v>
      </c>
      <c r="D18" s="264">
        <v>42639</v>
      </c>
      <c r="E18" s="265" t="s">
        <v>61</v>
      </c>
      <c r="F18" s="266">
        <v>160750</v>
      </c>
      <c r="G18" s="261"/>
      <c r="H18" s="272"/>
    </row>
    <row r="19" spans="1:11" x14ac:dyDescent="0.25">
      <c r="A19" s="102">
        <v>18</v>
      </c>
      <c r="B19" s="105"/>
      <c r="C19" s="263">
        <v>51451</v>
      </c>
      <c r="D19" s="264">
        <v>42639</v>
      </c>
      <c r="E19" s="265" t="s">
        <v>110</v>
      </c>
      <c r="F19" s="266">
        <v>36800</v>
      </c>
      <c r="G19" s="261"/>
      <c r="H19" s="272"/>
    </row>
    <row r="20" spans="1:11" x14ac:dyDescent="0.25">
      <c r="A20" s="101">
        <v>19</v>
      </c>
      <c r="B20" s="105"/>
      <c r="C20" s="263">
        <v>51452</v>
      </c>
      <c r="D20" s="264">
        <v>42639</v>
      </c>
      <c r="E20" s="265" t="s">
        <v>111</v>
      </c>
      <c r="F20" s="266">
        <v>38000</v>
      </c>
      <c r="G20" s="261"/>
      <c r="H20" s="272"/>
    </row>
    <row r="21" spans="1:11" x14ac:dyDescent="0.25">
      <c r="A21" s="102">
        <v>20</v>
      </c>
      <c r="B21" s="105"/>
      <c r="C21" s="263">
        <v>51511</v>
      </c>
      <c r="D21" s="264">
        <v>42698</v>
      </c>
      <c r="E21" s="265" t="s">
        <v>430</v>
      </c>
      <c r="F21" s="266">
        <v>7554.66</v>
      </c>
      <c r="G21" s="261">
        <v>42753</v>
      </c>
      <c r="H21" s="272"/>
    </row>
    <row r="22" spans="1:11" x14ac:dyDescent="0.25">
      <c r="A22" s="101">
        <v>21</v>
      </c>
      <c r="B22" s="105"/>
      <c r="C22" s="263">
        <v>51533</v>
      </c>
      <c r="D22" s="264">
        <v>42704</v>
      </c>
      <c r="E22" s="265" t="s">
        <v>62</v>
      </c>
      <c r="F22" s="266">
        <v>160750</v>
      </c>
      <c r="G22" s="261">
        <v>42706</v>
      </c>
      <c r="H22" s="272"/>
    </row>
    <row r="23" spans="1:11" x14ac:dyDescent="0.25">
      <c r="A23" s="102">
        <v>22</v>
      </c>
      <c r="B23" s="105"/>
      <c r="C23" s="263">
        <v>51533</v>
      </c>
      <c r="D23" s="264">
        <v>42704</v>
      </c>
      <c r="E23" s="265" t="s">
        <v>398</v>
      </c>
      <c r="F23" s="266">
        <v>23000</v>
      </c>
      <c r="G23" s="261">
        <v>42706</v>
      </c>
      <c r="H23" s="272"/>
    </row>
    <row r="24" spans="1:11" x14ac:dyDescent="0.25">
      <c r="A24" s="101">
        <v>23</v>
      </c>
      <c r="B24" s="105"/>
      <c r="C24" s="263">
        <v>51554</v>
      </c>
      <c r="D24" s="264">
        <v>42723</v>
      </c>
      <c r="E24" s="265" t="s">
        <v>110</v>
      </c>
      <c r="F24" s="266">
        <v>27600</v>
      </c>
      <c r="G24" s="261">
        <v>42753</v>
      </c>
      <c r="H24" s="272"/>
    </row>
    <row r="25" spans="1:11" x14ac:dyDescent="0.25">
      <c r="A25" s="102">
        <v>24</v>
      </c>
      <c r="B25" s="105"/>
      <c r="C25" s="263">
        <v>51589</v>
      </c>
      <c r="D25" s="264">
        <v>42727</v>
      </c>
      <c r="E25" s="265" t="s">
        <v>398</v>
      </c>
      <c r="F25" s="266">
        <v>101080</v>
      </c>
      <c r="G25" s="261">
        <v>42781</v>
      </c>
      <c r="H25" s="272">
        <v>24</v>
      </c>
    </row>
    <row r="26" spans="1:11" x14ac:dyDescent="0.25">
      <c r="A26" s="101">
        <v>25</v>
      </c>
      <c r="B26" s="105"/>
      <c r="C26" s="263">
        <v>51589</v>
      </c>
      <c r="D26" s="264">
        <v>42727</v>
      </c>
      <c r="E26" s="265" t="s">
        <v>63</v>
      </c>
      <c r="F26" s="266">
        <v>160750</v>
      </c>
      <c r="G26" s="261">
        <v>42781</v>
      </c>
      <c r="H26" s="272">
        <v>13</v>
      </c>
    </row>
    <row r="27" spans="1:11" x14ac:dyDescent="0.25">
      <c r="A27" s="102">
        <v>26</v>
      </c>
      <c r="B27" s="105"/>
      <c r="C27" s="263">
        <v>51589</v>
      </c>
      <c r="D27" s="264">
        <v>42727</v>
      </c>
      <c r="E27" s="265" t="s">
        <v>64</v>
      </c>
      <c r="F27" s="266">
        <v>160750</v>
      </c>
      <c r="G27" s="261">
        <v>42781</v>
      </c>
      <c r="H27" s="272">
        <v>14</v>
      </c>
    </row>
    <row r="28" spans="1:11" x14ac:dyDescent="0.25">
      <c r="A28" s="101">
        <v>27</v>
      </c>
      <c r="B28" s="105"/>
      <c r="C28" s="263">
        <v>51589</v>
      </c>
      <c r="D28" s="264">
        <v>42727</v>
      </c>
      <c r="E28" s="265" t="s">
        <v>65</v>
      </c>
      <c r="F28" s="266">
        <v>160750</v>
      </c>
      <c r="G28" s="261">
        <v>42781</v>
      </c>
      <c r="H28" s="272">
        <v>15</v>
      </c>
    </row>
    <row r="29" spans="1:11" x14ac:dyDescent="0.25">
      <c r="A29" s="102">
        <v>28</v>
      </c>
      <c r="B29" s="105"/>
      <c r="C29" s="263">
        <v>51589</v>
      </c>
      <c r="D29" s="264">
        <v>42727</v>
      </c>
      <c r="E29" s="265" t="s">
        <v>66</v>
      </c>
      <c r="F29" s="266">
        <v>160750</v>
      </c>
      <c r="G29" s="261">
        <v>42781</v>
      </c>
      <c r="H29" s="272">
        <v>16</v>
      </c>
      <c r="K29">
        <f>64300*4</f>
        <v>257200</v>
      </c>
    </row>
    <row r="30" spans="1:11" x14ac:dyDescent="0.25">
      <c r="A30" s="101">
        <v>29</v>
      </c>
      <c r="B30" s="105"/>
      <c r="C30" s="263">
        <v>51589</v>
      </c>
      <c r="D30" s="264">
        <v>42727</v>
      </c>
      <c r="E30" s="265" t="s">
        <v>67</v>
      </c>
      <c r="F30" s="266">
        <v>160750</v>
      </c>
      <c r="G30" s="261">
        <v>42781</v>
      </c>
      <c r="H30" s="272">
        <v>17</v>
      </c>
    </row>
    <row r="31" spans="1:11" x14ac:dyDescent="0.25">
      <c r="A31" s="102">
        <v>30</v>
      </c>
      <c r="B31" s="105"/>
      <c r="C31" s="263">
        <v>51589</v>
      </c>
      <c r="D31" s="264">
        <v>42727</v>
      </c>
      <c r="E31" s="265" t="s">
        <v>68</v>
      </c>
      <c r="F31" s="266">
        <v>160750</v>
      </c>
      <c r="G31" s="261">
        <v>42781</v>
      </c>
      <c r="H31" s="272">
        <v>18</v>
      </c>
    </row>
    <row r="32" spans="1:11" x14ac:dyDescent="0.25">
      <c r="A32" s="101">
        <v>31</v>
      </c>
      <c r="B32" s="105"/>
      <c r="C32" s="263">
        <v>51589</v>
      </c>
      <c r="D32" s="264">
        <v>42727</v>
      </c>
      <c r="E32" s="265" t="s">
        <v>435</v>
      </c>
      <c r="F32" s="266">
        <v>102796.32</v>
      </c>
      <c r="G32" s="261">
        <v>42781</v>
      </c>
      <c r="H32" s="272">
        <v>48</v>
      </c>
    </row>
    <row r="33" spans="1:8" x14ac:dyDescent="0.25">
      <c r="A33" s="102">
        <v>32</v>
      </c>
      <c r="B33" s="105"/>
      <c r="C33" s="263">
        <v>51595</v>
      </c>
      <c r="D33" s="264">
        <v>42735</v>
      </c>
      <c r="E33" s="265" t="s">
        <v>431</v>
      </c>
      <c r="F33" s="266">
        <v>21335</v>
      </c>
      <c r="G33" s="261">
        <v>42753</v>
      </c>
      <c r="H33" s="272">
        <v>50</v>
      </c>
    </row>
    <row r="34" spans="1:8" x14ac:dyDescent="0.25">
      <c r="A34" s="101">
        <v>33</v>
      </c>
      <c r="B34" s="105"/>
      <c r="C34" s="263">
        <v>51595</v>
      </c>
      <c r="D34" s="264">
        <v>42735</v>
      </c>
      <c r="E34" s="265" t="s">
        <v>434</v>
      </c>
      <c r="F34" s="266">
        <v>11856.48</v>
      </c>
      <c r="G34" s="261">
        <v>42753</v>
      </c>
      <c r="H34" s="272">
        <v>49</v>
      </c>
    </row>
    <row r="35" spans="1:8" x14ac:dyDescent="0.25">
      <c r="A35" s="102">
        <v>34</v>
      </c>
      <c r="B35" s="105"/>
      <c r="C35" s="263">
        <v>51599</v>
      </c>
      <c r="D35" s="264">
        <v>42755</v>
      </c>
      <c r="E35" s="265" t="s">
        <v>398</v>
      </c>
      <c r="F35" s="266">
        <v>23000</v>
      </c>
      <c r="G35" s="261">
        <v>42781</v>
      </c>
      <c r="H35" s="272">
        <v>24</v>
      </c>
    </row>
    <row r="36" spans="1:8" x14ac:dyDescent="0.25">
      <c r="A36" s="101">
        <v>35</v>
      </c>
      <c r="B36" s="105"/>
      <c r="C36" s="263">
        <v>51600</v>
      </c>
      <c r="D36" s="264">
        <v>42758</v>
      </c>
      <c r="E36" s="265" t="s">
        <v>434</v>
      </c>
      <c r="F36" s="266">
        <v>1976.08</v>
      </c>
      <c r="G36" s="261">
        <v>42783</v>
      </c>
      <c r="H36" s="272">
        <v>49</v>
      </c>
    </row>
    <row r="37" spans="1:8" x14ac:dyDescent="0.25">
      <c r="A37" s="102">
        <v>36</v>
      </c>
      <c r="B37" s="105"/>
      <c r="C37" s="263"/>
      <c r="D37" s="264"/>
      <c r="E37" s="265"/>
      <c r="F37" s="266"/>
      <c r="G37" s="261"/>
      <c r="H37" s="272"/>
    </row>
    <row r="38" spans="1:8" x14ac:dyDescent="0.25">
      <c r="A38" s="101">
        <v>37</v>
      </c>
      <c r="B38" s="105"/>
      <c r="C38" s="263"/>
      <c r="D38" s="263"/>
      <c r="E38" s="265"/>
      <c r="F38" s="266"/>
      <c r="G38" s="261"/>
      <c r="H38" s="272"/>
    </row>
    <row r="39" spans="1:8" x14ac:dyDescent="0.25">
      <c r="A39" s="102">
        <v>38</v>
      </c>
      <c r="B39" s="105"/>
      <c r="C39" s="263"/>
      <c r="D39" s="263"/>
      <c r="E39" s="265"/>
      <c r="F39" s="266"/>
      <c r="G39" s="261"/>
      <c r="H39" s="272"/>
    </row>
    <row r="40" spans="1:8" x14ac:dyDescent="0.25">
      <c r="A40" s="101">
        <v>39</v>
      </c>
      <c r="B40" s="105"/>
      <c r="C40" s="263"/>
      <c r="D40" s="263"/>
      <c r="E40" s="265"/>
      <c r="F40" s="266"/>
      <c r="G40" s="261"/>
      <c r="H40" s="272"/>
    </row>
    <row r="41" spans="1:8" x14ac:dyDescent="0.25">
      <c r="A41" s="104">
        <v>40</v>
      </c>
      <c r="B41" s="105"/>
      <c r="C41" s="268"/>
      <c r="D41" s="268"/>
      <c r="E41" s="270"/>
      <c r="F41" s="271"/>
      <c r="G41" s="261"/>
      <c r="H41" s="272"/>
    </row>
    <row r="42" spans="1:8" x14ac:dyDescent="0.25">
      <c r="A42" s="101">
        <v>41</v>
      </c>
      <c r="B42" s="105"/>
      <c r="C42" s="263"/>
      <c r="D42" s="263"/>
      <c r="E42" s="265"/>
      <c r="F42" s="265"/>
      <c r="G42" s="261"/>
      <c r="H42" s="272"/>
    </row>
    <row r="43" spans="1:8" x14ac:dyDescent="0.25">
      <c r="A43" s="102">
        <v>42</v>
      </c>
      <c r="B43" s="105"/>
      <c r="C43" s="263"/>
      <c r="D43" s="263"/>
      <c r="E43" s="265"/>
      <c r="F43" s="265"/>
      <c r="G43" s="261"/>
      <c r="H43" s="272"/>
    </row>
    <row r="44" spans="1:8" x14ac:dyDescent="0.25">
      <c r="A44" s="101">
        <v>43</v>
      </c>
      <c r="B44" s="105"/>
      <c r="C44" s="263"/>
      <c r="D44" s="263"/>
      <c r="E44" s="265"/>
      <c r="F44" s="265"/>
      <c r="G44" s="261"/>
      <c r="H44" s="272"/>
    </row>
    <row r="45" spans="1:8" x14ac:dyDescent="0.25">
      <c r="A45" s="102">
        <v>44</v>
      </c>
      <c r="B45" s="105"/>
      <c r="C45" s="263"/>
      <c r="D45" s="263"/>
      <c r="E45" s="265"/>
      <c r="F45" s="265"/>
      <c r="G45" s="261"/>
      <c r="H45" s="272"/>
    </row>
    <row r="46" spans="1:8" x14ac:dyDescent="0.25">
      <c r="A46" s="101">
        <v>45</v>
      </c>
      <c r="B46" s="105"/>
      <c r="C46" s="263"/>
      <c r="D46" s="263"/>
      <c r="E46" s="265"/>
      <c r="F46" s="265"/>
      <c r="G46" s="261"/>
      <c r="H46" s="272"/>
    </row>
    <row r="47" spans="1:8" x14ac:dyDescent="0.25">
      <c r="A47" s="102">
        <v>46</v>
      </c>
      <c r="B47" s="105"/>
      <c r="C47" s="263"/>
      <c r="D47" s="263"/>
      <c r="E47" s="265"/>
      <c r="F47" s="265"/>
      <c r="G47" s="261"/>
      <c r="H47" s="272"/>
    </row>
    <row r="48" spans="1:8" x14ac:dyDescent="0.25">
      <c r="A48" s="101">
        <v>47</v>
      </c>
      <c r="B48" s="105"/>
      <c r="C48" s="263"/>
      <c r="D48" s="263"/>
      <c r="E48" s="265"/>
      <c r="F48" s="265"/>
      <c r="G48" s="261"/>
      <c r="H48" s="272"/>
    </row>
    <row r="49" spans="1:8" x14ac:dyDescent="0.25">
      <c r="A49" s="102">
        <v>48</v>
      </c>
      <c r="B49" s="105"/>
      <c r="C49" s="263"/>
      <c r="D49" s="263"/>
      <c r="E49" s="265"/>
      <c r="F49" s="265"/>
      <c r="G49" s="261"/>
      <c r="H49" s="272"/>
    </row>
    <row r="50" spans="1:8" x14ac:dyDescent="0.25">
      <c r="A50" s="101">
        <v>49</v>
      </c>
      <c r="B50" s="105"/>
      <c r="C50" s="263"/>
      <c r="D50" s="263"/>
      <c r="E50" s="265"/>
      <c r="F50" s="265"/>
      <c r="G50" s="261"/>
      <c r="H50" s="272"/>
    </row>
    <row r="51" spans="1:8" x14ac:dyDescent="0.25">
      <c r="A51" s="102">
        <v>50</v>
      </c>
      <c r="B51" s="105"/>
      <c r="C51" s="263"/>
      <c r="D51" s="263"/>
      <c r="E51" s="265"/>
      <c r="F51" s="265"/>
      <c r="G51" s="261"/>
      <c r="H51" s="272"/>
    </row>
    <row r="52" spans="1:8" x14ac:dyDescent="0.25">
      <c r="A52" s="100" t="s">
        <v>108</v>
      </c>
      <c r="B52" s="106"/>
      <c r="C52" s="273"/>
      <c r="D52" s="273"/>
      <c r="E52" s="274"/>
      <c r="F52" s="275">
        <f>SUBTOTAL(109,Invoices!$F$2:$F$51)</f>
        <v>6957390.540000001</v>
      </c>
      <c r="G52" s="276"/>
      <c r="H52" s="272"/>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ErrorMessage="1" error="Must choose a milestone (PO line) in the drop down menu.">
          <x14:formula1>
            <xm:f>' Accting USE Data Entry Form'!$B$11:$B$61</xm:f>
          </x14:formula1>
          <xm:sqref>E53:E1048576</xm:sqref>
        </x14:dataValidation>
        <x14:dataValidation type="list" allowBlank="1" showInputMessage="1" showErrorMessage="1" error="Must choose a milestone (PO line) in the drop down menu.">
          <x14:formula1>
            <xm:f>' Accting USE Data Entry Form'!$B$11:$B$61</xm:f>
          </x14:formula1>
          <xm:sqref>E2:E51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G17"/>
  <sheetViews>
    <sheetView workbookViewId="0">
      <selection activeCell="F13" sqref="F13"/>
    </sheetView>
  </sheetViews>
  <sheetFormatPr defaultRowHeight="13.2" x14ac:dyDescent="0.25"/>
  <cols>
    <col min="6" max="6" width="12.44140625" bestFit="1" customWidth="1"/>
  </cols>
  <sheetData>
    <row r="9" spans="6:7" x14ac:dyDescent="0.25">
      <c r="F9" t="s">
        <v>437</v>
      </c>
      <c r="G9" t="s">
        <v>438</v>
      </c>
    </row>
    <row r="10" spans="6:7" x14ac:dyDescent="0.25">
      <c r="F10" s="217">
        <v>101080</v>
      </c>
      <c r="G10">
        <v>24</v>
      </c>
    </row>
    <row r="11" spans="6:7" x14ac:dyDescent="0.25">
      <c r="F11" s="217">
        <v>160750</v>
      </c>
      <c r="G11">
        <v>13</v>
      </c>
    </row>
    <row r="12" spans="6:7" x14ac:dyDescent="0.25">
      <c r="F12" s="217">
        <v>160750</v>
      </c>
      <c r="G12">
        <v>14</v>
      </c>
    </row>
    <row r="13" spans="6:7" x14ac:dyDescent="0.25">
      <c r="F13" s="217">
        <v>160750</v>
      </c>
      <c r="G13">
        <v>15</v>
      </c>
    </row>
    <row r="14" spans="6:7" x14ac:dyDescent="0.25">
      <c r="F14" s="217">
        <v>160750</v>
      </c>
      <c r="G14">
        <v>16</v>
      </c>
    </row>
    <row r="15" spans="6:7" x14ac:dyDescent="0.25">
      <c r="F15" s="217">
        <v>160750</v>
      </c>
      <c r="G15">
        <v>17</v>
      </c>
    </row>
    <row r="16" spans="6:7" x14ac:dyDescent="0.25">
      <c r="F16" s="217">
        <v>160750</v>
      </c>
      <c r="G16">
        <v>18</v>
      </c>
    </row>
    <row r="17" spans="6:7" x14ac:dyDescent="0.25">
      <c r="F17" s="217">
        <v>102796.32</v>
      </c>
      <c r="G17">
        <v>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7"/>
  <sheetViews>
    <sheetView zoomScale="70" zoomScaleNormal="70" workbookViewId="0">
      <pane xSplit="1" ySplit="1" topLeftCell="B44" activePane="bottomRight" state="frozen"/>
      <selection pane="topRight" activeCell="B1" sqref="B1"/>
      <selection pane="bottomLeft" activeCell="A2" sqref="A2"/>
      <selection pane="bottomRight" activeCell="A53" sqref="A53"/>
    </sheetView>
  </sheetViews>
  <sheetFormatPr defaultColWidth="9.109375" defaultRowHeight="18" x14ac:dyDescent="0.25"/>
  <cols>
    <col min="1" max="1" width="7.88671875" style="113" customWidth="1"/>
    <col min="2" max="2" width="12.5546875" style="113" bestFit="1" customWidth="1"/>
    <col min="3" max="3" width="10.77734375" style="113" hidden="1" customWidth="1"/>
    <col min="4" max="4" width="8" style="113" hidden="1" customWidth="1"/>
    <col min="5" max="5" width="10.5546875" style="113" hidden="1" customWidth="1"/>
    <col min="6" max="6" width="10.33203125" style="113" hidden="1" customWidth="1"/>
    <col min="7" max="7" width="14.5546875" style="113" hidden="1" customWidth="1"/>
    <col min="8" max="9" width="14.5546875" style="114" hidden="1" customWidth="1"/>
    <col min="10" max="10" width="10.6640625" style="114" hidden="1" customWidth="1"/>
    <col min="11" max="11" width="10.109375" style="119" hidden="1" customWidth="1"/>
    <col min="12" max="12" width="8.88671875" style="115" hidden="1" customWidth="1"/>
    <col min="13" max="13" width="12.6640625" style="115" hidden="1" customWidth="1"/>
    <col min="14" max="14" width="13.6640625" style="115" customWidth="1"/>
    <col min="15" max="16" width="13.6640625" style="113" customWidth="1"/>
    <col min="17" max="18" width="13.5546875" style="171" customWidth="1"/>
    <col min="19" max="19" width="14.6640625" style="171" customWidth="1"/>
    <col min="20" max="20" width="10.44140625" style="115" hidden="1" customWidth="1"/>
    <col min="21" max="21" width="17.5546875" style="115" hidden="1" customWidth="1"/>
    <col min="22" max="22" width="15.33203125" style="115" hidden="1" customWidth="1"/>
    <col min="23" max="23" width="16" style="115" customWidth="1"/>
    <col min="24" max="24" width="12.77734375" style="115" customWidth="1"/>
    <col min="25" max="25" width="17.33203125" style="115" customWidth="1"/>
    <col min="26" max="26" width="17.6640625" style="115" customWidth="1"/>
    <col min="27" max="27" width="11.6640625" style="115" customWidth="1"/>
    <col min="28" max="28" width="29.44140625" style="115" hidden="1" customWidth="1"/>
    <col min="29" max="16384" width="9.109375" style="115"/>
  </cols>
  <sheetData>
    <row r="1" spans="1:28" s="118" customFormat="1" ht="34.200000000000003" customHeight="1" x14ac:dyDescent="0.25">
      <c r="A1" s="200" t="s">
        <v>413</v>
      </c>
      <c r="B1" s="201" t="s">
        <v>417</v>
      </c>
      <c r="C1" s="127" t="s">
        <v>115</v>
      </c>
      <c r="D1" s="127" t="s">
        <v>116</v>
      </c>
      <c r="E1" s="127" t="s">
        <v>117</v>
      </c>
      <c r="F1" s="127" t="s">
        <v>118</v>
      </c>
      <c r="G1" s="127" t="s">
        <v>330</v>
      </c>
      <c r="H1" s="127" t="s">
        <v>331</v>
      </c>
      <c r="I1" s="127" t="s">
        <v>332</v>
      </c>
      <c r="J1" s="127" t="s">
        <v>119</v>
      </c>
      <c r="K1" s="128" t="s">
        <v>333</v>
      </c>
      <c r="L1" s="202" t="s">
        <v>427</v>
      </c>
      <c r="M1" s="220" t="s">
        <v>414</v>
      </c>
      <c r="N1" s="200" t="s">
        <v>415</v>
      </c>
      <c r="O1" s="203" t="s">
        <v>418</v>
      </c>
      <c r="P1" s="219" t="s">
        <v>439</v>
      </c>
      <c r="Q1" s="203" t="s">
        <v>419</v>
      </c>
      <c r="R1" s="203" t="s">
        <v>416</v>
      </c>
      <c r="S1" s="203" t="s">
        <v>121</v>
      </c>
      <c r="T1" s="203" t="s">
        <v>420</v>
      </c>
      <c r="U1" s="201" t="s">
        <v>421</v>
      </c>
      <c r="V1" s="219" t="s">
        <v>385</v>
      </c>
      <c r="W1" s="204" t="s">
        <v>425</v>
      </c>
      <c r="X1" s="204" t="s">
        <v>429</v>
      </c>
      <c r="Y1" s="204" t="s">
        <v>441</v>
      </c>
      <c r="Z1" s="204" t="s">
        <v>108</v>
      </c>
      <c r="AA1" s="205" t="s">
        <v>428</v>
      </c>
      <c r="AB1" s="221" t="s">
        <v>378</v>
      </c>
    </row>
    <row r="2" spans="1:28" ht="18" customHeight="1" x14ac:dyDescent="0.25">
      <c r="A2" s="222">
        <v>1</v>
      </c>
      <c r="B2" s="223" t="s">
        <v>122</v>
      </c>
      <c r="C2" s="223" t="s">
        <v>123</v>
      </c>
      <c r="D2" s="223">
        <v>140</v>
      </c>
      <c r="E2" s="223">
        <v>800</v>
      </c>
      <c r="F2" s="223" t="s">
        <v>124</v>
      </c>
      <c r="G2" s="223" t="s">
        <v>125</v>
      </c>
      <c r="H2" s="223" t="s">
        <v>125</v>
      </c>
      <c r="I2" s="223" t="s">
        <v>125</v>
      </c>
      <c r="J2" s="223" t="s">
        <v>126</v>
      </c>
      <c r="K2" s="224"/>
      <c r="L2" s="223" t="s">
        <v>127</v>
      </c>
      <c r="M2" s="223">
        <v>1</v>
      </c>
      <c r="N2" s="225">
        <v>42552</v>
      </c>
      <c r="O2" s="225"/>
      <c r="P2" s="228">
        <f>IF(CavityStatus[[#This Row],[Actual Ship Date]]&lt;&gt;0,($O2-$N2)/7,0)</f>
        <v>0</v>
      </c>
      <c r="Q2" s="226"/>
      <c r="R2" s="226">
        <f t="shared" ref="R2:R33" si="0">IF($P2&gt;0,$Q2-($P2*200),$Q2)</f>
        <v>0</v>
      </c>
      <c r="S2" s="227"/>
      <c r="T2" s="223">
        <v>14</v>
      </c>
      <c r="U2" s="229">
        <v>40187.5</v>
      </c>
      <c r="V2" s="223" t="s">
        <v>393</v>
      </c>
      <c r="W2" s="229"/>
      <c r="X2" s="229"/>
      <c r="Y2" s="226">
        <f t="shared" ref="Y2:Y33" si="1">RICavMilestoneVal</f>
        <v>40187.5</v>
      </c>
      <c r="Z2" s="229">
        <f>RICavMilestoneVal+CavityStatus[[#This Row],[Incentive Earned]]+CavityStatus[[#This Row],[Recipe Modification (Mod 9)]]+X2</f>
        <v>40187.5</v>
      </c>
      <c r="AA2" s="230"/>
      <c r="AB2" s="231" t="s">
        <v>128</v>
      </c>
    </row>
    <row r="3" spans="1:28" ht="18" customHeight="1" x14ac:dyDescent="0.25">
      <c r="A3" s="232">
        <v>2</v>
      </c>
      <c r="B3" s="233" t="s">
        <v>129</v>
      </c>
      <c r="C3" s="233" t="s">
        <v>123</v>
      </c>
      <c r="D3" s="233">
        <v>140</v>
      </c>
      <c r="E3" s="233">
        <v>800</v>
      </c>
      <c r="F3" s="233" t="s">
        <v>124</v>
      </c>
      <c r="G3" s="233" t="s">
        <v>125</v>
      </c>
      <c r="H3" s="233" t="s">
        <v>125</v>
      </c>
      <c r="I3" s="233" t="s">
        <v>125</v>
      </c>
      <c r="J3" s="233"/>
      <c r="K3" s="234"/>
      <c r="L3" s="233" t="s">
        <v>127</v>
      </c>
      <c r="M3" s="233">
        <v>1</v>
      </c>
      <c r="N3" s="235">
        <v>42552</v>
      </c>
      <c r="O3" s="235"/>
      <c r="P3" s="238">
        <f>IF(CavityStatus[[#This Row],[Actual Ship Date]]&lt;&gt;0,($O3-$N3)/7,0)</f>
        <v>0</v>
      </c>
      <c r="Q3" s="236"/>
      <c r="R3" s="236">
        <f t="shared" si="0"/>
        <v>0</v>
      </c>
      <c r="S3" s="237"/>
      <c r="T3" s="233">
        <v>14</v>
      </c>
      <c r="U3" s="239">
        <v>40187.5</v>
      </c>
      <c r="V3" s="233" t="s">
        <v>393</v>
      </c>
      <c r="W3" s="239"/>
      <c r="X3" s="239"/>
      <c r="Y3" s="236">
        <f t="shared" si="1"/>
        <v>40187.5</v>
      </c>
      <c r="Z3" s="239">
        <f>RICavMilestoneVal+CavityStatus[[#This Row],[Incentive Earned]]+CavityStatus[[#This Row],[Recipe Modification (Mod 9)]]+X3</f>
        <v>40187.5</v>
      </c>
      <c r="AA3" s="240"/>
      <c r="AB3" s="241" t="s">
        <v>128</v>
      </c>
    </row>
    <row r="4" spans="1:28" ht="18" customHeight="1" x14ac:dyDescent="0.25">
      <c r="A4" s="232">
        <v>3</v>
      </c>
      <c r="B4" s="233" t="s">
        <v>133</v>
      </c>
      <c r="C4" s="233" t="s">
        <v>123</v>
      </c>
      <c r="D4" s="233">
        <v>140</v>
      </c>
      <c r="E4" s="233">
        <v>800</v>
      </c>
      <c r="F4" s="233" t="s">
        <v>124</v>
      </c>
      <c r="G4" s="233" t="s">
        <v>125</v>
      </c>
      <c r="H4" s="233" t="s">
        <v>125</v>
      </c>
      <c r="I4" s="233" t="s">
        <v>125</v>
      </c>
      <c r="J4" s="233" t="s">
        <v>134</v>
      </c>
      <c r="K4" s="234"/>
      <c r="L4" s="233" t="s">
        <v>127</v>
      </c>
      <c r="M4" s="233">
        <v>1</v>
      </c>
      <c r="N4" s="235">
        <v>42552</v>
      </c>
      <c r="O4" s="235"/>
      <c r="P4" s="238">
        <f>IF(CavityStatus[[#This Row],[Actual Ship Date]]&lt;&gt;0,($O4-$N4)/7,0)</f>
        <v>0</v>
      </c>
      <c r="Q4" s="236"/>
      <c r="R4" s="236">
        <f t="shared" si="0"/>
        <v>0</v>
      </c>
      <c r="S4" s="237"/>
      <c r="T4" s="233">
        <v>14</v>
      </c>
      <c r="U4" s="239">
        <v>40187.5</v>
      </c>
      <c r="V4" s="233" t="s">
        <v>393</v>
      </c>
      <c r="W4" s="239"/>
      <c r="X4" s="239"/>
      <c r="Y4" s="236">
        <f t="shared" si="1"/>
        <v>40187.5</v>
      </c>
      <c r="Z4" s="239">
        <f>RICavMilestoneVal+CavityStatus[[#This Row],[Incentive Earned]]+CavityStatus[[#This Row],[Recipe Modification (Mod 9)]]+X4</f>
        <v>40187.5</v>
      </c>
      <c r="AA4" s="240"/>
      <c r="AB4" s="241" t="s">
        <v>128</v>
      </c>
    </row>
    <row r="5" spans="1:28" ht="18" customHeight="1" x14ac:dyDescent="0.25">
      <c r="A5" s="232">
        <v>4</v>
      </c>
      <c r="B5" s="233" t="s">
        <v>137</v>
      </c>
      <c r="C5" s="233" t="s">
        <v>123</v>
      </c>
      <c r="D5" s="233">
        <v>140</v>
      </c>
      <c r="E5" s="233">
        <v>800</v>
      </c>
      <c r="F5" s="233" t="s">
        <v>124</v>
      </c>
      <c r="G5" s="233" t="s">
        <v>125</v>
      </c>
      <c r="H5" s="233" t="s">
        <v>125</v>
      </c>
      <c r="I5" s="233" t="s">
        <v>125</v>
      </c>
      <c r="J5" s="233" t="s">
        <v>138</v>
      </c>
      <c r="K5" s="234"/>
      <c r="L5" s="233" t="s">
        <v>127</v>
      </c>
      <c r="M5" s="233">
        <v>1</v>
      </c>
      <c r="N5" s="235">
        <v>42552</v>
      </c>
      <c r="O5" s="235"/>
      <c r="P5" s="238">
        <f>IF(CavityStatus[[#This Row],[Actual Ship Date]]&lt;&gt;0,($O5-$N5)/7,0)</f>
        <v>0</v>
      </c>
      <c r="Q5" s="236"/>
      <c r="R5" s="236">
        <f t="shared" si="0"/>
        <v>0</v>
      </c>
      <c r="S5" s="237"/>
      <c r="T5" s="233">
        <v>14</v>
      </c>
      <c r="U5" s="239">
        <v>40187.5</v>
      </c>
      <c r="V5" s="233" t="s">
        <v>393</v>
      </c>
      <c r="W5" s="239"/>
      <c r="X5" s="239"/>
      <c r="Y5" s="236">
        <f t="shared" si="1"/>
        <v>40187.5</v>
      </c>
      <c r="Z5" s="239">
        <f>RICavMilestoneVal+CavityStatus[[#This Row],[Incentive Earned]]+CavityStatus[[#This Row],[Recipe Modification (Mod 9)]]+X5</f>
        <v>40187.5</v>
      </c>
      <c r="AA5" s="240"/>
      <c r="AB5" s="241" t="s">
        <v>128</v>
      </c>
    </row>
    <row r="6" spans="1:28" ht="18" customHeight="1" x14ac:dyDescent="0.25">
      <c r="A6" s="232">
        <v>5</v>
      </c>
      <c r="B6" s="233" t="s">
        <v>130</v>
      </c>
      <c r="C6" s="233" t="s">
        <v>123</v>
      </c>
      <c r="D6" s="233">
        <v>140</v>
      </c>
      <c r="E6" s="233">
        <v>800</v>
      </c>
      <c r="F6" s="233" t="s">
        <v>124</v>
      </c>
      <c r="G6" s="233" t="s">
        <v>125</v>
      </c>
      <c r="H6" s="233" t="s">
        <v>125</v>
      </c>
      <c r="I6" s="233" t="s">
        <v>125</v>
      </c>
      <c r="J6" s="233" t="s">
        <v>131</v>
      </c>
      <c r="K6" s="234"/>
      <c r="L6" s="233" t="s">
        <v>132</v>
      </c>
      <c r="M6" s="233">
        <v>2</v>
      </c>
      <c r="N6" s="235">
        <v>42552</v>
      </c>
      <c r="O6" s="235"/>
      <c r="P6" s="238">
        <f>IF(CavityStatus[[#This Row],[Actual Ship Date]]&lt;&gt;0,($O6-$N6)/7,0)</f>
        <v>0</v>
      </c>
      <c r="Q6" s="236"/>
      <c r="R6" s="236">
        <f t="shared" si="0"/>
        <v>0</v>
      </c>
      <c r="S6" s="237"/>
      <c r="T6" s="233">
        <v>15</v>
      </c>
      <c r="U6" s="239">
        <v>40187.5</v>
      </c>
      <c r="V6" s="233" t="s">
        <v>393</v>
      </c>
      <c r="W6" s="239"/>
      <c r="X6" s="239"/>
      <c r="Y6" s="236">
        <f t="shared" si="1"/>
        <v>40187.5</v>
      </c>
      <c r="Z6" s="239">
        <f>RICavMilestoneVal+CavityStatus[[#This Row],[Incentive Earned]]+CavityStatus[[#This Row],[Recipe Modification (Mod 9)]]+X6</f>
        <v>40187.5</v>
      </c>
      <c r="AA6" s="240"/>
      <c r="AB6" s="241" t="s">
        <v>128</v>
      </c>
    </row>
    <row r="7" spans="1:28" ht="18" customHeight="1" x14ac:dyDescent="0.25">
      <c r="A7" s="232">
        <v>6</v>
      </c>
      <c r="B7" s="233" t="s">
        <v>142</v>
      </c>
      <c r="C7" s="233" t="s">
        <v>123</v>
      </c>
      <c r="D7" s="233">
        <v>140</v>
      </c>
      <c r="E7" s="233">
        <v>800</v>
      </c>
      <c r="F7" s="233" t="s">
        <v>124</v>
      </c>
      <c r="G7" s="233" t="s">
        <v>125</v>
      </c>
      <c r="H7" s="233" t="s">
        <v>125</v>
      </c>
      <c r="I7" s="233" t="s">
        <v>125</v>
      </c>
      <c r="J7" s="233" t="s">
        <v>143</v>
      </c>
      <c r="K7" s="234"/>
      <c r="L7" s="233" t="s">
        <v>132</v>
      </c>
      <c r="M7" s="233">
        <v>2</v>
      </c>
      <c r="N7" s="235">
        <v>42552</v>
      </c>
      <c r="O7" s="235"/>
      <c r="P7" s="238">
        <f>IF(CavityStatus[[#This Row],[Actual Ship Date]]&lt;&gt;0,($O7-$N7)/7,0)</f>
        <v>0</v>
      </c>
      <c r="Q7" s="236"/>
      <c r="R7" s="236">
        <f t="shared" si="0"/>
        <v>0</v>
      </c>
      <c r="S7" s="237"/>
      <c r="T7" s="233">
        <v>15</v>
      </c>
      <c r="U7" s="239">
        <v>40187.5</v>
      </c>
      <c r="V7" s="233" t="s">
        <v>393</v>
      </c>
      <c r="W7" s="239"/>
      <c r="X7" s="239"/>
      <c r="Y7" s="236">
        <f t="shared" si="1"/>
        <v>40187.5</v>
      </c>
      <c r="Z7" s="239">
        <f>RICavMilestoneVal+CavityStatus[[#This Row],[Incentive Earned]]+CavityStatus[[#This Row],[Recipe Modification (Mod 9)]]+X7</f>
        <v>40187.5</v>
      </c>
      <c r="AA7" s="240"/>
      <c r="AB7" s="241" t="s">
        <v>128</v>
      </c>
    </row>
    <row r="8" spans="1:28" ht="18" customHeight="1" x14ac:dyDescent="0.25">
      <c r="A8" s="232">
        <v>7</v>
      </c>
      <c r="B8" s="233" t="s">
        <v>146</v>
      </c>
      <c r="C8" s="233" t="s">
        <v>123</v>
      </c>
      <c r="D8" s="233">
        <v>140</v>
      </c>
      <c r="E8" s="233">
        <v>800</v>
      </c>
      <c r="F8" s="233" t="s">
        <v>124</v>
      </c>
      <c r="G8" s="233" t="s">
        <v>125</v>
      </c>
      <c r="H8" s="233" t="s">
        <v>125</v>
      </c>
      <c r="I8" s="233" t="s">
        <v>125</v>
      </c>
      <c r="J8" s="233" t="s">
        <v>147</v>
      </c>
      <c r="K8" s="234"/>
      <c r="L8" s="233" t="s">
        <v>132</v>
      </c>
      <c r="M8" s="233">
        <v>2</v>
      </c>
      <c r="N8" s="235">
        <v>42552</v>
      </c>
      <c r="O8" s="235"/>
      <c r="P8" s="238">
        <f>IF(CavityStatus[[#This Row],[Actual Ship Date]]&lt;&gt;0,($O8-$N8)/7,0)</f>
        <v>0</v>
      </c>
      <c r="Q8" s="236"/>
      <c r="R8" s="236">
        <f t="shared" si="0"/>
        <v>0</v>
      </c>
      <c r="S8" s="237"/>
      <c r="T8" s="233">
        <v>15</v>
      </c>
      <c r="U8" s="239">
        <v>40187.5</v>
      </c>
      <c r="V8" s="233" t="s">
        <v>393</v>
      </c>
      <c r="W8" s="239"/>
      <c r="X8" s="239"/>
      <c r="Y8" s="236">
        <f t="shared" si="1"/>
        <v>40187.5</v>
      </c>
      <c r="Z8" s="239">
        <f>RICavMilestoneVal+CavityStatus[[#This Row],[Incentive Earned]]+CavityStatus[[#This Row],[Recipe Modification (Mod 9)]]+X8</f>
        <v>40187.5</v>
      </c>
      <c r="AA8" s="240"/>
      <c r="AB8" s="241" t="s">
        <v>128</v>
      </c>
    </row>
    <row r="9" spans="1:28" ht="18" customHeight="1" x14ac:dyDescent="0.25">
      <c r="A9" s="232">
        <v>8</v>
      </c>
      <c r="B9" s="233" t="s">
        <v>150</v>
      </c>
      <c r="C9" s="233" t="s">
        <v>123</v>
      </c>
      <c r="D9" s="233">
        <v>140</v>
      </c>
      <c r="E9" s="233">
        <v>800</v>
      </c>
      <c r="F9" s="233" t="s">
        <v>124</v>
      </c>
      <c r="G9" s="233" t="s">
        <v>125</v>
      </c>
      <c r="H9" s="233" t="s">
        <v>125</v>
      </c>
      <c r="I9" s="233" t="s">
        <v>125</v>
      </c>
      <c r="J9" s="233" t="s">
        <v>151</v>
      </c>
      <c r="K9" s="234" t="s">
        <v>152</v>
      </c>
      <c r="L9" s="233" t="s">
        <v>132</v>
      </c>
      <c r="M9" s="233">
        <v>2</v>
      </c>
      <c r="N9" s="235">
        <v>42552</v>
      </c>
      <c r="O9" s="235"/>
      <c r="P9" s="238">
        <f>IF(CavityStatus[[#This Row],[Actual Ship Date]]&lt;&gt;0,($O9-$N9)/7,0)</f>
        <v>0</v>
      </c>
      <c r="Q9" s="236"/>
      <c r="R9" s="236">
        <f t="shared" si="0"/>
        <v>0</v>
      </c>
      <c r="S9" s="237"/>
      <c r="T9" s="233">
        <v>15</v>
      </c>
      <c r="U9" s="239">
        <v>40187.5</v>
      </c>
      <c r="V9" s="233" t="s">
        <v>393</v>
      </c>
      <c r="W9" s="239"/>
      <c r="X9" s="239"/>
      <c r="Y9" s="236">
        <f t="shared" si="1"/>
        <v>40187.5</v>
      </c>
      <c r="Z9" s="239">
        <f>RICavMilestoneVal+CavityStatus[[#This Row],[Incentive Earned]]+CavityStatus[[#This Row],[Recipe Modification (Mod 9)]]+X9</f>
        <v>40187.5</v>
      </c>
      <c r="AA9" s="240"/>
      <c r="AB9" s="241" t="s">
        <v>128</v>
      </c>
    </row>
    <row r="10" spans="1:28" ht="18" customHeight="1" x14ac:dyDescent="0.25">
      <c r="A10" s="232">
        <v>9</v>
      </c>
      <c r="B10" s="233" t="s">
        <v>154</v>
      </c>
      <c r="C10" s="233" t="s">
        <v>123</v>
      </c>
      <c r="D10" s="233">
        <v>140</v>
      </c>
      <c r="E10" s="233">
        <v>800</v>
      </c>
      <c r="F10" s="233" t="s">
        <v>124</v>
      </c>
      <c r="G10" s="233" t="s">
        <v>125</v>
      </c>
      <c r="H10" s="233" t="s">
        <v>125</v>
      </c>
      <c r="I10" s="233" t="s">
        <v>125</v>
      </c>
      <c r="J10" s="233"/>
      <c r="K10" s="234"/>
      <c r="L10" s="233" t="s">
        <v>127</v>
      </c>
      <c r="M10" s="233">
        <v>3</v>
      </c>
      <c r="N10" s="235">
        <v>42583</v>
      </c>
      <c r="O10" s="235"/>
      <c r="P10" s="238">
        <f>IF(CavityStatus[[#This Row],[Actual Ship Date]]&lt;&gt;0,($O10-$N10)/7,0)</f>
        <v>0</v>
      </c>
      <c r="Q10" s="236"/>
      <c r="R10" s="236">
        <f t="shared" si="0"/>
        <v>0</v>
      </c>
      <c r="S10" s="237"/>
      <c r="T10" s="233">
        <v>16</v>
      </c>
      <c r="U10" s="239">
        <v>40187.5</v>
      </c>
      <c r="V10" s="233" t="s">
        <v>393</v>
      </c>
      <c r="W10" s="239"/>
      <c r="X10" s="239"/>
      <c r="Y10" s="236">
        <f t="shared" si="1"/>
        <v>40187.5</v>
      </c>
      <c r="Z10" s="239">
        <f>RICavMilestoneVal+CavityStatus[[#This Row],[Incentive Earned]]+CavityStatus[[#This Row],[Recipe Modification (Mod 9)]]+X10</f>
        <v>40187.5</v>
      </c>
      <c r="AA10" s="240"/>
      <c r="AB10" s="241" t="s">
        <v>155</v>
      </c>
    </row>
    <row r="11" spans="1:28" ht="18" customHeight="1" x14ac:dyDescent="0.25">
      <c r="A11" s="232">
        <v>10</v>
      </c>
      <c r="B11" s="233" t="s">
        <v>159</v>
      </c>
      <c r="C11" s="233" t="s">
        <v>123</v>
      </c>
      <c r="D11" s="233">
        <v>140</v>
      </c>
      <c r="E11" s="233">
        <v>800</v>
      </c>
      <c r="F11" s="233" t="s">
        <v>124</v>
      </c>
      <c r="G11" s="233" t="s">
        <v>125</v>
      </c>
      <c r="H11" s="233" t="s">
        <v>125</v>
      </c>
      <c r="I11" s="233" t="s">
        <v>125</v>
      </c>
      <c r="J11" s="233" t="s">
        <v>160</v>
      </c>
      <c r="K11" s="234"/>
      <c r="L11" s="233" t="s">
        <v>127</v>
      </c>
      <c r="M11" s="233">
        <v>3</v>
      </c>
      <c r="N11" s="235">
        <v>42583</v>
      </c>
      <c r="O11" s="235"/>
      <c r="P11" s="238">
        <f>IF(CavityStatus[[#This Row],[Actual Ship Date]]&lt;&gt;0,($O11-$N11)/7,0)</f>
        <v>0</v>
      </c>
      <c r="Q11" s="236"/>
      <c r="R11" s="236">
        <f t="shared" si="0"/>
        <v>0</v>
      </c>
      <c r="S11" s="237"/>
      <c r="T11" s="233">
        <v>16</v>
      </c>
      <c r="U11" s="239">
        <v>40187.5</v>
      </c>
      <c r="V11" s="233" t="s">
        <v>393</v>
      </c>
      <c r="W11" s="239"/>
      <c r="X11" s="239"/>
      <c r="Y11" s="236">
        <f t="shared" si="1"/>
        <v>40187.5</v>
      </c>
      <c r="Z11" s="239">
        <f>RICavMilestoneVal+CavityStatus[[#This Row],[Incentive Earned]]+CavityStatus[[#This Row],[Recipe Modification (Mod 9)]]+X11</f>
        <v>40187.5</v>
      </c>
      <c r="AA11" s="242"/>
      <c r="AB11" s="241" t="s">
        <v>155</v>
      </c>
    </row>
    <row r="12" spans="1:28" ht="18" customHeight="1" x14ac:dyDescent="0.25">
      <c r="A12" s="232">
        <v>11</v>
      </c>
      <c r="B12" s="233" t="s">
        <v>166</v>
      </c>
      <c r="C12" s="233" t="s">
        <v>123</v>
      </c>
      <c r="D12" s="233">
        <v>140</v>
      </c>
      <c r="E12" s="233">
        <v>800</v>
      </c>
      <c r="F12" s="233" t="s">
        <v>124</v>
      </c>
      <c r="G12" s="233" t="s">
        <v>125</v>
      </c>
      <c r="H12" s="233" t="s">
        <v>125</v>
      </c>
      <c r="I12" s="233" t="s">
        <v>125</v>
      </c>
      <c r="J12" s="233" t="s">
        <v>167</v>
      </c>
      <c r="K12" s="234"/>
      <c r="L12" s="233" t="s">
        <v>127</v>
      </c>
      <c r="M12" s="233">
        <v>3</v>
      </c>
      <c r="N12" s="235">
        <v>42583</v>
      </c>
      <c r="O12" s="235"/>
      <c r="P12" s="238">
        <f>IF(CavityStatus[[#This Row],[Actual Ship Date]]&lt;&gt;0,($O12-$N12)/7,0)</f>
        <v>0</v>
      </c>
      <c r="Q12" s="236"/>
      <c r="R12" s="236">
        <f t="shared" si="0"/>
        <v>0</v>
      </c>
      <c r="S12" s="237"/>
      <c r="T12" s="233">
        <v>16</v>
      </c>
      <c r="U12" s="239">
        <v>40187.5</v>
      </c>
      <c r="V12" s="233" t="s">
        <v>393</v>
      </c>
      <c r="W12" s="239"/>
      <c r="X12" s="239"/>
      <c r="Y12" s="236">
        <f t="shared" si="1"/>
        <v>40187.5</v>
      </c>
      <c r="Z12" s="239">
        <f>RICavMilestoneVal+CavityStatus[[#This Row],[Incentive Earned]]+CavityStatus[[#This Row],[Recipe Modification (Mod 9)]]+X12</f>
        <v>40187.5</v>
      </c>
      <c r="AA12" s="242"/>
      <c r="AB12" s="241" t="s">
        <v>155</v>
      </c>
    </row>
    <row r="13" spans="1:28" ht="18" customHeight="1" x14ac:dyDescent="0.25">
      <c r="A13" s="232">
        <v>12</v>
      </c>
      <c r="B13" s="233" t="s">
        <v>174</v>
      </c>
      <c r="C13" s="233" t="s">
        <v>123</v>
      </c>
      <c r="D13" s="233">
        <v>140</v>
      </c>
      <c r="E13" s="233">
        <v>800</v>
      </c>
      <c r="F13" s="233" t="s">
        <v>124</v>
      </c>
      <c r="G13" s="233" t="s">
        <v>125</v>
      </c>
      <c r="H13" s="233" t="s">
        <v>125</v>
      </c>
      <c r="I13" s="233" t="s">
        <v>125</v>
      </c>
      <c r="J13" s="233" t="s">
        <v>175</v>
      </c>
      <c r="K13" s="234"/>
      <c r="L13" s="233" t="s">
        <v>127</v>
      </c>
      <c r="M13" s="233">
        <v>3</v>
      </c>
      <c r="N13" s="235">
        <v>42583</v>
      </c>
      <c r="O13" s="235"/>
      <c r="P13" s="238">
        <f>IF(CavityStatus[[#This Row],[Actual Ship Date]]&lt;&gt;0,($O13-$N13)/7,0)</f>
        <v>0</v>
      </c>
      <c r="Q13" s="236"/>
      <c r="R13" s="236">
        <f t="shared" si="0"/>
        <v>0</v>
      </c>
      <c r="S13" s="237"/>
      <c r="T13" s="233">
        <v>16</v>
      </c>
      <c r="U13" s="239">
        <v>40187.5</v>
      </c>
      <c r="V13" s="233" t="s">
        <v>393</v>
      </c>
      <c r="W13" s="239"/>
      <c r="X13" s="239"/>
      <c r="Y13" s="236">
        <f t="shared" si="1"/>
        <v>40187.5</v>
      </c>
      <c r="Z13" s="239">
        <f>RICavMilestoneVal+CavityStatus[[#This Row],[Incentive Earned]]+CavityStatus[[#This Row],[Recipe Modification (Mod 9)]]+X13</f>
        <v>40187.5</v>
      </c>
      <c r="AA13" s="242"/>
      <c r="AB13" s="241" t="s">
        <v>155</v>
      </c>
    </row>
    <row r="14" spans="1:28" ht="18" customHeight="1" x14ac:dyDescent="0.25">
      <c r="A14" s="232">
        <v>13</v>
      </c>
      <c r="B14" s="233" t="s">
        <v>162</v>
      </c>
      <c r="C14" s="233" t="s">
        <v>123</v>
      </c>
      <c r="D14" s="233">
        <v>140</v>
      </c>
      <c r="E14" s="233">
        <v>800</v>
      </c>
      <c r="F14" s="233" t="s">
        <v>124</v>
      </c>
      <c r="G14" s="233" t="s">
        <v>125</v>
      </c>
      <c r="H14" s="233" t="s">
        <v>125</v>
      </c>
      <c r="I14" s="233" t="s">
        <v>125</v>
      </c>
      <c r="J14" s="233"/>
      <c r="K14" s="234"/>
      <c r="L14" s="233" t="s">
        <v>132</v>
      </c>
      <c r="M14" s="233">
        <v>4</v>
      </c>
      <c r="N14" s="235">
        <v>42583</v>
      </c>
      <c r="O14" s="235"/>
      <c r="P14" s="238">
        <f>IF(CavityStatus[[#This Row],[Actual Ship Date]]&lt;&gt;0,($O14-$N14)/7,0)</f>
        <v>0</v>
      </c>
      <c r="Q14" s="236"/>
      <c r="R14" s="236">
        <f t="shared" si="0"/>
        <v>0</v>
      </c>
      <c r="S14" s="237"/>
      <c r="T14" s="233">
        <v>17</v>
      </c>
      <c r="U14" s="239">
        <v>40187.5</v>
      </c>
      <c r="V14" s="233" t="s">
        <v>393</v>
      </c>
      <c r="W14" s="239"/>
      <c r="X14" s="239"/>
      <c r="Y14" s="236">
        <f t="shared" si="1"/>
        <v>40187.5</v>
      </c>
      <c r="Z14" s="239">
        <f>RICavMilestoneVal+CavityStatus[[#This Row],[Incentive Earned]]+CavityStatus[[#This Row],[Recipe Modification (Mod 9)]]+X14</f>
        <v>40187.5</v>
      </c>
      <c r="AA14" s="242"/>
      <c r="AB14" s="241" t="s">
        <v>155</v>
      </c>
    </row>
    <row r="15" spans="1:28" ht="18" customHeight="1" x14ac:dyDescent="0.25">
      <c r="A15" s="232">
        <v>14</v>
      </c>
      <c r="B15" s="233" t="s">
        <v>169</v>
      </c>
      <c r="C15" s="233" t="s">
        <v>123</v>
      </c>
      <c r="D15" s="233">
        <v>140</v>
      </c>
      <c r="E15" s="233">
        <v>800</v>
      </c>
      <c r="F15" s="233" t="s">
        <v>124</v>
      </c>
      <c r="G15" s="233" t="s">
        <v>125</v>
      </c>
      <c r="H15" s="233" t="s">
        <v>125</v>
      </c>
      <c r="I15" s="233" t="s">
        <v>125</v>
      </c>
      <c r="J15" s="233" t="s">
        <v>170</v>
      </c>
      <c r="K15" s="234"/>
      <c r="L15" s="233" t="s">
        <v>132</v>
      </c>
      <c r="M15" s="233">
        <v>4</v>
      </c>
      <c r="N15" s="235">
        <v>42583</v>
      </c>
      <c r="O15" s="235"/>
      <c r="P15" s="238">
        <f>IF(CavityStatus[[#This Row],[Actual Ship Date]]&lt;&gt;0,($O15-$N15)/7,0)</f>
        <v>0</v>
      </c>
      <c r="Q15" s="236"/>
      <c r="R15" s="236">
        <f t="shared" si="0"/>
        <v>0</v>
      </c>
      <c r="S15" s="237"/>
      <c r="T15" s="233">
        <v>17</v>
      </c>
      <c r="U15" s="239">
        <v>40187.5</v>
      </c>
      <c r="V15" s="233" t="s">
        <v>393</v>
      </c>
      <c r="W15" s="239"/>
      <c r="X15" s="239"/>
      <c r="Y15" s="236">
        <f t="shared" si="1"/>
        <v>40187.5</v>
      </c>
      <c r="Z15" s="239">
        <f>RICavMilestoneVal+CavityStatus[[#This Row],[Incentive Earned]]+CavityStatus[[#This Row],[Recipe Modification (Mod 9)]]+X15</f>
        <v>40187.5</v>
      </c>
      <c r="AA15" s="242"/>
      <c r="AB15" s="241" t="s">
        <v>155</v>
      </c>
    </row>
    <row r="16" spans="1:28" ht="18" customHeight="1" x14ac:dyDescent="0.25">
      <c r="A16" s="232">
        <v>15</v>
      </c>
      <c r="B16" s="233" t="s">
        <v>177</v>
      </c>
      <c r="C16" s="233" t="s">
        <v>123</v>
      </c>
      <c r="D16" s="233">
        <v>140</v>
      </c>
      <c r="E16" s="233">
        <v>800</v>
      </c>
      <c r="F16" s="233" t="s">
        <v>124</v>
      </c>
      <c r="G16" s="233" t="s">
        <v>125</v>
      </c>
      <c r="H16" s="233" t="s">
        <v>125</v>
      </c>
      <c r="I16" s="233" t="s">
        <v>125</v>
      </c>
      <c r="J16" s="233" t="s">
        <v>178</v>
      </c>
      <c r="K16" s="234"/>
      <c r="L16" s="233" t="s">
        <v>132</v>
      </c>
      <c r="M16" s="233">
        <v>4</v>
      </c>
      <c r="N16" s="235">
        <v>42583</v>
      </c>
      <c r="O16" s="235"/>
      <c r="P16" s="238">
        <f>IF(CavityStatus[[#This Row],[Actual Ship Date]]&lt;&gt;0,($O16-$N16)/7,0)</f>
        <v>0</v>
      </c>
      <c r="Q16" s="236"/>
      <c r="R16" s="236">
        <f t="shared" si="0"/>
        <v>0</v>
      </c>
      <c r="S16" s="237"/>
      <c r="T16" s="233">
        <v>17</v>
      </c>
      <c r="U16" s="239">
        <v>40187.5</v>
      </c>
      <c r="V16" s="233" t="s">
        <v>393</v>
      </c>
      <c r="W16" s="239"/>
      <c r="X16" s="239"/>
      <c r="Y16" s="236">
        <f t="shared" si="1"/>
        <v>40187.5</v>
      </c>
      <c r="Z16" s="239">
        <f>RICavMilestoneVal+CavityStatus[[#This Row],[Incentive Earned]]+CavityStatus[[#This Row],[Recipe Modification (Mod 9)]]+X16</f>
        <v>40187.5</v>
      </c>
      <c r="AA16" s="242"/>
      <c r="AB16" s="241" t="s">
        <v>155</v>
      </c>
    </row>
    <row r="17" spans="1:31" ht="18" customHeight="1" x14ac:dyDescent="0.25">
      <c r="A17" s="232">
        <v>16</v>
      </c>
      <c r="B17" s="233" t="s">
        <v>182</v>
      </c>
      <c r="C17" s="233" t="s">
        <v>123</v>
      </c>
      <c r="D17" s="233">
        <v>140</v>
      </c>
      <c r="E17" s="233">
        <v>800</v>
      </c>
      <c r="F17" s="233" t="s">
        <v>124</v>
      </c>
      <c r="G17" s="233" t="s">
        <v>125</v>
      </c>
      <c r="H17" s="233" t="s">
        <v>125</v>
      </c>
      <c r="I17" s="233" t="s">
        <v>125</v>
      </c>
      <c r="J17" s="233" t="s">
        <v>183</v>
      </c>
      <c r="K17" s="234"/>
      <c r="L17" s="233" t="s">
        <v>132</v>
      </c>
      <c r="M17" s="233">
        <v>4</v>
      </c>
      <c r="N17" s="235">
        <v>42583</v>
      </c>
      <c r="O17" s="235"/>
      <c r="P17" s="238">
        <f>IF(CavityStatus[[#This Row],[Actual Ship Date]]&lt;&gt;0,($O17-$N17)/7,0)</f>
        <v>0</v>
      </c>
      <c r="Q17" s="236"/>
      <c r="R17" s="236">
        <f t="shared" si="0"/>
        <v>0</v>
      </c>
      <c r="S17" s="237"/>
      <c r="T17" s="233">
        <v>17</v>
      </c>
      <c r="U17" s="239">
        <v>40187.5</v>
      </c>
      <c r="V17" s="233" t="s">
        <v>393</v>
      </c>
      <c r="W17" s="239"/>
      <c r="X17" s="239"/>
      <c r="Y17" s="236">
        <f t="shared" si="1"/>
        <v>40187.5</v>
      </c>
      <c r="Z17" s="239">
        <f>RICavMilestoneVal+CavityStatus[[#This Row],[Incentive Earned]]+CavityStatus[[#This Row],[Recipe Modification (Mod 9)]]+X17</f>
        <v>40187.5</v>
      </c>
      <c r="AA17" s="242"/>
      <c r="AB17" s="241" t="s">
        <v>155</v>
      </c>
    </row>
    <row r="18" spans="1:31" ht="18" customHeight="1" x14ac:dyDescent="0.25">
      <c r="A18" s="232">
        <v>17</v>
      </c>
      <c r="B18" s="233" t="s">
        <v>185</v>
      </c>
      <c r="C18" s="233" t="s">
        <v>123</v>
      </c>
      <c r="D18" s="233">
        <v>200</v>
      </c>
      <c r="E18" s="233">
        <v>900</v>
      </c>
      <c r="F18" s="233" t="s">
        <v>186</v>
      </c>
      <c r="G18" s="233" t="s">
        <v>125</v>
      </c>
      <c r="H18" s="243">
        <v>42629</v>
      </c>
      <c r="I18" s="243">
        <v>42647</v>
      </c>
      <c r="J18" s="243" t="s">
        <v>187</v>
      </c>
      <c r="K18" s="234"/>
      <c r="L18" s="233" t="s">
        <v>132</v>
      </c>
      <c r="M18" s="233">
        <v>5</v>
      </c>
      <c r="N18" s="235">
        <v>42676</v>
      </c>
      <c r="O18" s="235">
        <v>42650</v>
      </c>
      <c r="P18" s="238">
        <f>IF(CavityStatus[[#This Row],[Actual Ship Date]]&lt;&gt;0,($O18-$N18)/7,0)</f>
        <v>-3.7142857142857144</v>
      </c>
      <c r="Q18" s="236">
        <v>5750</v>
      </c>
      <c r="R18" s="236">
        <f t="shared" si="0"/>
        <v>5750</v>
      </c>
      <c r="S18" s="237">
        <v>42669</v>
      </c>
      <c r="T18" s="233">
        <v>13</v>
      </c>
      <c r="U18" s="239">
        <v>40187.5</v>
      </c>
      <c r="V18" s="233" t="s">
        <v>392</v>
      </c>
      <c r="W18" s="239"/>
      <c r="X18" s="236">
        <v>490</v>
      </c>
      <c r="Y18" s="236">
        <f t="shared" si="1"/>
        <v>40187.5</v>
      </c>
      <c r="Z18" s="239">
        <f>RICavMilestoneVal+CavityStatus[[#This Row],[Incentive Earned]]+CavityStatus[[#This Row],[Recipe Modification (Mod 9)]]+X18</f>
        <v>46427.5</v>
      </c>
      <c r="AA18" s="242">
        <v>42705</v>
      </c>
      <c r="AB18" s="241" t="s">
        <v>376</v>
      </c>
      <c r="AE18" s="115">
        <v>490</v>
      </c>
    </row>
    <row r="19" spans="1:31" ht="18" customHeight="1" x14ac:dyDescent="0.25">
      <c r="A19" s="232">
        <v>18</v>
      </c>
      <c r="B19" s="233" t="s">
        <v>191</v>
      </c>
      <c r="C19" s="233" t="s">
        <v>123</v>
      </c>
      <c r="D19" s="233">
        <v>240</v>
      </c>
      <c r="E19" s="233">
        <v>900</v>
      </c>
      <c r="F19" s="233" t="s">
        <v>186</v>
      </c>
      <c r="G19" s="233" t="s">
        <v>125</v>
      </c>
      <c r="H19" s="243">
        <v>42629</v>
      </c>
      <c r="I19" s="243">
        <v>42647</v>
      </c>
      <c r="J19" s="243" t="s">
        <v>192</v>
      </c>
      <c r="K19" s="234"/>
      <c r="L19" s="233" t="s">
        <v>132</v>
      </c>
      <c r="M19" s="233">
        <v>5</v>
      </c>
      <c r="N19" s="235">
        <v>42676</v>
      </c>
      <c r="O19" s="235">
        <v>42650</v>
      </c>
      <c r="P19" s="238">
        <f>IF(CavityStatus[[#This Row],[Actual Ship Date]]&lt;&gt;0,($O19-$N19)/7,0)</f>
        <v>-3.7142857142857144</v>
      </c>
      <c r="Q19" s="236">
        <v>5750</v>
      </c>
      <c r="R19" s="236">
        <f t="shared" si="0"/>
        <v>5750</v>
      </c>
      <c r="S19" s="237">
        <v>42669</v>
      </c>
      <c r="T19" s="233">
        <v>13</v>
      </c>
      <c r="U19" s="239">
        <v>40187.5</v>
      </c>
      <c r="V19" s="233" t="s">
        <v>392</v>
      </c>
      <c r="W19" s="239"/>
      <c r="X19" s="236">
        <v>490</v>
      </c>
      <c r="Y19" s="236">
        <f t="shared" si="1"/>
        <v>40187.5</v>
      </c>
      <c r="Z19" s="239">
        <f>RICavMilestoneVal+CavityStatus[[#This Row],[Incentive Earned]]+CavityStatus[[#This Row],[Recipe Modification (Mod 9)]]+X19</f>
        <v>46427.5</v>
      </c>
      <c r="AA19" s="242">
        <v>42675</v>
      </c>
      <c r="AB19" s="241" t="s">
        <v>376</v>
      </c>
      <c r="AE19" s="115">
        <f>AE18</f>
        <v>490</v>
      </c>
    </row>
    <row r="20" spans="1:31" ht="18" customHeight="1" x14ac:dyDescent="0.25">
      <c r="A20" s="232">
        <v>19</v>
      </c>
      <c r="B20" s="233" t="s">
        <v>194</v>
      </c>
      <c r="C20" s="233" t="s">
        <v>123</v>
      </c>
      <c r="D20" s="233">
        <v>240</v>
      </c>
      <c r="E20" s="233">
        <v>900</v>
      </c>
      <c r="F20" s="233" t="s">
        <v>186</v>
      </c>
      <c r="G20" s="233" t="s">
        <v>125</v>
      </c>
      <c r="H20" s="243">
        <v>42634</v>
      </c>
      <c r="I20" s="243">
        <v>42655</v>
      </c>
      <c r="J20" s="243" t="s">
        <v>195</v>
      </c>
      <c r="K20" s="234" t="s">
        <v>196</v>
      </c>
      <c r="L20" s="233" t="s">
        <v>132</v>
      </c>
      <c r="M20" s="233">
        <v>6</v>
      </c>
      <c r="N20" s="235">
        <v>42676</v>
      </c>
      <c r="O20" s="235">
        <v>42662</v>
      </c>
      <c r="P20" s="238">
        <f>IF(CavityStatus[[#This Row],[Actual Ship Date]]&lt;&gt;0,($O20-$N20)/7,0)</f>
        <v>-2</v>
      </c>
      <c r="Q20" s="236">
        <v>5750</v>
      </c>
      <c r="R20" s="236">
        <f t="shared" si="0"/>
        <v>5750</v>
      </c>
      <c r="S20" s="237">
        <v>42669</v>
      </c>
      <c r="T20" s="233">
        <v>13</v>
      </c>
      <c r="U20" s="239">
        <v>40187.5</v>
      </c>
      <c r="V20" s="233" t="s">
        <v>392</v>
      </c>
      <c r="W20" s="239"/>
      <c r="X20" s="236">
        <v>490</v>
      </c>
      <c r="Y20" s="236">
        <f t="shared" si="1"/>
        <v>40187.5</v>
      </c>
      <c r="Z20" s="239">
        <f>RICavMilestoneVal+CavityStatus[[#This Row],[Incentive Earned]]+CavityStatus[[#This Row],[Recipe Modification (Mod 9)]]+X20</f>
        <v>46427.5</v>
      </c>
      <c r="AA20" s="242">
        <v>42675</v>
      </c>
      <c r="AB20" s="241" t="s">
        <v>377</v>
      </c>
      <c r="AE20" s="115">
        <f t="shared" ref="AE20:AE83" si="2">AE19</f>
        <v>490</v>
      </c>
    </row>
    <row r="21" spans="1:31" ht="18" customHeight="1" x14ac:dyDescent="0.25">
      <c r="A21" s="232">
        <v>20</v>
      </c>
      <c r="B21" s="233" t="s">
        <v>200</v>
      </c>
      <c r="C21" s="233" t="s">
        <v>123</v>
      </c>
      <c r="D21" s="233">
        <v>200</v>
      </c>
      <c r="E21" s="233">
        <v>900</v>
      </c>
      <c r="F21" s="233" t="s">
        <v>186</v>
      </c>
      <c r="G21" s="233" t="s">
        <v>125</v>
      </c>
      <c r="H21" s="243">
        <v>42634</v>
      </c>
      <c r="I21" s="243">
        <v>42655</v>
      </c>
      <c r="J21" s="243" t="s">
        <v>201</v>
      </c>
      <c r="K21" s="234" t="s">
        <v>202</v>
      </c>
      <c r="L21" s="233" t="s">
        <v>132</v>
      </c>
      <c r="M21" s="233">
        <v>6</v>
      </c>
      <c r="N21" s="235">
        <v>42676</v>
      </c>
      <c r="O21" s="235">
        <v>42662</v>
      </c>
      <c r="P21" s="238">
        <f>IF(CavityStatus[[#This Row],[Actual Ship Date]]&lt;&gt;0,($O21-$N21)/7,0)</f>
        <v>-2</v>
      </c>
      <c r="Q21" s="236">
        <v>5750</v>
      </c>
      <c r="R21" s="236">
        <f t="shared" si="0"/>
        <v>5750</v>
      </c>
      <c r="S21" s="237">
        <v>42669</v>
      </c>
      <c r="T21" s="233">
        <v>13</v>
      </c>
      <c r="U21" s="239">
        <v>40187.5</v>
      </c>
      <c r="V21" s="233" t="s">
        <v>392</v>
      </c>
      <c r="W21" s="239"/>
      <c r="X21" s="236">
        <v>490</v>
      </c>
      <c r="Y21" s="236">
        <f t="shared" si="1"/>
        <v>40187.5</v>
      </c>
      <c r="Z21" s="239">
        <f>RICavMilestoneVal+CavityStatus[[#This Row],[Incentive Earned]]+CavityStatus[[#This Row],[Recipe Modification (Mod 9)]]+X21</f>
        <v>46427.5</v>
      </c>
      <c r="AA21" s="242">
        <v>42675</v>
      </c>
      <c r="AB21" s="241" t="s">
        <v>377</v>
      </c>
      <c r="AE21" s="115">
        <f t="shared" si="2"/>
        <v>490</v>
      </c>
    </row>
    <row r="22" spans="1:31" ht="18" customHeight="1" x14ac:dyDescent="0.25">
      <c r="A22" s="232">
        <v>21</v>
      </c>
      <c r="B22" s="233" t="s">
        <v>204</v>
      </c>
      <c r="C22" s="233" t="s">
        <v>123</v>
      </c>
      <c r="D22" s="233">
        <v>200</v>
      </c>
      <c r="E22" s="233">
        <v>900</v>
      </c>
      <c r="F22" s="233" t="s">
        <v>186</v>
      </c>
      <c r="G22" s="233" t="s">
        <v>125</v>
      </c>
      <c r="H22" s="243">
        <v>42634</v>
      </c>
      <c r="I22" s="243">
        <v>42661</v>
      </c>
      <c r="J22" s="243" t="s">
        <v>205</v>
      </c>
      <c r="K22" s="234" t="s">
        <v>206</v>
      </c>
      <c r="L22" s="233" t="s">
        <v>127</v>
      </c>
      <c r="M22" s="233">
        <v>7</v>
      </c>
      <c r="N22" s="235">
        <v>42676</v>
      </c>
      <c r="O22" s="235">
        <v>42676</v>
      </c>
      <c r="P22" s="238">
        <f>IF(CavityStatus[[#This Row],[Actual Ship Date]]&lt;&gt;0,($O22-$N22)/7,0)</f>
        <v>0</v>
      </c>
      <c r="Q22" s="236">
        <v>5750</v>
      </c>
      <c r="R22" s="236">
        <f t="shared" si="0"/>
        <v>5750</v>
      </c>
      <c r="S22" s="237">
        <v>42685</v>
      </c>
      <c r="T22" s="233">
        <v>13</v>
      </c>
      <c r="U22" s="239">
        <v>40187.5</v>
      </c>
      <c r="V22" s="233" t="s">
        <v>391</v>
      </c>
      <c r="W22" s="239">
        <v>4283.18</v>
      </c>
      <c r="X22" s="236">
        <v>490</v>
      </c>
      <c r="Y22" s="236">
        <f t="shared" si="1"/>
        <v>40187.5</v>
      </c>
      <c r="Z22" s="245">
        <f>RICavMilestoneVal+CavityStatus[[#This Row],[Incentive Earned]]+CavityStatus[[#This Row],[Recipe Modification (Mod 9)]]+X22</f>
        <v>50710.68</v>
      </c>
      <c r="AA22" s="242">
        <v>42675</v>
      </c>
      <c r="AB22" s="241"/>
      <c r="AE22" s="115">
        <f t="shared" si="2"/>
        <v>490</v>
      </c>
    </row>
    <row r="23" spans="1:31" ht="18" customHeight="1" x14ac:dyDescent="0.25">
      <c r="A23" s="232">
        <v>22</v>
      </c>
      <c r="B23" s="233" t="s">
        <v>214</v>
      </c>
      <c r="C23" s="233" t="s">
        <v>123</v>
      </c>
      <c r="D23" s="233">
        <v>200</v>
      </c>
      <c r="E23" s="233">
        <v>900</v>
      </c>
      <c r="F23" s="233" t="s">
        <v>186</v>
      </c>
      <c r="G23" s="233" t="s">
        <v>125</v>
      </c>
      <c r="H23" s="243">
        <v>42635</v>
      </c>
      <c r="I23" s="243">
        <v>42663</v>
      </c>
      <c r="J23" s="243" t="s">
        <v>215</v>
      </c>
      <c r="K23" s="234" t="s">
        <v>216</v>
      </c>
      <c r="L23" s="233" t="s">
        <v>127</v>
      </c>
      <c r="M23" s="233">
        <v>7</v>
      </c>
      <c r="N23" s="235">
        <v>42676</v>
      </c>
      <c r="O23" s="235">
        <v>42676</v>
      </c>
      <c r="P23" s="238">
        <f>IF(CavityStatus[[#This Row],[Actual Ship Date]]&lt;&gt;0,($O23-$N23)/7,0)</f>
        <v>0</v>
      </c>
      <c r="Q23" s="236">
        <v>5750</v>
      </c>
      <c r="R23" s="236">
        <f t="shared" si="0"/>
        <v>5750</v>
      </c>
      <c r="S23" s="237">
        <v>42685</v>
      </c>
      <c r="T23" s="233">
        <v>13</v>
      </c>
      <c r="U23" s="239">
        <v>40187.5</v>
      </c>
      <c r="V23" s="233" t="s">
        <v>391</v>
      </c>
      <c r="W23" s="239">
        <v>4283.18</v>
      </c>
      <c r="X23" s="236">
        <v>490</v>
      </c>
      <c r="Y23" s="236">
        <f t="shared" si="1"/>
        <v>40187.5</v>
      </c>
      <c r="Z23" s="245">
        <f>RICavMilestoneVal+CavityStatus[[#This Row],[Incentive Earned]]+CavityStatus[[#This Row],[Recipe Modification (Mod 9)]]+X23</f>
        <v>50710.68</v>
      </c>
      <c r="AA23" s="242">
        <v>42675</v>
      </c>
      <c r="AB23" s="241"/>
      <c r="AE23" s="115">
        <f t="shared" si="2"/>
        <v>490</v>
      </c>
    </row>
    <row r="24" spans="1:31" ht="18" customHeight="1" x14ac:dyDescent="0.25">
      <c r="A24" s="232">
        <v>23</v>
      </c>
      <c r="B24" s="233" t="s">
        <v>220</v>
      </c>
      <c r="C24" s="233" t="s">
        <v>123</v>
      </c>
      <c r="D24" s="233">
        <v>200</v>
      </c>
      <c r="E24" s="233">
        <v>900</v>
      </c>
      <c r="F24" s="233" t="s">
        <v>186</v>
      </c>
      <c r="G24" s="233" t="s">
        <v>125</v>
      </c>
      <c r="H24" s="243">
        <v>42636</v>
      </c>
      <c r="I24" s="243">
        <v>42663</v>
      </c>
      <c r="J24" s="243" t="s">
        <v>221</v>
      </c>
      <c r="K24" s="234" t="s">
        <v>222</v>
      </c>
      <c r="L24" s="233" t="s">
        <v>127</v>
      </c>
      <c r="M24" s="233">
        <v>7</v>
      </c>
      <c r="N24" s="235">
        <v>42676</v>
      </c>
      <c r="O24" s="235">
        <v>42676</v>
      </c>
      <c r="P24" s="238">
        <f>IF(CavityStatus[[#This Row],[Actual Ship Date]]&lt;&gt;0,($O24-$N24)/7,0)</f>
        <v>0</v>
      </c>
      <c r="Q24" s="236">
        <v>5750</v>
      </c>
      <c r="R24" s="236">
        <f t="shared" si="0"/>
        <v>5750</v>
      </c>
      <c r="S24" s="237">
        <v>42685</v>
      </c>
      <c r="T24" s="233">
        <v>13</v>
      </c>
      <c r="U24" s="239">
        <v>40187.5</v>
      </c>
      <c r="V24" s="233" t="s">
        <v>391</v>
      </c>
      <c r="W24" s="239">
        <v>4283.18</v>
      </c>
      <c r="X24" s="236">
        <v>490</v>
      </c>
      <c r="Y24" s="236">
        <f t="shared" si="1"/>
        <v>40187.5</v>
      </c>
      <c r="Z24" s="245">
        <f>RICavMilestoneVal+CavityStatus[[#This Row],[Incentive Earned]]+CavityStatus[[#This Row],[Recipe Modification (Mod 9)]]+X24</f>
        <v>50710.68</v>
      </c>
      <c r="AA24" s="242">
        <v>42675</v>
      </c>
      <c r="AB24" s="241"/>
      <c r="AE24" s="115">
        <f t="shared" si="2"/>
        <v>490</v>
      </c>
    </row>
    <row r="25" spans="1:31" ht="18" customHeight="1" x14ac:dyDescent="0.25">
      <c r="A25" s="232">
        <v>24</v>
      </c>
      <c r="B25" s="233" t="s">
        <v>239</v>
      </c>
      <c r="C25" s="233" t="s">
        <v>123</v>
      </c>
      <c r="D25" s="233">
        <v>200</v>
      </c>
      <c r="E25" s="233">
        <v>900</v>
      </c>
      <c r="F25" s="233" t="s">
        <v>186</v>
      </c>
      <c r="G25" s="233" t="s">
        <v>125</v>
      </c>
      <c r="H25" s="243">
        <v>42653</v>
      </c>
      <c r="I25" s="243">
        <v>42663</v>
      </c>
      <c r="J25" s="243" t="s">
        <v>240</v>
      </c>
      <c r="K25" s="234" t="s">
        <v>241</v>
      </c>
      <c r="L25" s="233" t="s">
        <v>127</v>
      </c>
      <c r="M25" s="233">
        <v>7</v>
      </c>
      <c r="N25" s="235">
        <v>42676</v>
      </c>
      <c r="O25" s="235">
        <v>42676</v>
      </c>
      <c r="P25" s="238">
        <f>IF(CavityStatus[[#This Row],[Actual Ship Date]]&lt;&gt;0,($O25-$N25)/7,0)</f>
        <v>0</v>
      </c>
      <c r="Q25" s="236">
        <v>5750</v>
      </c>
      <c r="R25" s="236">
        <f t="shared" si="0"/>
        <v>5750</v>
      </c>
      <c r="S25" s="237">
        <v>42685</v>
      </c>
      <c r="T25" s="233">
        <v>13</v>
      </c>
      <c r="U25" s="239">
        <v>40187.5</v>
      </c>
      <c r="V25" s="233" t="s">
        <v>391</v>
      </c>
      <c r="W25" s="239">
        <v>4283.18</v>
      </c>
      <c r="X25" s="236">
        <v>490</v>
      </c>
      <c r="Y25" s="236">
        <f t="shared" si="1"/>
        <v>40187.5</v>
      </c>
      <c r="Z25" s="245">
        <f>RICavMilestoneVal+CavityStatus[[#This Row],[Incentive Earned]]+CavityStatus[[#This Row],[Recipe Modification (Mod 9)]]+X25</f>
        <v>50710.68</v>
      </c>
      <c r="AA25" s="242">
        <v>42675</v>
      </c>
      <c r="AB25" s="241"/>
      <c r="AE25" s="115">
        <f t="shared" si="2"/>
        <v>490</v>
      </c>
    </row>
    <row r="26" spans="1:31" ht="18" customHeight="1" x14ac:dyDescent="0.25">
      <c r="A26" s="232">
        <v>25</v>
      </c>
      <c r="B26" s="233" t="s">
        <v>231</v>
      </c>
      <c r="C26" s="233" t="s">
        <v>123</v>
      </c>
      <c r="D26" s="233">
        <v>200</v>
      </c>
      <c r="E26" s="233">
        <v>900</v>
      </c>
      <c r="F26" s="233" t="s">
        <v>186</v>
      </c>
      <c r="G26" s="233" t="s">
        <v>125</v>
      </c>
      <c r="H26" s="243">
        <v>42640</v>
      </c>
      <c r="I26" s="233"/>
      <c r="J26" s="233" t="s">
        <v>232</v>
      </c>
      <c r="K26" s="234" t="s">
        <v>233</v>
      </c>
      <c r="L26" s="233" t="s">
        <v>132</v>
      </c>
      <c r="M26" s="233">
        <v>8</v>
      </c>
      <c r="N26" s="235">
        <v>42676</v>
      </c>
      <c r="O26" s="235">
        <v>42688</v>
      </c>
      <c r="P26" s="238">
        <f>IF(CavityStatus[[#This Row],[Actual Ship Date]]&lt;&gt;0,($O26-$N26)/7,0)</f>
        <v>1.7142857142857142</v>
      </c>
      <c r="Q26" s="236">
        <v>5750</v>
      </c>
      <c r="R26" s="236">
        <f t="shared" si="0"/>
        <v>5407.1428571428569</v>
      </c>
      <c r="S26" s="237">
        <v>42695</v>
      </c>
      <c r="T26" s="233">
        <v>14</v>
      </c>
      <c r="U26" s="239">
        <v>40187.5</v>
      </c>
      <c r="V26" s="233" t="s">
        <v>391</v>
      </c>
      <c r="W26" s="239">
        <v>4283.18</v>
      </c>
      <c r="X26" s="236">
        <v>490</v>
      </c>
      <c r="Y26" s="236">
        <f t="shared" si="1"/>
        <v>40187.5</v>
      </c>
      <c r="Z26" s="245">
        <f>RICavMilestoneVal+CavityStatus[[#This Row],[Incentive Earned]]+CavityStatus[[#This Row],[Recipe Modification (Mod 9)]]+X26</f>
        <v>50367.822857142855</v>
      </c>
      <c r="AA26" s="242">
        <v>42705</v>
      </c>
      <c r="AB26" s="241" t="s">
        <v>426</v>
      </c>
      <c r="AE26" s="115">
        <f t="shared" si="2"/>
        <v>490</v>
      </c>
    </row>
    <row r="27" spans="1:31" ht="18" customHeight="1" x14ac:dyDescent="0.25">
      <c r="A27" s="232">
        <v>26</v>
      </c>
      <c r="B27" s="233" t="s">
        <v>235</v>
      </c>
      <c r="C27" s="233" t="s">
        <v>123</v>
      </c>
      <c r="D27" s="233">
        <v>200</v>
      </c>
      <c r="E27" s="233">
        <v>900</v>
      </c>
      <c r="F27" s="233" t="s">
        <v>186</v>
      </c>
      <c r="G27" s="243">
        <v>42632</v>
      </c>
      <c r="H27" s="243">
        <v>42653</v>
      </c>
      <c r="I27" s="233"/>
      <c r="J27" s="233"/>
      <c r="K27" s="234"/>
      <c r="L27" s="233" t="s">
        <v>132</v>
      </c>
      <c r="M27" s="233">
        <v>8</v>
      </c>
      <c r="N27" s="235">
        <v>42676</v>
      </c>
      <c r="O27" s="235">
        <v>42688</v>
      </c>
      <c r="P27" s="238">
        <f>IF(CavityStatus[[#This Row],[Actual Ship Date]]&lt;&gt;0,($O27-$N27)/7,0)</f>
        <v>1.7142857142857142</v>
      </c>
      <c r="Q27" s="236">
        <v>5750</v>
      </c>
      <c r="R27" s="236">
        <f t="shared" si="0"/>
        <v>5407.1428571428569</v>
      </c>
      <c r="S27" s="237">
        <v>42695</v>
      </c>
      <c r="T27" s="233">
        <v>14</v>
      </c>
      <c r="U27" s="239">
        <v>40187.5</v>
      </c>
      <c r="V27" s="233" t="s">
        <v>391</v>
      </c>
      <c r="W27" s="239">
        <v>4283.18</v>
      </c>
      <c r="X27" s="236">
        <v>490</v>
      </c>
      <c r="Y27" s="236">
        <f t="shared" si="1"/>
        <v>40187.5</v>
      </c>
      <c r="Z27" s="245">
        <f>RICavMilestoneVal+CavityStatus[[#This Row],[Incentive Earned]]+CavityStatus[[#This Row],[Recipe Modification (Mod 9)]]+X27</f>
        <v>50367.822857142855</v>
      </c>
      <c r="AA27" s="242">
        <v>42705</v>
      </c>
      <c r="AB27" s="241" t="s">
        <v>426</v>
      </c>
      <c r="AE27" s="115">
        <f t="shared" si="2"/>
        <v>490</v>
      </c>
    </row>
    <row r="28" spans="1:31" ht="18" customHeight="1" x14ac:dyDescent="0.25">
      <c r="A28" s="232">
        <v>27</v>
      </c>
      <c r="B28" s="233" t="s">
        <v>243</v>
      </c>
      <c r="C28" s="233" t="s">
        <v>123</v>
      </c>
      <c r="D28" s="233">
        <v>200</v>
      </c>
      <c r="E28" s="233">
        <v>900</v>
      </c>
      <c r="F28" s="233" t="s">
        <v>186</v>
      </c>
      <c r="G28" s="243">
        <v>42632</v>
      </c>
      <c r="H28" s="243">
        <v>42653</v>
      </c>
      <c r="I28" s="233"/>
      <c r="J28" s="233"/>
      <c r="K28" s="234"/>
      <c r="L28" s="233" t="s">
        <v>132</v>
      </c>
      <c r="M28" s="233">
        <v>8</v>
      </c>
      <c r="N28" s="235">
        <v>42676</v>
      </c>
      <c r="O28" s="235">
        <v>42688</v>
      </c>
      <c r="P28" s="238">
        <f>IF(CavityStatus[[#This Row],[Actual Ship Date]]&lt;&gt;0,($O28-$N28)/7,0)</f>
        <v>1.7142857142857142</v>
      </c>
      <c r="Q28" s="236">
        <v>5750</v>
      </c>
      <c r="R28" s="236">
        <f t="shared" si="0"/>
        <v>5407.1428571428569</v>
      </c>
      <c r="S28" s="237">
        <v>42695</v>
      </c>
      <c r="T28" s="233">
        <v>14</v>
      </c>
      <c r="U28" s="239">
        <v>40187.5</v>
      </c>
      <c r="V28" s="233" t="s">
        <v>391</v>
      </c>
      <c r="W28" s="239">
        <v>4283.18</v>
      </c>
      <c r="X28" s="236">
        <v>490</v>
      </c>
      <c r="Y28" s="236">
        <f t="shared" si="1"/>
        <v>40187.5</v>
      </c>
      <c r="Z28" s="245">
        <f>RICavMilestoneVal+CavityStatus[[#This Row],[Incentive Earned]]+CavityStatus[[#This Row],[Recipe Modification (Mod 9)]]+X28</f>
        <v>50367.822857142855</v>
      </c>
      <c r="AA28" s="242">
        <v>42705</v>
      </c>
      <c r="AB28" s="241" t="s">
        <v>426</v>
      </c>
      <c r="AE28" s="115">
        <f t="shared" si="2"/>
        <v>490</v>
      </c>
    </row>
    <row r="29" spans="1:31" ht="18" customHeight="1" x14ac:dyDescent="0.25">
      <c r="A29" s="232">
        <v>28</v>
      </c>
      <c r="B29" s="233" t="s">
        <v>256</v>
      </c>
      <c r="C29" s="233" t="s">
        <v>123</v>
      </c>
      <c r="D29" s="233">
        <v>200</v>
      </c>
      <c r="E29" s="233">
        <v>900</v>
      </c>
      <c r="F29" s="233" t="s">
        <v>186</v>
      </c>
      <c r="G29" s="243">
        <v>42642</v>
      </c>
      <c r="H29" s="243">
        <v>42671</v>
      </c>
      <c r="I29" s="243">
        <v>42671</v>
      </c>
      <c r="J29" s="243"/>
      <c r="K29" s="234"/>
      <c r="L29" s="233" t="s">
        <v>132</v>
      </c>
      <c r="M29" s="233">
        <v>8</v>
      </c>
      <c r="N29" s="235">
        <v>42676</v>
      </c>
      <c r="O29" s="235">
        <v>42688</v>
      </c>
      <c r="P29" s="238">
        <f>IF(CavityStatus[[#This Row],[Actual Ship Date]]&lt;&gt;0,($O29-$N29)/7,0)</f>
        <v>1.7142857142857142</v>
      </c>
      <c r="Q29" s="236">
        <v>5750</v>
      </c>
      <c r="R29" s="236">
        <f t="shared" si="0"/>
        <v>5407.1428571428569</v>
      </c>
      <c r="S29" s="237">
        <v>42695</v>
      </c>
      <c r="T29" s="233">
        <v>14</v>
      </c>
      <c r="U29" s="239">
        <v>40187.5</v>
      </c>
      <c r="V29" s="233" t="s">
        <v>391</v>
      </c>
      <c r="W29" s="239">
        <v>4283.18</v>
      </c>
      <c r="X29" s="236">
        <v>490</v>
      </c>
      <c r="Y29" s="236">
        <f t="shared" si="1"/>
        <v>40187.5</v>
      </c>
      <c r="Z29" s="245">
        <f>RICavMilestoneVal+CavityStatus[[#This Row],[Incentive Earned]]+CavityStatus[[#This Row],[Recipe Modification (Mod 9)]]+X29</f>
        <v>50367.822857142855</v>
      </c>
      <c r="AA29" s="242">
        <v>42705</v>
      </c>
      <c r="AB29" s="241" t="s">
        <v>426</v>
      </c>
      <c r="AE29" s="115">
        <f t="shared" si="2"/>
        <v>490</v>
      </c>
    </row>
    <row r="30" spans="1:31" ht="18" customHeight="1" x14ac:dyDescent="0.25">
      <c r="A30" s="232">
        <v>29</v>
      </c>
      <c r="B30" s="233" t="s">
        <v>210</v>
      </c>
      <c r="C30" s="233" t="s">
        <v>123</v>
      </c>
      <c r="D30" s="233">
        <v>200</v>
      </c>
      <c r="E30" s="233">
        <v>900</v>
      </c>
      <c r="F30" s="233" t="s">
        <v>186</v>
      </c>
      <c r="G30" s="233" t="s">
        <v>125</v>
      </c>
      <c r="H30" s="243">
        <v>42635</v>
      </c>
      <c r="I30" s="243">
        <v>42678</v>
      </c>
      <c r="J30" s="233" t="s">
        <v>211</v>
      </c>
      <c r="K30" s="234" t="s">
        <v>212</v>
      </c>
      <c r="L30" s="233" t="s">
        <v>127</v>
      </c>
      <c r="M30" s="233">
        <v>9</v>
      </c>
      <c r="N30" s="235">
        <v>42704</v>
      </c>
      <c r="O30" s="235">
        <v>42690</v>
      </c>
      <c r="P30" s="238">
        <f>IF(CavityStatus[[#This Row],[Actual Ship Date]]&lt;&gt;0,($O30-$N30)/7,0)</f>
        <v>-2</v>
      </c>
      <c r="Q30" s="236">
        <v>5750</v>
      </c>
      <c r="R30" s="236">
        <f t="shared" si="0"/>
        <v>5750</v>
      </c>
      <c r="S30" s="237">
        <v>42702</v>
      </c>
      <c r="T30" s="233">
        <v>15</v>
      </c>
      <c r="U30" s="239">
        <v>40187.5</v>
      </c>
      <c r="V30" s="233" t="s">
        <v>391</v>
      </c>
      <c r="W30" s="239">
        <v>4283.18</v>
      </c>
      <c r="X30" s="236">
        <v>490</v>
      </c>
      <c r="Y30" s="236">
        <f t="shared" si="1"/>
        <v>40187.5</v>
      </c>
      <c r="Z30" s="245">
        <f>RICavMilestoneVal+CavityStatus[[#This Row],[Incentive Earned]]+CavityStatus[[#This Row],[Recipe Modification (Mod 9)]]+X30</f>
        <v>50710.68</v>
      </c>
      <c r="AA30" s="242">
        <v>42705</v>
      </c>
      <c r="AB30" s="241"/>
      <c r="AE30" s="115">
        <f t="shared" si="2"/>
        <v>490</v>
      </c>
    </row>
    <row r="31" spans="1:31" ht="18" customHeight="1" x14ac:dyDescent="0.25">
      <c r="A31" s="232">
        <v>30</v>
      </c>
      <c r="B31" s="233" t="s">
        <v>251</v>
      </c>
      <c r="C31" s="233" t="s">
        <v>123</v>
      </c>
      <c r="D31" s="233">
        <v>200</v>
      </c>
      <c r="E31" s="233">
        <v>900</v>
      </c>
      <c r="F31" s="233" t="s">
        <v>186</v>
      </c>
      <c r="G31" s="243">
        <v>42640</v>
      </c>
      <c r="H31" s="243">
        <v>42669</v>
      </c>
      <c r="I31" s="233"/>
      <c r="J31" s="233"/>
      <c r="K31" s="234" t="s">
        <v>252</v>
      </c>
      <c r="L31" s="233" t="s">
        <v>127</v>
      </c>
      <c r="M31" s="233">
        <v>9</v>
      </c>
      <c r="N31" s="235">
        <v>42704</v>
      </c>
      <c r="O31" s="235">
        <v>42690</v>
      </c>
      <c r="P31" s="238">
        <f>IF(CavityStatus[[#This Row],[Actual Ship Date]]&lt;&gt;0,($O31-$N31)/7,0)</f>
        <v>-2</v>
      </c>
      <c r="Q31" s="236">
        <v>5750</v>
      </c>
      <c r="R31" s="236">
        <f t="shared" si="0"/>
        <v>5750</v>
      </c>
      <c r="S31" s="237">
        <v>42702</v>
      </c>
      <c r="T31" s="233">
        <v>15</v>
      </c>
      <c r="U31" s="239">
        <v>40187.5</v>
      </c>
      <c r="V31" s="233" t="s">
        <v>391</v>
      </c>
      <c r="W31" s="239">
        <v>4283.18</v>
      </c>
      <c r="X31" s="236">
        <v>490</v>
      </c>
      <c r="Y31" s="236">
        <f t="shared" si="1"/>
        <v>40187.5</v>
      </c>
      <c r="Z31" s="245">
        <f>RICavMilestoneVal+CavityStatus[[#This Row],[Incentive Earned]]+CavityStatus[[#This Row],[Recipe Modification (Mod 9)]]+X31</f>
        <v>50710.68</v>
      </c>
      <c r="AA31" s="242">
        <v>42705</v>
      </c>
      <c r="AB31" s="241"/>
      <c r="AE31" s="115">
        <f t="shared" si="2"/>
        <v>490</v>
      </c>
    </row>
    <row r="32" spans="1:31" ht="18" customHeight="1" x14ac:dyDescent="0.25">
      <c r="A32" s="232">
        <v>31</v>
      </c>
      <c r="B32" s="233" t="s">
        <v>258</v>
      </c>
      <c r="C32" s="233" t="s">
        <v>123</v>
      </c>
      <c r="D32" s="233">
        <v>200</v>
      </c>
      <c r="E32" s="233">
        <v>900</v>
      </c>
      <c r="F32" s="233" t="s">
        <v>186</v>
      </c>
      <c r="G32" s="243">
        <v>42648</v>
      </c>
      <c r="H32" s="243">
        <v>42676</v>
      </c>
      <c r="I32" s="233"/>
      <c r="J32" s="233"/>
      <c r="K32" s="234"/>
      <c r="L32" s="233" t="s">
        <v>127</v>
      </c>
      <c r="M32" s="233">
        <v>9</v>
      </c>
      <c r="N32" s="235">
        <v>42704</v>
      </c>
      <c r="O32" s="235">
        <v>42690</v>
      </c>
      <c r="P32" s="238">
        <f>IF(CavityStatus[[#This Row],[Actual Ship Date]]&lt;&gt;0,($O32-$N32)/7,0)</f>
        <v>-2</v>
      </c>
      <c r="Q32" s="236">
        <v>5750</v>
      </c>
      <c r="R32" s="236">
        <f t="shared" si="0"/>
        <v>5750</v>
      </c>
      <c r="S32" s="237">
        <v>42702</v>
      </c>
      <c r="T32" s="233">
        <v>15</v>
      </c>
      <c r="U32" s="239">
        <v>40187.5</v>
      </c>
      <c r="V32" s="233" t="s">
        <v>391</v>
      </c>
      <c r="W32" s="239">
        <v>4283.18</v>
      </c>
      <c r="X32" s="236">
        <v>490</v>
      </c>
      <c r="Y32" s="236">
        <f t="shared" si="1"/>
        <v>40187.5</v>
      </c>
      <c r="Z32" s="245">
        <f>RICavMilestoneVal+CavityStatus[[#This Row],[Incentive Earned]]+CavityStatus[[#This Row],[Recipe Modification (Mod 9)]]+X32</f>
        <v>50710.68</v>
      </c>
      <c r="AA32" s="242">
        <v>42705</v>
      </c>
      <c r="AB32" s="241"/>
      <c r="AE32" s="115">
        <f t="shared" si="2"/>
        <v>490</v>
      </c>
    </row>
    <row r="33" spans="1:31" ht="18" customHeight="1" x14ac:dyDescent="0.25">
      <c r="A33" s="232">
        <v>32</v>
      </c>
      <c r="B33" s="233" t="s">
        <v>264</v>
      </c>
      <c r="C33" s="233" t="s">
        <v>123</v>
      </c>
      <c r="D33" s="233">
        <v>200</v>
      </c>
      <c r="E33" s="233">
        <v>900</v>
      </c>
      <c r="F33" s="233" t="s">
        <v>186</v>
      </c>
      <c r="G33" s="243">
        <v>42640</v>
      </c>
      <c r="H33" s="243">
        <v>42669</v>
      </c>
      <c r="I33" s="233"/>
      <c r="J33" s="233"/>
      <c r="K33" s="234"/>
      <c r="L33" s="233" t="s">
        <v>127</v>
      </c>
      <c r="M33" s="233">
        <v>9</v>
      </c>
      <c r="N33" s="235">
        <v>42704</v>
      </c>
      <c r="O33" s="235">
        <v>42690</v>
      </c>
      <c r="P33" s="238">
        <f>IF(CavityStatus[[#This Row],[Actual Ship Date]]&lt;&gt;0,($O33-$N33)/7,0)</f>
        <v>-2</v>
      </c>
      <c r="Q33" s="236">
        <v>5750</v>
      </c>
      <c r="R33" s="236">
        <f t="shared" si="0"/>
        <v>5750</v>
      </c>
      <c r="S33" s="237">
        <v>42702</v>
      </c>
      <c r="T33" s="233">
        <v>15</v>
      </c>
      <c r="U33" s="239">
        <v>40187.5</v>
      </c>
      <c r="V33" s="233" t="s">
        <v>391</v>
      </c>
      <c r="W33" s="239">
        <v>4283.18</v>
      </c>
      <c r="X33" s="236">
        <v>490</v>
      </c>
      <c r="Y33" s="236">
        <f t="shared" si="1"/>
        <v>40187.5</v>
      </c>
      <c r="Z33" s="245">
        <f>RICavMilestoneVal+CavityStatus[[#This Row],[Incentive Earned]]+CavityStatus[[#This Row],[Recipe Modification (Mod 9)]]+X33</f>
        <v>50710.68</v>
      </c>
      <c r="AA33" s="242">
        <v>42705</v>
      </c>
      <c r="AB33" s="241"/>
      <c r="AE33" s="115">
        <f t="shared" si="2"/>
        <v>490</v>
      </c>
    </row>
    <row r="34" spans="1:31" ht="18" customHeight="1" x14ac:dyDescent="0.25">
      <c r="A34" s="232">
        <v>33</v>
      </c>
      <c r="B34" s="233" t="s">
        <v>225</v>
      </c>
      <c r="C34" s="233" t="s">
        <v>123</v>
      </c>
      <c r="D34" s="233">
        <v>200</v>
      </c>
      <c r="E34" s="233">
        <v>900</v>
      </c>
      <c r="F34" s="233" t="s">
        <v>186</v>
      </c>
      <c r="G34" s="233" t="s">
        <v>125</v>
      </c>
      <c r="H34" s="243">
        <v>42650</v>
      </c>
      <c r="I34" s="233"/>
      <c r="J34" s="233" t="s">
        <v>226</v>
      </c>
      <c r="K34" s="234" t="s">
        <v>227</v>
      </c>
      <c r="L34" s="233" t="s">
        <v>132</v>
      </c>
      <c r="M34" s="233">
        <v>10</v>
      </c>
      <c r="N34" s="235">
        <v>42704</v>
      </c>
      <c r="O34" s="235">
        <v>42698</v>
      </c>
      <c r="P34" s="238">
        <f>IF(CavityStatus[[#This Row],[Actual Ship Date]]&lt;&gt;0,($O34-$N34)/7,0)</f>
        <v>-0.8571428571428571</v>
      </c>
      <c r="Q34" s="236">
        <v>5750</v>
      </c>
      <c r="R34" s="236">
        <f t="shared" ref="R34:R65" si="3">IF($P34&gt;0,$Q34-($P34*200),$Q34)</f>
        <v>5750</v>
      </c>
      <c r="S34" s="237">
        <v>42705</v>
      </c>
      <c r="T34" s="233">
        <v>16</v>
      </c>
      <c r="U34" s="239">
        <v>40187.5</v>
      </c>
      <c r="V34" s="233" t="s">
        <v>391</v>
      </c>
      <c r="W34" s="239">
        <v>4283.18</v>
      </c>
      <c r="X34" s="236">
        <v>490</v>
      </c>
      <c r="Y34" s="236">
        <f t="shared" ref="Y34:Y65" si="4">RICavMilestoneVal</f>
        <v>40187.5</v>
      </c>
      <c r="Z34" s="245">
        <f>RICavMilestoneVal+CavityStatus[[#This Row],[Incentive Earned]]+CavityStatus[[#This Row],[Recipe Modification (Mod 9)]]+X34</f>
        <v>50710.68</v>
      </c>
      <c r="AA34" s="242">
        <v>42705</v>
      </c>
      <c r="AB34" s="241"/>
      <c r="AE34" s="115">
        <f t="shared" si="2"/>
        <v>490</v>
      </c>
    </row>
    <row r="35" spans="1:31" ht="18" customHeight="1" x14ac:dyDescent="0.25">
      <c r="A35" s="232">
        <v>34</v>
      </c>
      <c r="B35" s="233" t="s">
        <v>247</v>
      </c>
      <c r="C35" s="233" t="s">
        <v>123</v>
      </c>
      <c r="D35" s="233">
        <v>200</v>
      </c>
      <c r="E35" s="233">
        <v>900</v>
      </c>
      <c r="F35" s="233" t="s">
        <v>186</v>
      </c>
      <c r="G35" s="233" t="s">
        <v>125</v>
      </c>
      <c r="H35" s="243">
        <v>42653</v>
      </c>
      <c r="I35" s="243">
        <v>42678</v>
      </c>
      <c r="J35" s="233" t="s">
        <v>248</v>
      </c>
      <c r="K35" s="234" t="s">
        <v>249</v>
      </c>
      <c r="L35" s="233" t="s">
        <v>132</v>
      </c>
      <c r="M35" s="233">
        <v>10</v>
      </c>
      <c r="N35" s="235">
        <v>42704</v>
      </c>
      <c r="O35" s="235">
        <v>42698</v>
      </c>
      <c r="P35" s="238">
        <f>IF(CavityStatus[[#This Row],[Actual Ship Date]]&lt;&gt;0,($O35-$N35)/7,0)</f>
        <v>-0.8571428571428571</v>
      </c>
      <c r="Q35" s="236">
        <v>5750</v>
      </c>
      <c r="R35" s="236">
        <f t="shared" si="3"/>
        <v>5750</v>
      </c>
      <c r="S35" s="237">
        <v>42705</v>
      </c>
      <c r="T35" s="233">
        <v>16</v>
      </c>
      <c r="U35" s="239">
        <v>40187.5</v>
      </c>
      <c r="V35" s="233" t="s">
        <v>391</v>
      </c>
      <c r="W35" s="239">
        <v>4283.18</v>
      </c>
      <c r="X35" s="236">
        <v>490</v>
      </c>
      <c r="Y35" s="236">
        <f t="shared" si="4"/>
        <v>40187.5</v>
      </c>
      <c r="Z35" s="245">
        <f>RICavMilestoneVal+CavityStatus[[#This Row],[Incentive Earned]]+CavityStatus[[#This Row],[Recipe Modification (Mod 9)]]+X35</f>
        <v>50710.68</v>
      </c>
      <c r="AA35" s="242">
        <v>42705</v>
      </c>
      <c r="AB35" s="241"/>
      <c r="AE35" s="115">
        <f t="shared" si="2"/>
        <v>490</v>
      </c>
    </row>
    <row r="36" spans="1:31" ht="18" customHeight="1" x14ac:dyDescent="0.25">
      <c r="A36" s="232">
        <v>35</v>
      </c>
      <c r="B36" s="233" t="s">
        <v>262</v>
      </c>
      <c r="C36" s="233" t="s">
        <v>123</v>
      </c>
      <c r="D36" s="233">
        <v>200</v>
      </c>
      <c r="E36" s="233">
        <v>900</v>
      </c>
      <c r="F36" s="233" t="s">
        <v>186</v>
      </c>
      <c r="G36" s="243">
        <v>42648</v>
      </c>
      <c r="H36" s="243">
        <v>42676</v>
      </c>
      <c r="I36" s="233"/>
      <c r="J36" s="233"/>
      <c r="K36" s="234"/>
      <c r="L36" s="233" t="s">
        <v>132</v>
      </c>
      <c r="M36" s="233">
        <v>10</v>
      </c>
      <c r="N36" s="235">
        <v>42704</v>
      </c>
      <c r="O36" s="235">
        <v>42698</v>
      </c>
      <c r="P36" s="238">
        <f>IF(CavityStatus[[#This Row],[Actual Ship Date]]&lt;&gt;0,($O36-$N36)/7,0)</f>
        <v>-0.8571428571428571</v>
      </c>
      <c r="Q36" s="236">
        <v>5750</v>
      </c>
      <c r="R36" s="236">
        <f t="shared" si="3"/>
        <v>5750</v>
      </c>
      <c r="S36" s="237">
        <v>42705</v>
      </c>
      <c r="T36" s="233">
        <v>16</v>
      </c>
      <c r="U36" s="239">
        <v>40187.5</v>
      </c>
      <c r="V36" s="233" t="s">
        <v>391</v>
      </c>
      <c r="W36" s="239">
        <v>4283.18</v>
      </c>
      <c r="X36" s="236">
        <v>490</v>
      </c>
      <c r="Y36" s="236">
        <f t="shared" si="4"/>
        <v>40187.5</v>
      </c>
      <c r="Z36" s="245">
        <f>RICavMilestoneVal+CavityStatus[[#This Row],[Incentive Earned]]+CavityStatus[[#This Row],[Recipe Modification (Mod 9)]]+X36</f>
        <v>50710.68</v>
      </c>
      <c r="AA36" s="242">
        <v>42705</v>
      </c>
      <c r="AB36" s="241"/>
      <c r="AE36" s="115">
        <f t="shared" si="2"/>
        <v>490</v>
      </c>
    </row>
    <row r="37" spans="1:31" ht="18" customHeight="1" x14ac:dyDescent="0.25">
      <c r="A37" s="232">
        <v>36</v>
      </c>
      <c r="B37" s="233" t="s">
        <v>268</v>
      </c>
      <c r="C37" s="233" t="s">
        <v>123</v>
      </c>
      <c r="D37" s="233">
        <v>200</v>
      </c>
      <c r="E37" s="233">
        <v>900</v>
      </c>
      <c r="F37" s="233" t="s">
        <v>186</v>
      </c>
      <c r="G37" s="243">
        <v>42648</v>
      </c>
      <c r="H37" s="243">
        <v>42678</v>
      </c>
      <c r="I37" s="233"/>
      <c r="J37" s="233"/>
      <c r="K37" s="234"/>
      <c r="L37" s="233" t="s">
        <v>132</v>
      </c>
      <c r="M37" s="233">
        <v>10</v>
      </c>
      <c r="N37" s="235">
        <v>42704</v>
      </c>
      <c r="O37" s="235">
        <v>42698</v>
      </c>
      <c r="P37" s="238">
        <f>IF(CavityStatus[[#This Row],[Actual Ship Date]]&lt;&gt;0,($O37-$N37)/7,0)</f>
        <v>-0.8571428571428571</v>
      </c>
      <c r="Q37" s="236">
        <v>5750</v>
      </c>
      <c r="R37" s="236">
        <f t="shared" si="3"/>
        <v>5750</v>
      </c>
      <c r="S37" s="237">
        <v>42705</v>
      </c>
      <c r="T37" s="233">
        <v>16</v>
      </c>
      <c r="U37" s="239">
        <v>40187.5</v>
      </c>
      <c r="V37" s="233" t="s">
        <v>391</v>
      </c>
      <c r="W37" s="239">
        <v>4283.18</v>
      </c>
      <c r="X37" s="236">
        <v>490</v>
      </c>
      <c r="Y37" s="236">
        <f t="shared" si="4"/>
        <v>40187.5</v>
      </c>
      <c r="Z37" s="245">
        <f>RICavMilestoneVal+CavityStatus[[#This Row],[Incentive Earned]]+CavityStatus[[#This Row],[Recipe Modification (Mod 9)]]+X37</f>
        <v>50710.68</v>
      </c>
      <c r="AA37" s="242">
        <v>42705</v>
      </c>
      <c r="AB37" s="241"/>
      <c r="AE37" s="115">
        <f t="shared" si="2"/>
        <v>490</v>
      </c>
    </row>
    <row r="38" spans="1:31" ht="18" customHeight="1" x14ac:dyDescent="0.25">
      <c r="A38" s="232">
        <v>37</v>
      </c>
      <c r="B38" s="233" t="s">
        <v>270</v>
      </c>
      <c r="C38" s="233" t="s">
        <v>123</v>
      </c>
      <c r="D38" s="233">
        <v>200</v>
      </c>
      <c r="E38" s="233">
        <v>900</v>
      </c>
      <c r="F38" s="233" t="s">
        <v>186</v>
      </c>
      <c r="G38" s="243">
        <v>42660</v>
      </c>
      <c r="H38" s="233"/>
      <c r="I38" s="233"/>
      <c r="J38" s="233"/>
      <c r="K38" s="234"/>
      <c r="L38" s="233" t="s">
        <v>127</v>
      </c>
      <c r="M38" s="233">
        <v>11</v>
      </c>
      <c r="N38" s="235">
        <v>42704</v>
      </c>
      <c r="O38" s="235">
        <v>42702</v>
      </c>
      <c r="P38" s="238">
        <f>IF(CavityStatus[[#This Row],[Actual Ship Date]]&lt;&gt;0,($O38-$N38)/7,0)</f>
        <v>-0.2857142857142857</v>
      </c>
      <c r="Q38" s="236">
        <v>5750</v>
      </c>
      <c r="R38" s="236">
        <f t="shared" si="3"/>
        <v>5750</v>
      </c>
      <c r="S38" s="237">
        <v>42709</v>
      </c>
      <c r="T38" s="233">
        <v>17</v>
      </c>
      <c r="U38" s="239">
        <v>40187.5</v>
      </c>
      <c r="V38" s="233" t="s">
        <v>391</v>
      </c>
      <c r="W38" s="239">
        <v>4283.18</v>
      </c>
      <c r="X38" s="236">
        <v>490</v>
      </c>
      <c r="Y38" s="236">
        <f t="shared" si="4"/>
        <v>40187.5</v>
      </c>
      <c r="Z38" s="245">
        <f>RICavMilestoneVal+CavityStatus[[#This Row],[Incentive Earned]]+CavityStatus[[#This Row],[Recipe Modification (Mod 9)]]+X38</f>
        <v>50710.68</v>
      </c>
      <c r="AA38" s="242">
        <v>42705</v>
      </c>
      <c r="AB38" s="241"/>
      <c r="AE38" s="115">
        <f t="shared" si="2"/>
        <v>490</v>
      </c>
    </row>
    <row r="39" spans="1:31" ht="18" customHeight="1" x14ac:dyDescent="0.25">
      <c r="A39" s="232">
        <v>38</v>
      </c>
      <c r="B39" s="233" t="s">
        <v>274</v>
      </c>
      <c r="C39" s="233" t="s">
        <v>123</v>
      </c>
      <c r="D39" s="233">
        <v>200</v>
      </c>
      <c r="E39" s="233">
        <v>900</v>
      </c>
      <c r="F39" s="233" t="s">
        <v>186</v>
      </c>
      <c r="G39" s="243">
        <v>42648</v>
      </c>
      <c r="H39" s="233"/>
      <c r="I39" s="233"/>
      <c r="J39" s="233"/>
      <c r="K39" s="234"/>
      <c r="L39" s="233" t="s">
        <v>127</v>
      </c>
      <c r="M39" s="233">
        <v>11</v>
      </c>
      <c r="N39" s="235">
        <v>42704</v>
      </c>
      <c r="O39" s="235">
        <v>42702</v>
      </c>
      <c r="P39" s="238">
        <f>IF(CavityStatus[[#This Row],[Actual Ship Date]]&lt;&gt;0,($O39-$N39)/7,0)</f>
        <v>-0.2857142857142857</v>
      </c>
      <c r="Q39" s="236">
        <v>5750</v>
      </c>
      <c r="R39" s="236">
        <f t="shared" si="3"/>
        <v>5750</v>
      </c>
      <c r="S39" s="237">
        <v>42709</v>
      </c>
      <c r="T39" s="233">
        <v>17</v>
      </c>
      <c r="U39" s="239">
        <v>40187.5</v>
      </c>
      <c r="V39" s="233" t="s">
        <v>391</v>
      </c>
      <c r="W39" s="239">
        <v>4283.18</v>
      </c>
      <c r="X39" s="236">
        <v>490</v>
      </c>
      <c r="Y39" s="236">
        <f t="shared" si="4"/>
        <v>40187.5</v>
      </c>
      <c r="Z39" s="245">
        <f>RICavMilestoneVal+CavityStatus[[#This Row],[Incentive Earned]]+CavityStatus[[#This Row],[Recipe Modification (Mod 9)]]+X39</f>
        <v>50710.68</v>
      </c>
      <c r="AA39" s="242">
        <v>42705</v>
      </c>
      <c r="AB39" s="241"/>
      <c r="AE39" s="115">
        <f t="shared" si="2"/>
        <v>490</v>
      </c>
    </row>
    <row r="40" spans="1:31" ht="18" customHeight="1" x14ac:dyDescent="0.25">
      <c r="A40" s="232">
        <v>39</v>
      </c>
      <c r="B40" s="233" t="s">
        <v>282</v>
      </c>
      <c r="C40" s="233" t="s">
        <v>123</v>
      </c>
      <c r="D40" s="233">
        <v>200</v>
      </c>
      <c r="E40" s="233">
        <v>900</v>
      </c>
      <c r="F40" s="233" t="s">
        <v>186</v>
      </c>
      <c r="G40" s="243">
        <v>42664</v>
      </c>
      <c r="H40" s="233"/>
      <c r="I40" s="233"/>
      <c r="J40" s="233"/>
      <c r="K40" s="234"/>
      <c r="L40" s="233" t="s">
        <v>127</v>
      </c>
      <c r="M40" s="233">
        <v>11</v>
      </c>
      <c r="N40" s="235">
        <v>42704</v>
      </c>
      <c r="O40" s="235">
        <v>42702</v>
      </c>
      <c r="P40" s="238">
        <f>IF(CavityStatus[[#This Row],[Actual Ship Date]]&lt;&gt;0,($O40-$N40)/7,0)</f>
        <v>-0.2857142857142857</v>
      </c>
      <c r="Q40" s="236">
        <v>5750</v>
      </c>
      <c r="R40" s="236">
        <f t="shared" si="3"/>
        <v>5750</v>
      </c>
      <c r="S40" s="237">
        <v>42709</v>
      </c>
      <c r="T40" s="233">
        <v>17</v>
      </c>
      <c r="U40" s="239">
        <v>40187.5</v>
      </c>
      <c r="V40" s="233" t="s">
        <v>391</v>
      </c>
      <c r="W40" s="239">
        <v>4283.18</v>
      </c>
      <c r="X40" s="236">
        <v>490</v>
      </c>
      <c r="Y40" s="236">
        <f t="shared" si="4"/>
        <v>40187.5</v>
      </c>
      <c r="Z40" s="245">
        <f>RICavMilestoneVal+CavityStatus[[#This Row],[Incentive Earned]]+CavityStatus[[#This Row],[Recipe Modification (Mod 9)]]+X40</f>
        <v>50710.68</v>
      </c>
      <c r="AA40" s="242">
        <v>42705</v>
      </c>
      <c r="AB40" s="241"/>
      <c r="AE40" s="115">
        <f t="shared" si="2"/>
        <v>490</v>
      </c>
    </row>
    <row r="41" spans="1:31" ht="18" customHeight="1" x14ac:dyDescent="0.25">
      <c r="A41" s="232">
        <v>40</v>
      </c>
      <c r="B41" s="233" t="s">
        <v>286</v>
      </c>
      <c r="C41" s="233" t="s">
        <v>123</v>
      </c>
      <c r="D41" s="233">
        <v>200</v>
      </c>
      <c r="E41" s="233">
        <v>900</v>
      </c>
      <c r="F41" s="233" t="s">
        <v>186</v>
      </c>
      <c r="G41" s="243">
        <v>42678</v>
      </c>
      <c r="H41" s="233"/>
      <c r="I41" s="233"/>
      <c r="J41" s="233"/>
      <c r="K41" s="234"/>
      <c r="L41" s="233" t="s">
        <v>127</v>
      </c>
      <c r="M41" s="233">
        <v>11</v>
      </c>
      <c r="N41" s="235">
        <v>42704</v>
      </c>
      <c r="O41" s="235">
        <v>42702</v>
      </c>
      <c r="P41" s="238">
        <f>IF(CavityStatus[[#This Row],[Actual Ship Date]]&lt;&gt;0,($O41-$N41)/7,0)</f>
        <v>-0.2857142857142857</v>
      </c>
      <c r="Q41" s="236">
        <v>5750</v>
      </c>
      <c r="R41" s="236">
        <f t="shared" si="3"/>
        <v>5750</v>
      </c>
      <c r="S41" s="237">
        <v>42709</v>
      </c>
      <c r="T41" s="233">
        <v>17</v>
      </c>
      <c r="U41" s="239">
        <v>40187.5</v>
      </c>
      <c r="V41" s="233" t="s">
        <v>391</v>
      </c>
      <c r="W41" s="239">
        <v>4283.18</v>
      </c>
      <c r="X41" s="236">
        <v>490</v>
      </c>
      <c r="Y41" s="236">
        <f t="shared" si="4"/>
        <v>40187.5</v>
      </c>
      <c r="Z41" s="245">
        <f>RICavMilestoneVal+CavityStatus[[#This Row],[Incentive Earned]]+CavityStatus[[#This Row],[Recipe Modification (Mod 9)]]+X41</f>
        <v>50710.68</v>
      </c>
      <c r="AA41" s="242">
        <v>42705</v>
      </c>
      <c r="AB41" s="241"/>
      <c r="AE41" s="115">
        <f t="shared" si="2"/>
        <v>490</v>
      </c>
    </row>
    <row r="42" spans="1:31" ht="18" customHeight="1" x14ac:dyDescent="0.25">
      <c r="A42" s="232">
        <v>41</v>
      </c>
      <c r="B42" s="233" t="s">
        <v>276</v>
      </c>
      <c r="C42" s="233" t="s">
        <v>123</v>
      </c>
      <c r="D42" s="233">
        <v>200</v>
      </c>
      <c r="E42" s="233">
        <v>900</v>
      </c>
      <c r="F42" s="233" t="s">
        <v>186</v>
      </c>
      <c r="G42" s="243">
        <v>42664</v>
      </c>
      <c r="H42" s="233"/>
      <c r="I42" s="233"/>
      <c r="J42" s="233"/>
      <c r="K42" s="234"/>
      <c r="L42" s="233" t="s">
        <v>132</v>
      </c>
      <c r="M42" s="233">
        <v>12</v>
      </c>
      <c r="N42" s="235">
        <v>42732</v>
      </c>
      <c r="O42" s="235">
        <v>42704</v>
      </c>
      <c r="P42" s="238">
        <f>IF(CavityStatus[[#This Row],[Actual Ship Date]]&lt;&gt;0,($O42-$N42)/7,0)</f>
        <v>-4</v>
      </c>
      <c r="Q42" s="236">
        <v>2270</v>
      </c>
      <c r="R42" s="236">
        <f t="shared" si="3"/>
        <v>2270</v>
      </c>
      <c r="S42" s="237">
        <v>42711</v>
      </c>
      <c r="T42" s="233">
        <v>18</v>
      </c>
      <c r="U42" s="239">
        <v>40187.5</v>
      </c>
      <c r="V42" s="233" t="s">
        <v>391</v>
      </c>
      <c r="W42" s="239">
        <v>4283.18</v>
      </c>
      <c r="X42" s="236">
        <v>490</v>
      </c>
      <c r="Y42" s="236">
        <f t="shared" si="4"/>
        <v>40187.5</v>
      </c>
      <c r="Z42" s="245">
        <f>RICavMilestoneVal+CavityStatus[[#This Row],[Incentive Earned]]+CavityStatus[[#This Row],[Recipe Modification (Mod 9)]]+X42</f>
        <v>47230.68</v>
      </c>
      <c r="AA42" s="242">
        <v>42705</v>
      </c>
      <c r="AB42" s="241"/>
      <c r="AE42" s="115">
        <f t="shared" si="2"/>
        <v>490</v>
      </c>
    </row>
    <row r="43" spans="1:31" ht="18" customHeight="1" x14ac:dyDescent="0.25">
      <c r="A43" s="232">
        <v>42</v>
      </c>
      <c r="B43" s="233" t="s">
        <v>277</v>
      </c>
      <c r="C43" s="233" t="s">
        <v>123</v>
      </c>
      <c r="D43" s="233">
        <v>200</v>
      </c>
      <c r="E43" s="233">
        <v>900</v>
      </c>
      <c r="F43" s="233" t="s">
        <v>186</v>
      </c>
      <c r="G43" s="243">
        <v>42678</v>
      </c>
      <c r="H43" s="233"/>
      <c r="I43" s="233"/>
      <c r="J43" s="233"/>
      <c r="K43" s="234"/>
      <c r="L43" s="233" t="s">
        <v>132</v>
      </c>
      <c r="M43" s="233">
        <v>12</v>
      </c>
      <c r="N43" s="235">
        <v>42732</v>
      </c>
      <c r="O43" s="235">
        <v>42704</v>
      </c>
      <c r="P43" s="238">
        <f>IF(CavityStatus[[#This Row],[Actual Ship Date]]&lt;&gt;0,($O43-$N43)/7,0)</f>
        <v>-4</v>
      </c>
      <c r="Q43" s="236">
        <v>2270</v>
      </c>
      <c r="R43" s="236">
        <f t="shared" si="3"/>
        <v>2270</v>
      </c>
      <c r="S43" s="237">
        <v>42711</v>
      </c>
      <c r="T43" s="233">
        <v>18</v>
      </c>
      <c r="U43" s="239">
        <v>40187.5</v>
      </c>
      <c r="V43" s="233" t="s">
        <v>391</v>
      </c>
      <c r="W43" s="239">
        <v>4283.18</v>
      </c>
      <c r="X43" s="236">
        <v>490</v>
      </c>
      <c r="Y43" s="236">
        <f t="shared" si="4"/>
        <v>40187.5</v>
      </c>
      <c r="Z43" s="245">
        <f>RICavMilestoneVal+CavityStatus[[#This Row],[Incentive Earned]]+CavityStatus[[#This Row],[Recipe Modification (Mod 9)]]+X43</f>
        <v>47230.68</v>
      </c>
      <c r="AA43" s="242">
        <v>42705</v>
      </c>
      <c r="AB43" s="241"/>
      <c r="AE43" s="115">
        <f t="shared" si="2"/>
        <v>490</v>
      </c>
    </row>
    <row r="44" spans="1:31" ht="18" customHeight="1" x14ac:dyDescent="0.25">
      <c r="A44" s="232">
        <v>43</v>
      </c>
      <c r="B44" s="233" t="s">
        <v>278</v>
      </c>
      <c r="C44" s="233" t="s">
        <v>123</v>
      </c>
      <c r="D44" s="233">
        <v>200</v>
      </c>
      <c r="E44" s="233">
        <v>900</v>
      </c>
      <c r="F44" s="233" t="s">
        <v>186</v>
      </c>
      <c r="G44" s="243">
        <v>42676</v>
      </c>
      <c r="H44" s="233"/>
      <c r="I44" s="233"/>
      <c r="J44" s="233"/>
      <c r="K44" s="234"/>
      <c r="L44" s="233" t="s">
        <v>132</v>
      </c>
      <c r="M44" s="233">
        <v>12</v>
      </c>
      <c r="N44" s="235">
        <v>42732</v>
      </c>
      <c r="O44" s="235">
        <v>42704</v>
      </c>
      <c r="P44" s="238">
        <f>IF(CavityStatus[[#This Row],[Actual Ship Date]]&lt;&gt;0,($O44-$N44)/7,0)</f>
        <v>-4</v>
      </c>
      <c r="Q44" s="236">
        <v>2270</v>
      </c>
      <c r="R44" s="236">
        <f t="shared" si="3"/>
        <v>2270</v>
      </c>
      <c r="S44" s="237">
        <v>42711</v>
      </c>
      <c r="T44" s="233">
        <v>18</v>
      </c>
      <c r="U44" s="239">
        <v>40187.5</v>
      </c>
      <c r="V44" s="233" t="s">
        <v>391</v>
      </c>
      <c r="W44" s="239">
        <v>4283.18</v>
      </c>
      <c r="X44" s="236">
        <v>490</v>
      </c>
      <c r="Y44" s="236">
        <f t="shared" si="4"/>
        <v>40187.5</v>
      </c>
      <c r="Z44" s="245">
        <f>RICavMilestoneVal+CavityStatus[[#This Row],[Incentive Earned]]+CavityStatus[[#This Row],[Recipe Modification (Mod 9)]]+X44</f>
        <v>47230.68</v>
      </c>
      <c r="AA44" s="242">
        <v>42705</v>
      </c>
      <c r="AB44" s="241"/>
      <c r="AE44" s="115">
        <f t="shared" si="2"/>
        <v>490</v>
      </c>
    </row>
    <row r="45" spans="1:31" ht="18" customHeight="1" x14ac:dyDescent="0.25">
      <c r="A45" s="232">
        <v>44</v>
      </c>
      <c r="B45" s="233" t="s">
        <v>279</v>
      </c>
      <c r="C45" s="233" t="s">
        <v>123</v>
      </c>
      <c r="D45" s="233">
        <v>200</v>
      </c>
      <c r="E45" s="233">
        <v>900</v>
      </c>
      <c r="F45" s="233" t="s">
        <v>186</v>
      </c>
      <c r="G45" s="243">
        <v>42664</v>
      </c>
      <c r="H45" s="233"/>
      <c r="I45" s="233"/>
      <c r="J45" s="233"/>
      <c r="K45" s="234"/>
      <c r="L45" s="233" t="s">
        <v>132</v>
      </c>
      <c r="M45" s="233">
        <v>12</v>
      </c>
      <c r="N45" s="235">
        <v>42732</v>
      </c>
      <c r="O45" s="235">
        <v>42704</v>
      </c>
      <c r="P45" s="238">
        <f>IF(CavityStatus[[#This Row],[Actual Ship Date]]&lt;&gt;0,($O45-$N45)/7,0)</f>
        <v>-4</v>
      </c>
      <c r="Q45" s="236">
        <v>2270</v>
      </c>
      <c r="R45" s="236">
        <f t="shared" si="3"/>
        <v>2270</v>
      </c>
      <c r="S45" s="237">
        <v>42711</v>
      </c>
      <c r="T45" s="233">
        <v>18</v>
      </c>
      <c r="U45" s="239">
        <v>40187.5</v>
      </c>
      <c r="V45" s="233" t="s">
        <v>391</v>
      </c>
      <c r="W45" s="239">
        <v>4283.18</v>
      </c>
      <c r="X45" s="236">
        <v>490</v>
      </c>
      <c r="Y45" s="236">
        <f t="shared" si="4"/>
        <v>40187.5</v>
      </c>
      <c r="Z45" s="245">
        <f>RICavMilestoneVal+CavityStatus[[#This Row],[Incentive Earned]]+CavityStatus[[#This Row],[Recipe Modification (Mod 9)]]+X45</f>
        <v>47230.68</v>
      </c>
      <c r="AA45" s="242">
        <v>42705</v>
      </c>
      <c r="AB45" s="241"/>
      <c r="AE45" s="115">
        <f t="shared" si="2"/>
        <v>490</v>
      </c>
    </row>
    <row r="46" spans="1:31" ht="18" customHeight="1" x14ac:dyDescent="0.25">
      <c r="A46" s="232">
        <v>45</v>
      </c>
      <c r="B46" s="233" t="s">
        <v>280</v>
      </c>
      <c r="C46" s="233" t="s">
        <v>123</v>
      </c>
      <c r="D46" s="233"/>
      <c r="E46" s="233"/>
      <c r="F46" s="233"/>
      <c r="G46" s="243">
        <v>42676</v>
      </c>
      <c r="H46" s="233"/>
      <c r="I46" s="233"/>
      <c r="J46" s="233"/>
      <c r="K46" s="234"/>
      <c r="L46" s="233" t="s">
        <v>132</v>
      </c>
      <c r="M46" s="233">
        <v>13</v>
      </c>
      <c r="N46" s="235">
        <v>42732</v>
      </c>
      <c r="O46" s="235">
        <v>42720</v>
      </c>
      <c r="P46" s="238">
        <f>IF(CavityStatus[[#This Row],[Actual Ship Date]]&lt;&gt;0,($O46-$N46)/7,0)</f>
        <v>-1.7142857142857142</v>
      </c>
      <c r="Q46" s="236">
        <v>2270</v>
      </c>
      <c r="R46" s="236">
        <f t="shared" si="3"/>
        <v>2270</v>
      </c>
      <c r="S46" s="237">
        <v>42746</v>
      </c>
      <c r="T46" s="233">
        <v>18</v>
      </c>
      <c r="U46" s="239">
        <v>40187.5</v>
      </c>
      <c r="V46" s="233" t="s">
        <v>387</v>
      </c>
      <c r="W46" s="239">
        <v>4283.18</v>
      </c>
      <c r="X46" s="236">
        <v>490</v>
      </c>
      <c r="Y46" s="244">
        <f t="shared" si="4"/>
        <v>40187.5</v>
      </c>
      <c r="Z46" s="239">
        <f>RICavMilestoneVal+CavityStatus[[#This Row],[Incentive Earned]]+CavityStatus[[#This Row],[Recipe Modification (Mod 9)]]+X46</f>
        <v>47230.68</v>
      </c>
      <c r="AA46" s="242">
        <v>42788</v>
      </c>
      <c r="AB46" s="241"/>
      <c r="AE46" s="115">
        <f t="shared" si="2"/>
        <v>490</v>
      </c>
    </row>
    <row r="47" spans="1:31" ht="18" customHeight="1" x14ac:dyDescent="0.25">
      <c r="A47" s="232">
        <v>46</v>
      </c>
      <c r="B47" s="233" t="s">
        <v>281</v>
      </c>
      <c r="C47" s="233" t="s">
        <v>123</v>
      </c>
      <c r="D47" s="233"/>
      <c r="E47" s="233"/>
      <c r="F47" s="233"/>
      <c r="G47" s="243">
        <v>42678</v>
      </c>
      <c r="H47" s="233"/>
      <c r="I47" s="233"/>
      <c r="J47" s="233"/>
      <c r="K47" s="234"/>
      <c r="L47" s="233" t="s">
        <v>132</v>
      </c>
      <c r="M47" s="233">
        <v>13</v>
      </c>
      <c r="N47" s="235">
        <v>42732</v>
      </c>
      <c r="O47" s="235">
        <v>42720</v>
      </c>
      <c r="P47" s="238">
        <f>IF(CavityStatus[[#This Row],[Actual Ship Date]]&lt;&gt;0,($O47-$N47)/7,0)</f>
        <v>-1.7142857142857142</v>
      </c>
      <c r="Q47" s="236">
        <v>2270</v>
      </c>
      <c r="R47" s="236">
        <f t="shared" si="3"/>
        <v>2270</v>
      </c>
      <c r="S47" s="237">
        <v>42746</v>
      </c>
      <c r="T47" s="233">
        <v>18</v>
      </c>
      <c r="U47" s="239">
        <v>40187.5</v>
      </c>
      <c r="V47" s="233" t="s">
        <v>387</v>
      </c>
      <c r="W47" s="239">
        <v>4283.18</v>
      </c>
      <c r="X47" s="236">
        <v>490</v>
      </c>
      <c r="Y47" s="244">
        <f t="shared" si="4"/>
        <v>40187.5</v>
      </c>
      <c r="Z47" s="239">
        <f>RICavMilestoneVal+CavityStatus[[#This Row],[Incentive Earned]]+CavityStatus[[#This Row],[Recipe Modification (Mod 9)]]+X47</f>
        <v>47230.68</v>
      </c>
      <c r="AA47" s="242">
        <v>42788</v>
      </c>
      <c r="AB47" s="241"/>
      <c r="AE47" s="115">
        <f t="shared" si="2"/>
        <v>490</v>
      </c>
    </row>
    <row r="48" spans="1:31" x14ac:dyDescent="0.25">
      <c r="A48" s="232">
        <v>47</v>
      </c>
      <c r="B48" s="233" t="s">
        <v>284</v>
      </c>
      <c r="C48" s="233" t="s">
        <v>123</v>
      </c>
      <c r="D48" s="233"/>
      <c r="E48" s="233"/>
      <c r="F48" s="233"/>
      <c r="G48" s="233"/>
      <c r="H48" s="233"/>
      <c r="I48" s="233"/>
      <c r="J48" s="233"/>
      <c r="K48" s="234"/>
      <c r="L48" s="233" t="s">
        <v>132</v>
      </c>
      <c r="M48" s="233">
        <v>13</v>
      </c>
      <c r="N48" s="235">
        <v>42732</v>
      </c>
      <c r="O48" s="235">
        <v>42720</v>
      </c>
      <c r="P48" s="238">
        <f>IF(CavityStatus[[#This Row],[Actual Ship Date]]&lt;&gt;0,($O48-$N48)/7,0)</f>
        <v>-1.7142857142857142</v>
      </c>
      <c r="Q48" s="236">
        <v>2270</v>
      </c>
      <c r="R48" s="236">
        <f t="shared" si="3"/>
        <v>2270</v>
      </c>
      <c r="S48" s="237">
        <v>42746</v>
      </c>
      <c r="T48" s="233"/>
      <c r="U48" s="239">
        <v>40187.5</v>
      </c>
      <c r="V48" s="233" t="s">
        <v>386</v>
      </c>
      <c r="W48" s="239">
        <v>4283.18</v>
      </c>
      <c r="X48" s="236">
        <v>490</v>
      </c>
      <c r="Y48" s="244">
        <f t="shared" si="4"/>
        <v>40187.5</v>
      </c>
      <c r="Z48" s="239">
        <f>RICavMilestoneVal+CavityStatus[[#This Row],[Incentive Earned]]+CavityStatus[[#This Row],[Recipe Modification (Mod 9)]]+X48</f>
        <v>47230.68</v>
      </c>
      <c r="AA48" s="242">
        <v>42788</v>
      </c>
      <c r="AB48" s="241"/>
      <c r="AE48" s="115">
        <f t="shared" si="2"/>
        <v>490</v>
      </c>
    </row>
    <row r="49" spans="1:31" x14ac:dyDescent="0.25">
      <c r="A49" s="232">
        <v>48</v>
      </c>
      <c r="B49" s="233" t="s">
        <v>285</v>
      </c>
      <c r="C49" s="233" t="s">
        <v>123</v>
      </c>
      <c r="D49" s="233"/>
      <c r="E49" s="233"/>
      <c r="F49" s="233"/>
      <c r="G49" s="243">
        <v>42678</v>
      </c>
      <c r="H49" s="233"/>
      <c r="I49" s="233"/>
      <c r="J49" s="233"/>
      <c r="K49" s="234"/>
      <c r="L49" s="233" t="s">
        <v>132</v>
      </c>
      <c r="M49" s="233">
        <v>14</v>
      </c>
      <c r="N49" s="235">
        <v>42732</v>
      </c>
      <c r="O49" s="235">
        <v>42720</v>
      </c>
      <c r="P49" s="238">
        <f>IF(CavityStatus[[#This Row],[Actual Ship Date]]&lt;&gt;0,($O49-$N49)/7,0)</f>
        <v>-1.7142857142857142</v>
      </c>
      <c r="Q49" s="236">
        <v>2270</v>
      </c>
      <c r="R49" s="236">
        <f t="shared" si="3"/>
        <v>2270</v>
      </c>
      <c r="S49" s="237">
        <v>42746</v>
      </c>
      <c r="T49" s="233">
        <v>18</v>
      </c>
      <c r="U49" s="239">
        <v>40187.5</v>
      </c>
      <c r="V49" s="233" t="s">
        <v>387</v>
      </c>
      <c r="W49" s="239">
        <v>4283.18</v>
      </c>
      <c r="X49" s="236">
        <v>490</v>
      </c>
      <c r="Y49" s="244">
        <f t="shared" si="4"/>
        <v>40187.5</v>
      </c>
      <c r="Z49" s="239">
        <f>RICavMilestoneVal+CavityStatus[[#This Row],[Incentive Earned]]+CavityStatus[[#This Row],[Recipe Modification (Mod 9)]]+X49</f>
        <v>47230.68</v>
      </c>
      <c r="AA49" s="242">
        <v>42788</v>
      </c>
      <c r="AB49" s="241"/>
      <c r="AE49" s="115">
        <f t="shared" si="2"/>
        <v>490</v>
      </c>
    </row>
    <row r="50" spans="1:31" x14ac:dyDescent="0.25">
      <c r="A50" s="232">
        <v>49</v>
      </c>
      <c r="B50" s="233" t="s">
        <v>283</v>
      </c>
      <c r="C50" s="233" t="s">
        <v>123</v>
      </c>
      <c r="D50" s="233"/>
      <c r="E50" s="233"/>
      <c r="F50" s="233"/>
      <c r="G50" s="233"/>
      <c r="H50" s="233"/>
      <c r="I50" s="233"/>
      <c r="J50" s="233"/>
      <c r="K50" s="234"/>
      <c r="L50" s="233" t="s">
        <v>132</v>
      </c>
      <c r="M50" s="233">
        <v>13</v>
      </c>
      <c r="N50" s="235">
        <v>42732</v>
      </c>
      <c r="O50" s="235">
        <v>42746</v>
      </c>
      <c r="P50" s="238">
        <f>IF(CavityStatus[[#This Row],[Actual Ship Date]]&lt;&gt;0,($O50-$N50)/7,0)</f>
        <v>2</v>
      </c>
      <c r="Q50" s="236">
        <v>2270</v>
      </c>
      <c r="R50" s="236">
        <v>2270</v>
      </c>
      <c r="S50" s="237">
        <v>42754</v>
      </c>
      <c r="T50" s="233">
        <v>18</v>
      </c>
      <c r="U50" s="239">
        <v>40187.5</v>
      </c>
      <c r="V50" s="233" t="s">
        <v>386</v>
      </c>
      <c r="W50" s="239">
        <v>4283.18</v>
      </c>
      <c r="X50" s="236">
        <v>490</v>
      </c>
      <c r="Y50" s="244">
        <f t="shared" si="4"/>
        <v>40187.5</v>
      </c>
      <c r="Z50" s="239">
        <f>RICavMilestoneVal+CavityStatus[[#This Row],[Incentive Earned]]+CavityStatus[[#This Row],[Recipe Modification (Mod 9)]]+X50</f>
        <v>47230.68</v>
      </c>
      <c r="AA50" s="242">
        <v>42788</v>
      </c>
      <c r="AB50" s="241"/>
      <c r="AE50" s="115">
        <f t="shared" si="2"/>
        <v>490</v>
      </c>
    </row>
    <row r="51" spans="1:31" x14ac:dyDescent="0.25">
      <c r="A51" s="232">
        <v>50</v>
      </c>
      <c r="B51" s="233" t="s">
        <v>287</v>
      </c>
      <c r="C51" s="233" t="s">
        <v>123</v>
      </c>
      <c r="D51" s="233"/>
      <c r="E51" s="233"/>
      <c r="F51" s="233"/>
      <c r="G51" s="233"/>
      <c r="H51" s="233"/>
      <c r="I51" s="233"/>
      <c r="J51" s="233"/>
      <c r="K51" s="234"/>
      <c r="L51" s="233" t="s">
        <v>132</v>
      </c>
      <c r="M51" s="233">
        <v>14</v>
      </c>
      <c r="N51" s="235">
        <v>42732</v>
      </c>
      <c r="O51" s="235">
        <v>42746</v>
      </c>
      <c r="P51" s="238">
        <f>IF(CavityStatus[[#This Row],[Actual Ship Date]]&lt;&gt;0,($O51-$N51)/7,0)</f>
        <v>2</v>
      </c>
      <c r="Q51" s="236">
        <v>2270</v>
      </c>
      <c r="R51" s="236">
        <v>2270</v>
      </c>
      <c r="S51" s="237">
        <v>42754</v>
      </c>
      <c r="T51" s="235"/>
      <c r="U51" s="235"/>
      <c r="V51" s="233" t="s">
        <v>386</v>
      </c>
      <c r="W51" s="239">
        <v>4283.18</v>
      </c>
      <c r="X51" s="236">
        <v>490</v>
      </c>
      <c r="Y51" s="244">
        <f t="shared" si="4"/>
        <v>40187.5</v>
      </c>
      <c r="Z51" s="239">
        <f>RICavMilestoneVal+CavityStatus[[#This Row],[Incentive Earned]]+CavityStatus[[#This Row],[Recipe Modification (Mod 9)]]+X51</f>
        <v>47230.68</v>
      </c>
      <c r="AA51" s="242">
        <v>42788</v>
      </c>
      <c r="AB51" s="241"/>
      <c r="AE51" s="115">
        <f t="shared" si="2"/>
        <v>490</v>
      </c>
    </row>
    <row r="52" spans="1:31" x14ac:dyDescent="0.25">
      <c r="A52" s="232">
        <v>51</v>
      </c>
      <c r="B52" s="233" t="s">
        <v>288</v>
      </c>
      <c r="C52" s="233" t="s">
        <v>123</v>
      </c>
      <c r="D52" s="233"/>
      <c r="E52" s="233"/>
      <c r="F52" s="233"/>
      <c r="G52" s="233"/>
      <c r="H52" s="233"/>
      <c r="I52" s="233"/>
      <c r="J52" s="233"/>
      <c r="K52" s="234"/>
      <c r="L52" s="233" t="s">
        <v>132</v>
      </c>
      <c r="M52" s="233">
        <v>14</v>
      </c>
      <c r="N52" s="235">
        <v>42732</v>
      </c>
      <c r="O52" s="235">
        <v>42746</v>
      </c>
      <c r="P52" s="238">
        <f>IF(CavityStatus[[#This Row],[Actual Ship Date]]&lt;&gt;0,($O52-$N52)/7,0)</f>
        <v>2</v>
      </c>
      <c r="Q52" s="236">
        <v>2270</v>
      </c>
      <c r="R52" s="236">
        <v>2270</v>
      </c>
      <c r="S52" s="237">
        <v>42754</v>
      </c>
      <c r="T52" s="235"/>
      <c r="U52" s="235"/>
      <c r="V52" s="233" t="s">
        <v>386</v>
      </c>
      <c r="W52" s="239">
        <v>4283.18</v>
      </c>
      <c r="X52" s="236">
        <v>490</v>
      </c>
      <c r="Y52" s="244">
        <f t="shared" si="4"/>
        <v>40187.5</v>
      </c>
      <c r="Z52" s="239">
        <f>RICavMilestoneVal+CavityStatus[[#This Row],[Incentive Earned]]+CavityStatus[[#This Row],[Recipe Modification (Mod 9)]]+X52</f>
        <v>47230.68</v>
      </c>
      <c r="AA52" s="242">
        <v>42788</v>
      </c>
      <c r="AB52" s="241"/>
      <c r="AE52" s="115">
        <f t="shared" si="2"/>
        <v>490</v>
      </c>
    </row>
    <row r="53" spans="1:31" x14ac:dyDescent="0.25">
      <c r="A53" s="232">
        <v>52</v>
      </c>
      <c r="B53" s="233" t="s">
        <v>289</v>
      </c>
      <c r="C53" s="233" t="s">
        <v>123</v>
      </c>
      <c r="D53" s="233"/>
      <c r="E53" s="233"/>
      <c r="F53" s="233"/>
      <c r="G53" s="233"/>
      <c r="H53" s="233"/>
      <c r="I53" s="233"/>
      <c r="J53" s="233"/>
      <c r="K53" s="234"/>
      <c r="L53" s="233" t="s">
        <v>132</v>
      </c>
      <c r="M53" s="233">
        <v>14</v>
      </c>
      <c r="N53" s="235">
        <v>42732</v>
      </c>
      <c r="O53" s="235">
        <v>42746</v>
      </c>
      <c r="P53" s="238">
        <f>IF(CavityStatus[[#This Row],[Actual Ship Date]]&lt;&gt;0,($O53-$N53)/7,0)</f>
        <v>2</v>
      </c>
      <c r="Q53" s="236">
        <v>2270</v>
      </c>
      <c r="R53" s="236">
        <v>2270</v>
      </c>
      <c r="S53" s="237">
        <v>42754</v>
      </c>
      <c r="T53" s="235"/>
      <c r="U53" s="235"/>
      <c r="V53" s="233" t="s">
        <v>386</v>
      </c>
      <c r="W53" s="239">
        <v>4283.18</v>
      </c>
      <c r="X53" s="236">
        <v>490</v>
      </c>
      <c r="Y53" s="244">
        <f t="shared" si="4"/>
        <v>40187.5</v>
      </c>
      <c r="Z53" s="239">
        <f>RICavMilestoneVal+CavityStatus[[#This Row],[Incentive Earned]]+CavityStatus[[#This Row],[Recipe Modification (Mod 9)]]+X53</f>
        <v>47230.68</v>
      </c>
      <c r="AA53" s="242">
        <v>42788</v>
      </c>
      <c r="AB53" s="241"/>
      <c r="AE53" s="115">
        <f t="shared" si="2"/>
        <v>490</v>
      </c>
    </row>
    <row r="54" spans="1:31" x14ac:dyDescent="0.25">
      <c r="A54" s="232"/>
      <c r="B54" s="233" t="s">
        <v>290</v>
      </c>
      <c r="C54" s="233" t="s">
        <v>123</v>
      </c>
      <c r="D54" s="233"/>
      <c r="E54" s="233"/>
      <c r="F54" s="233"/>
      <c r="G54" s="233"/>
      <c r="H54" s="233"/>
      <c r="I54" s="233"/>
      <c r="J54" s="233"/>
      <c r="K54" s="234"/>
      <c r="L54" s="233"/>
      <c r="M54" s="233"/>
      <c r="N54" s="235">
        <v>42760</v>
      </c>
      <c r="O54" s="235"/>
      <c r="P54" s="235">
        <f>IF(CavityStatus[[#This Row],[Actual Ship Date]]&lt;&gt;0,($O54-$N54)/7,0)</f>
        <v>0</v>
      </c>
      <c r="Q54" s="236">
        <v>1000</v>
      </c>
      <c r="R54" s="236">
        <f t="shared" si="3"/>
        <v>1000</v>
      </c>
      <c r="S54" s="237"/>
      <c r="T54" s="235"/>
      <c r="U54" s="235"/>
      <c r="V54" s="233" t="s">
        <v>386</v>
      </c>
      <c r="W54" s="239">
        <v>4283.18</v>
      </c>
      <c r="X54" s="239">
        <v>490</v>
      </c>
      <c r="Y54" s="239">
        <f t="shared" si="4"/>
        <v>40187.5</v>
      </c>
      <c r="Z54" s="239">
        <f>RICavMilestoneVal+CavityStatus[[#This Row],[Incentive Earned]]+CavityStatus[[#This Row],[Recipe Modification (Mod 9)]]+X54</f>
        <v>45960.68</v>
      </c>
      <c r="AA54" s="242"/>
      <c r="AB54" s="241"/>
      <c r="AE54" s="115">
        <f t="shared" si="2"/>
        <v>490</v>
      </c>
    </row>
    <row r="55" spans="1:31" x14ac:dyDescent="0.25">
      <c r="A55" s="232"/>
      <c r="B55" s="233" t="s">
        <v>291</v>
      </c>
      <c r="C55" s="233" t="s">
        <v>123</v>
      </c>
      <c r="D55" s="233"/>
      <c r="E55" s="233"/>
      <c r="F55" s="233"/>
      <c r="G55" s="233"/>
      <c r="H55" s="233"/>
      <c r="I55" s="233"/>
      <c r="J55" s="233"/>
      <c r="K55" s="234"/>
      <c r="L55" s="233"/>
      <c r="M55" s="233"/>
      <c r="N55" s="235">
        <v>42760</v>
      </c>
      <c r="O55" s="235"/>
      <c r="P55" s="235">
        <f>IF(CavityStatus[[#This Row],[Actual Ship Date]]&lt;&gt;0,($O55-$N55)/7,0)</f>
        <v>0</v>
      </c>
      <c r="Q55" s="236">
        <v>1000</v>
      </c>
      <c r="R55" s="236">
        <f t="shared" si="3"/>
        <v>1000</v>
      </c>
      <c r="S55" s="237"/>
      <c r="T55" s="235"/>
      <c r="U55" s="235"/>
      <c r="V55" s="233" t="s">
        <v>386</v>
      </c>
      <c r="W55" s="239">
        <v>4283.18</v>
      </c>
      <c r="X55" s="239">
        <v>490</v>
      </c>
      <c r="Y55" s="239">
        <f t="shared" si="4"/>
        <v>40187.5</v>
      </c>
      <c r="Z55" s="239">
        <f>RICavMilestoneVal+CavityStatus[[#This Row],[Incentive Earned]]+CavityStatus[[#This Row],[Recipe Modification (Mod 9)]]+X55</f>
        <v>45960.68</v>
      </c>
      <c r="AA55" s="242"/>
      <c r="AB55" s="241"/>
      <c r="AE55" s="115">
        <f t="shared" si="2"/>
        <v>490</v>
      </c>
    </row>
    <row r="56" spans="1:31" x14ac:dyDescent="0.25">
      <c r="A56" s="232"/>
      <c r="B56" s="233" t="s">
        <v>292</v>
      </c>
      <c r="C56" s="233" t="s">
        <v>123</v>
      </c>
      <c r="D56" s="233"/>
      <c r="E56" s="233"/>
      <c r="F56" s="233"/>
      <c r="G56" s="233"/>
      <c r="H56" s="233"/>
      <c r="I56" s="233"/>
      <c r="J56" s="233"/>
      <c r="K56" s="234"/>
      <c r="L56" s="233"/>
      <c r="M56" s="233"/>
      <c r="N56" s="235">
        <v>42760</v>
      </c>
      <c r="O56" s="235"/>
      <c r="P56" s="235">
        <f>IF(CavityStatus[[#This Row],[Actual Ship Date]]&lt;&gt;0,($O56-$N56)/7,0)</f>
        <v>0</v>
      </c>
      <c r="Q56" s="236">
        <v>1000</v>
      </c>
      <c r="R56" s="236">
        <f t="shared" si="3"/>
        <v>1000</v>
      </c>
      <c r="S56" s="237"/>
      <c r="T56" s="235"/>
      <c r="U56" s="235"/>
      <c r="V56" s="233" t="s">
        <v>386</v>
      </c>
      <c r="W56" s="239">
        <v>4283.18</v>
      </c>
      <c r="X56" s="239">
        <v>490</v>
      </c>
      <c r="Y56" s="239">
        <f t="shared" si="4"/>
        <v>40187.5</v>
      </c>
      <c r="Z56" s="239">
        <f>RICavMilestoneVal+CavityStatus[[#This Row],[Incentive Earned]]+CavityStatus[[#This Row],[Recipe Modification (Mod 9)]]+X56</f>
        <v>45960.68</v>
      </c>
      <c r="AA56" s="242"/>
      <c r="AB56" s="241"/>
      <c r="AE56" s="115">
        <f t="shared" si="2"/>
        <v>490</v>
      </c>
    </row>
    <row r="57" spans="1:31" x14ac:dyDescent="0.25">
      <c r="A57" s="232"/>
      <c r="B57" s="233" t="s">
        <v>293</v>
      </c>
      <c r="C57" s="233" t="s">
        <v>123</v>
      </c>
      <c r="D57" s="233"/>
      <c r="E57" s="233"/>
      <c r="F57" s="233"/>
      <c r="G57" s="233"/>
      <c r="H57" s="233"/>
      <c r="I57" s="233"/>
      <c r="J57" s="233"/>
      <c r="K57" s="234"/>
      <c r="L57" s="233"/>
      <c r="M57" s="233"/>
      <c r="N57" s="235">
        <v>42760</v>
      </c>
      <c r="O57" s="235"/>
      <c r="P57" s="235">
        <f>IF(CavityStatus[[#This Row],[Actual Ship Date]]&lt;&gt;0,($O57-$N57)/7,0)</f>
        <v>0</v>
      </c>
      <c r="Q57" s="236">
        <v>1000</v>
      </c>
      <c r="R57" s="236">
        <f t="shared" si="3"/>
        <v>1000</v>
      </c>
      <c r="S57" s="237"/>
      <c r="T57" s="235"/>
      <c r="U57" s="235"/>
      <c r="V57" s="233" t="s">
        <v>386</v>
      </c>
      <c r="W57" s="239">
        <v>4283.18</v>
      </c>
      <c r="X57" s="239">
        <v>490</v>
      </c>
      <c r="Y57" s="239">
        <f t="shared" si="4"/>
        <v>40187.5</v>
      </c>
      <c r="Z57" s="239">
        <f>RICavMilestoneVal+CavityStatus[[#This Row],[Incentive Earned]]+CavityStatus[[#This Row],[Recipe Modification (Mod 9)]]+X57</f>
        <v>45960.68</v>
      </c>
      <c r="AA57" s="242"/>
      <c r="AB57" s="241"/>
      <c r="AE57" s="115">
        <f t="shared" si="2"/>
        <v>490</v>
      </c>
    </row>
    <row r="58" spans="1:31" x14ac:dyDescent="0.25">
      <c r="A58" s="232"/>
      <c r="B58" s="233" t="s">
        <v>294</v>
      </c>
      <c r="C58" s="233" t="s">
        <v>123</v>
      </c>
      <c r="D58" s="233"/>
      <c r="E58" s="233"/>
      <c r="F58" s="233"/>
      <c r="G58" s="233"/>
      <c r="H58" s="233"/>
      <c r="I58" s="233"/>
      <c r="J58" s="233"/>
      <c r="K58" s="234"/>
      <c r="L58" s="233"/>
      <c r="M58" s="233"/>
      <c r="N58" s="235">
        <v>42760</v>
      </c>
      <c r="O58" s="235"/>
      <c r="P58" s="235">
        <f>IF(CavityStatus[[#This Row],[Actual Ship Date]]&lt;&gt;0,($O58-$N58)/7,0)</f>
        <v>0</v>
      </c>
      <c r="Q58" s="236">
        <v>1000</v>
      </c>
      <c r="R58" s="236">
        <f t="shared" si="3"/>
        <v>1000</v>
      </c>
      <c r="S58" s="237"/>
      <c r="T58" s="235"/>
      <c r="U58" s="235"/>
      <c r="V58" s="233" t="s">
        <v>386</v>
      </c>
      <c r="W58" s="239">
        <v>4283.18</v>
      </c>
      <c r="X58" s="239">
        <v>490</v>
      </c>
      <c r="Y58" s="239">
        <f t="shared" si="4"/>
        <v>40187.5</v>
      </c>
      <c r="Z58" s="239">
        <f>RICavMilestoneVal+CavityStatus[[#This Row],[Incentive Earned]]+CavityStatus[[#This Row],[Recipe Modification (Mod 9)]]+X58</f>
        <v>45960.68</v>
      </c>
      <c r="AA58" s="242"/>
      <c r="AB58" s="241"/>
      <c r="AE58" s="115">
        <f t="shared" si="2"/>
        <v>490</v>
      </c>
    </row>
    <row r="59" spans="1:31" x14ac:dyDescent="0.25">
      <c r="A59" s="232"/>
      <c r="B59" s="233" t="s">
        <v>295</v>
      </c>
      <c r="C59" s="233" t="s">
        <v>123</v>
      </c>
      <c r="D59" s="233"/>
      <c r="E59" s="233"/>
      <c r="F59" s="233"/>
      <c r="G59" s="233"/>
      <c r="H59" s="233"/>
      <c r="I59" s="233"/>
      <c r="J59" s="233"/>
      <c r="K59" s="234"/>
      <c r="L59" s="233"/>
      <c r="M59" s="233"/>
      <c r="N59" s="235">
        <v>42760</v>
      </c>
      <c r="O59" s="235"/>
      <c r="P59" s="235">
        <f>IF(CavityStatus[[#This Row],[Actual Ship Date]]&lt;&gt;0,($O59-$N59)/7,0)</f>
        <v>0</v>
      </c>
      <c r="Q59" s="236">
        <v>1000</v>
      </c>
      <c r="R59" s="236">
        <f t="shared" si="3"/>
        <v>1000</v>
      </c>
      <c r="S59" s="237"/>
      <c r="T59" s="235"/>
      <c r="U59" s="235"/>
      <c r="V59" s="233" t="s">
        <v>386</v>
      </c>
      <c r="W59" s="239">
        <v>4283.18</v>
      </c>
      <c r="X59" s="239">
        <v>490</v>
      </c>
      <c r="Y59" s="239">
        <f t="shared" si="4"/>
        <v>40187.5</v>
      </c>
      <c r="Z59" s="239">
        <f>RICavMilestoneVal+CavityStatus[[#This Row],[Incentive Earned]]+CavityStatus[[#This Row],[Recipe Modification (Mod 9)]]+X59</f>
        <v>45960.68</v>
      </c>
      <c r="AA59" s="242"/>
      <c r="AB59" s="241"/>
      <c r="AE59" s="115">
        <f t="shared" si="2"/>
        <v>490</v>
      </c>
    </row>
    <row r="60" spans="1:31" x14ac:dyDescent="0.25">
      <c r="A60" s="232"/>
      <c r="B60" s="233" t="s">
        <v>296</v>
      </c>
      <c r="C60" s="233" t="s">
        <v>123</v>
      </c>
      <c r="D60" s="233"/>
      <c r="E60" s="233"/>
      <c r="F60" s="233"/>
      <c r="G60" s="233"/>
      <c r="H60" s="233"/>
      <c r="I60" s="233"/>
      <c r="J60" s="233"/>
      <c r="K60" s="234"/>
      <c r="L60" s="233"/>
      <c r="M60" s="233"/>
      <c r="N60" s="235">
        <v>42760</v>
      </c>
      <c r="O60" s="235"/>
      <c r="P60" s="235">
        <f>IF(CavityStatus[[#This Row],[Actual Ship Date]]&lt;&gt;0,($O60-$N60)/7,0)</f>
        <v>0</v>
      </c>
      <c r="Q60" s="236">
        <v>1000</v>
      </c>
      <c r="R60" s="236">
        <f t="shared" si="3"/>
        <v>1000</v>
      </c>
      <c r="S60" s="237"/>
      <c r="T60" s="235"/>
      <c r="U60" s="235"/>
      <c r="V60" s="233" t="s">
        <v>386</v>
      </c>
      <c r="W60" s="239">
        <v>4283.18</v>
      </c>
      <c r="X60" s="239">
        <v>490</v>
      </c>
      <c r="Y60" s="239">
        <f t="shared" si="4"/>
        <v>40187.5</v>
      </c>
      <c r="Z60" s="239">
        <f>RICavMilestoneVal+CavityStatus[[#This Row],[Incentive Earned]]+CavityStatus[[#This Row],[Recipe Modification (Mod 9)]]+X60</f>
        <v>45960.68</v>
      </c>
      <c r="AA60" s="242"/>
      <c r="AB60" s="241"/>
      <c r="AE60" s="115">
        <f t="shared" si="2"/>
        <v>490</v>
      </c>
    </row>
    <row r="61" spans="1:31" x14ac:dyDescent="0.25">
      <c r="A61" s="232"/>
      <c r="B61" s="233" t="s">
        <v>297</v>
      </c>
      <c r="C61" s="233" t="s">
        <v>123</v>
      </c>
      <c r="D61" s="233"/>
      <c r="E61" s="233"/>
      <c r="F61" s="233"/>
      <c r="G61" s="233"/>
      <c r="H61" s="233"/>
      <c r="I61" s="233"/>
      <c r="J61" s="233"/>
      <c r="K61" s="234"/>
      <c r="L61" s="233"/>
      <c r="M61" s="233"/>
      <c r="N61" s="235">
        <v>42760</v>
      </c>
      <c r="O61" s="235"/>
      <c r="P61" s="235">
        <f>IF(CavityStatus[[#This Row],[Actual Ship Date]]&lt;&gt;0,($O61-$N61)/7,0)</f>
        <v>0</v>
      </c>
      <c r="Q61" s="236">
        <v>1000</v>
      </c>
      <c r="R61" s="236">
        <f t="shared" si="3"/>
        <v>1000</v>
      </c>
      <c r="S61" s="237"/>
      <c r="T61" s="235"/>
      <c r="U61" s="235"/>
      <c r="V61" s="233" t="s">
        <v>386</v>
      </c>
      <c r="W61" s="239">
        <v>4283.18</v>
      </c>
      <c r="X61" s="239">
        <v>490</v>
      </c>
      <c r="Y61" s="239">
        <f t="shared" si="4"/>
        <v>40187.5</v>
      </c>
      <c r="Z61" s="239">
        <f>RICavMilestoneVal+CavityStatus[[#This Row],[Incentive Earned]]+CavityStatus[[#This Row],[Recipe Modification (Mod 9)]]+X61</f>
        <v>45960.68</v>
      </c>
      <c r="AA61" s="242"/>
      <c r="AB61" s="241"/>
      <c r="AE61" s="115">
        <f t="shared" si="2"/>
        <v>490</v>
      </c>
    </row>
    <row r="62" spans="1:31" x14ac:dyDescent="0.25">
      <c r="A62" s="232"/>
      <c r="B62" s="233" t="s">
        <v>298</v>
      </c>
      <c r="C62" s="233" t="s">
        <v>123</v>
      </c>
      <c r="D62" s="233"/>
      <c r="E62" s="233"/>
      <c r="F62" s="233"/>
      <c r="G62" s="233"/>
      <c r="H62" s="233"/>
      <c r="I62" s="233"/>
      <c r="J62" s="233"/>
      <c r="K62" s="234"/>
      <c r="L62" s="233"/>
      <c r="M62" s="233"/>
      <c r="N62" s="235">
        <v>42760</v>
      </c>
      <c r="O62" s="235"/>
      <c r="P62" s="235">
        <f>IF(CavityStatus[[#This Row],[Actual Ship Date]]&lt;&gt;0,($O62-$N62)/7,0)</f>
        <v>0</v>
      </c>
      <c r="Q62" s="236">
        <v>1000</v>
      </c>
      <c r="R62" s="236">
        <f t="shared" si="3"/>
        <v>1000</v>
      </c>
      <c r="S62" s="237"/>
      <c r="T62" s="235"/>
      <c r="U62" s="235"/>
      <c r="V62" s="233" t="s">
        <v>386</v>
      </c>
      <c r="W62" s="239">
        <v>4283.18</v>
      </c>
      <c r="X62" s="239">
        <v>490</v>
      </c>
      <c r="Y62" s="239">
        <f t="shared" si="4"/>
        <v>40187.5</v>
      </c>
      <c r="Z62" s="239">
        <f>RICavMilestoneVal+CavityStatus[[#This Row],[Incentive Earned]]+CavityStatus[[#This Row],[Recipe Modification (Mod 9)]]+X62</f>
        <v>45960.68</v>
      </c>
      <c r="AA62" s="242"/>
      <c r="AB62" s="241"/>
      <c r="AE62" s="115">
        <f t="shared" si="2"/>
        <v>490</v>
      </c>
    </row>
    <row r="63" spans="1:31" x14ac:dyDescent="0.25">
      <c r="A63" s="232"/>
      <c r="B63" s="233" t="s">
        <v>299</v>
      </c>
      <c r="C63" s="233" t="s">
        <v>123</v>
      </c>
      <c r="D63" s="233"/>
      <c r="E63" s="233"/>
      <c r="F63" s="233"/>
      <c r="G63" s="233"/>
      <c r="H63" s="233"/>
      <c r="I63" s="233"/>
      <c r="J63" s="233"/>
      <c r="K63" s="234"/>
      <c r="L63" s="233"/>
      <c r="M63" s="233"/>
      <c r="N63" s="235">
        <v>42760</v>
      </c>
      <c r="O63" s="235"/>
      <c r="P63" s="235">
        <f>IF(CavityStatus[[#This Row],[Actual Ship Date]]&lt;&gt;0,($O63-$N63)/7,0)</f>
        <v>0</v>
      </c>
      <c r="Q63" s="236">
        <v>1000</v>
      </c>
      <c r="R63" s="236">
        <f t="shared" si="3"/>
        <v>1000</v>
      </c>
      <c r="S63" s="237"/>
      <c r="T63" s="235"/>
      <c r="U63" s="235"/>
      <c r="V63" s="233" t="s">
        <v>386</v>
      </c>
      <c r="W63" s="239">
        <v>4283.18</v>
      </c>
      <c r="X63" s="239">
        <v>490</v>
      </c>
      <c r="Y63" s="239">
        <f t="shared" si="4"/>
        <v>40187.5</v>
      </c>
      <c r="Z63" s="239">
        <f>RICavMilestoneVal+CavityStatus[[#This Row],[Incentive Earned]]+CavityStatus[[#This Row],[Recipe Modification (Mod 9)]]+X63</f>
        <v>45960.68</v>
      </c>
      <c r="AA63" s="242"/>
      <c r="AB63" s="241"/>
      <c r="AE63" s="115">
        <f t="shared" si="2"/>
        <v>490</v>
      </c>
    </row>
    <row r="64" spans="1:31" x14ac:dyDescent="0.25">
      <c r="A64" s="232"/>
      <c r="B64" s="233" t="s">
        <v>300</v>
      </c>
      <c r="C64" s="233" t="s">
        <v>123</v>
      </c>
      <c r="D64" s="233"/>
      <c r="E64" s="233"/>
      <c r="F64" s="233"/>
      <c r="G64" s="233"/>
      <c r="H64" s="233"/>
      <c r="I64" s="233"/>
      <c r="J64" s="233"/>
      <c r="K64" s="234"/>
      <c r="L64" s="233"/>
      <c r="M64" s="233"/>
      <c r="N64" s="235">
        <v>42760</v>
      </c>
      <c r="O64" s="235"/>
      <c r="P64" s="235">
        <f>IF(CavityStatus[[#This Row],[Actual Ship Date]]&lt;&gt;0,($O64-$N64)/7,0)</f>
        <v>0</v>
      </c>
      <c r="Q64" s="236">
        <v>1000</v>
      </c>
      <c r="R64" s="236">
        <f t="shared" si="3"/>
        <v>1000</v>
      </c>
      <c r="S64" s="237"/>
      <c r="T64" s="235"/>
      <c r="U64" s="235"/>
      <c r="V64" s="233" t="s">
        <v>386</v>
      </c>
      <c r="W64" s="239">
        <v>4283.18</v>
      </c>
      <c r="X64" s="239">
        <v>490</v>
      </c>
      <c r="Y64" s="239">
        <f t="shared" si="4"/>
        <v>40187.5</v>
      </c>
      <c r="Z64" s="239">
        <f>RICavMilestoneVal+CavityStatus[[#This Row],[Incentive Earned]]+CavityStatus[[#This Row],[Recipe Modification (Mod 9)]]+X64</f>
        <v>45960.68</v>
      </c>
      <c r="AA64" s="242"/>
      <c r="AB64" s="241"/>
      <c r="AE64" s="115">
        <f t="shared" si="2"/>
        <v>490</v>
      </c>
    </row>
    <row r="65" spans="1:31" x14ac:dyDescent="0.25">
      <c r="A65" s="232"/>
      <c r="B65" s="233" t="s">
        <v>301</v>
      </c>
      <c r="C65" s="233" t="s">
        <v>123</v>
      </c>
      <c r="D65" s="233"/>
      <c r="E65" s="233"/>
      <c r="F65" s="233"/>
      <c r="G65" s="233"/>
      <c r="H65" s="233"/>
      <c r="I65" s="233"/>
      <c r="J65" s="233"/>
      <c r="K65" s="234"/>
      <c r="L65" s="233"/>
      <c r="M65" s="233"/>
      <c r="N65" s="235">
        <v>42760</v>
      </c>
      <c r="O65" s="235"/>
      <c r="P65" s="235">
        <f>IF(CavityStatus[[#This Row],[Actual Ship Date]]&lt;&gt;0,($O65-$N65)/7,0)</f>
        <v>0</v>
      </c>
      <c r="Q65" s="236">
        <v>1000</v>
      </c>
      <c r="R65" s="236">
        <f t="shared" si="3"/>
        <v>1000</v>
      </c>
      <c r="S65" s="237"/>
      <c r="T65" s="235"/>
      <c r="U65" s="235"/>
      <c r="V65" s="233" t="s">
        <v>386</v>
      </c>
      <c r="W65" s="239">
        <v>4283.18</v>
      </c>
      <c r="X65" s="239">
        <v>490</v>
      </c>
      <c r="Y65" s="239">
        <f t="shared" si="4"/>
        <v>40187.5</v>
      </c>
      <c r="Z65" s="239">
        <f>RICavMilestoneVal+CavityStatus[[#This Row],[Incentive Earned]]+CavityStatus[[#This Row],[Recipe Modification (Mod 9)]]+X65</f>
        <v>45960.68</v>
      </c>
      <c r="AA65" s="242"/>
      <c r="AB65" s="241"/>
      <c r="AE65" s="115">
        <f t="shared" si="2"/>
        <v>490</v>
      </c>
    </row>
    <row r="66" spans="1:31" x14ac:dyDescent="0.25">
      <c r="A66" s="232"/>
      <c r="B66" s="233" t="s">
        <v>302</v>
      </c>
      <c r="C66" s="233" t="s">
        <v>123</v>
      </c>
      <c r="D66" s="233"/>
      <c r="E66" s="233"/>
      <c r="F66" s="233"/>
      <c r="G66" s="233"/>
      <c r="H66" s="233"/>
      <c r="I66" s="233"/>
      <c r="J66" s="233"/>
      <c r="K66" s="234"/>
      <c r="L66" s="233"/>
      <c r="M66" s="233"/>
      <c r="N66" s="235">
        <v>42788</v>
      </c>
      <c r="O66" s="235"/>
      <c r="P66" s="235">
        <f>IF(CavityStatus[[#This Row],[Actual Ship Date]]&lt;&gt;0,($O66-$N66)/7,0)</f>
        <v>0</v>
      </c>
      <c r="Q66" s="236">
        <v>1000</v>
      </c>
      <c r="R66" s="236">
        <f t="shared" ref="R66:R97" si="5">IF($P66&gt;0,$Q66-($P66*200),$Q66)</f>
        <v>1000</v>
      </c>
      <c r="S66" s="237"/>
      <c r="T66" s="235"/>
      <c r="U66" s="235"/>
      <c r="V66" s="233" t="s">
        <v>386</v>
      </c>
      <c r="W66" s="239">
        <v>4283.18</v>
      </c>
      <c r="X66" s="239">
        <v>490</v>
      </c>
      <c r="Y66" s="239">
        <f t="shared" ref="Y66:Y97" si="6">RICavMilestoneVal</f>
        <v>40187.5</v>
      </c>
      <c r="Z66" s="239">
        <f>RICavMilestoneVal+CavityStatus[[#This Row],[Incentive Earned]]+CavityStatus[[#This Row],[Recipe Modification (Mod 9)]]+X66</f>
        <v>45960.68</v>
      </c>
      <c r="AA66" s="242"/>
      <c r="AB66" s="241"/>
      <c r="AE66" s="115">
        <f t="shared" si="2"/>
        <v>490</v>
      </c>
    </row>
    <row r="67" spans="1:31" x14ac:dyDescent="0.25">
      <c r="A67" s="232"/>
      <c r="B67" s="233" t="s">
        <v>303</v>
      </c>
      <c r="C67" s="233" t="s">
        <v>123</v>
      </c>
      <c r="D67" s="233"/>
      <c r="E67" s="233"/>
      <c r="F67" s="233"/>
      <c r="G67" s="233"/>
      <c r="H67" s="233"/>
      <c r="I67" s="233"/>
      <c r="J67" s="233"/>
      <c r="K67" s="234"/>
      <c r="L67" s="233"/>
      <c r="M67" s="233"/>
      <c r="N67" s="235">
        <v>42788</v>
      </c>
      <c r="O67" s="235"/>
      <c r="P67" s="235">
        <f>IF(CavityStatus[[#This Row],[Actual Ship Date]]&lt;&gt;0,($O67-$N67)/7,0)</f>
        <v>0</v>
      </c>
      <c r="Q67" s="236">
        <v>1000</v>
      </c>
      <c r="R67" s="236">
        <f t="shared" si="5"/>
        <v>1000</v>
      </c>
      <c r="S67" s="237"/>
      <c r="T67" s="235"/>
      <c r="U67" s="235"/>
      <c r="V67" s="233" t="s">
        <v>386</v>
      </c>
      <c r="W67" s="239">
        <v>4283.18</v>
      </c>
      <c r="X67" s="239">
        <v>490</v>
      </c>
      <c r="Y67" s="239">
        <f t="shared" si="6"/>
        <v>40187.5</v>
      </c>
      <c r="Z67" s="239">
        <f>RICavMilestoneVal+CavityStatus[[#This Row],[Incentive Earned]]+CavityStatus[[#This Row],[Recipe Modification (Mod 9)]]+X67</f>
        <v>45960.68</v>
      </c>
      <c r="AA67" s="242"/>
      <c r="AB67" s="241"/>
      <c r="AE67" s="115">
        <f t="shared" si="2"/>
        <v>490</v>
      </c>
    </row>
    <row r="68" spans="1:31" x14ac:dyDescent="0.25">
      <c r="A68" s="232"/>
      <c r="B68" s="233" t="s">
        <v>304</v>
      </c>
      <c r="C68" s="233" t="s">
        <v>305</v>
      </c>
      <c r="D68" s="233"/>
      <c r="E68" s="233"/>
      <c r="F68" s="233"/>
      <c r="G68" s="233"/>
      <c r="H68" s="233"/>
      <c r="I68" s="233"/>
      <c r="J68" s="233"/>
      <c r="K68" s="234"/>
      <c r="L68" s="233"/>
      <c r="M68" s="233"/>
      <c r="N68" s="235">
        <v>42788</v>
      </c>
      <c r="O68" s="235"/>
      <c r="P68" s="235">
        <f>IF(CavityStatus[[#This Row],[Actual Ship Date]]&lt;&gt;0,($O68-$N68)/7,0)</f>
        <v>0</v>
      </c>
      <c r="Q68" s="236">
        <v>1000</v>
      </c>
      <c r="R68" s="236">
        <f t="shared" si="5"/>
        <v>1000</v>
      </c>
      <c r="S68" s="237"/>
      <c r="T68" s="235"/>
      <c r="U68" s="235"/>
      <c r="V68" s="233" t="s">
        <v>386</v>
      </c>
      <c r="W68" s="239">
        <v>4283.18</v>
      </c>
      <c r="X68" s="239">
        <v>490</v>
      </c>
      <c r="Y68" s="239">
        <f t="shared" si="6"/>
        <v>40187.5</v>
      </c>
      <c r="Z68" s="239">
        <f>RICavMilestoneVal+CavityStatus[[#This Row],[Incentive Earned]]+CavityStatus[[#This Row],[Recipe Modification (Mod 9)]]+X68</f>
        <v>45960.68</v>
      </c>
      <c r="AA68" s="242"/>
      <c r="AB68" s="241"/>
      <c r="AE68" s="115">
        <f t="shared" si="2"/>
        <v>490</v>
      </c>
    </row>
    <row r="69" spans="1:31" x14ac:dyDescent="0.25">
      <c r="A69" s="232"/>
      <c r="B69" s="233" t="s">
        <v>306</v>
      </c>
      <c r="C69" s="233" t="s">
        <v>305</v>
      </c>
      <c r="D69" s="233"/>
      <c r="E69" s="233"/>
      <c r="F69" s="233"/>
      <c r="G69" s="233"/>
      <c r="H69" s="233"/>
      <c r="I69" s="233"/>
      <c r="J69" s="233"/>
      <c r="K69" s="234"/>
      <c r="L69" s="233"/>
      <c r="M69" s="233"/>
      <c r="N69" s="235">
        <v>42788</v>
      </c>
      <c r="O69" s="235"/>
      <c r="P69" s="235">
        <f>IF(CavityStatus[[#This Row],[Actual Ship Date]]&lt;&gt;0,($O69-$N69)/7,0)</f>
        <v>0</v>
      </c>
      <c r="Q69" s="236">
        <v>1000</v>
      </c>
      <c r="R69" s="236">
        <f t="shared" si="5"/>
        <v>1000</v>
      </c>
      <c r="S69" s="237"/>
      <c r="T69" s="235"/>
      <c r="U69" s="235"/>
      <c r="V69" s="233" t="s">
        <v>386</v>
      </c>
      <c r="W69" s="239">
        <v>4283.18</v>
      </c>
      <c r="X69" s="239">
        <v>490</v>
      </c>
      <c r="Y69" s="239">
        <f t="shared" si="6"/>
        <v>40187.5</v>
      </c>
      <c r="Z69" s="239">
        <f>RICavMilestoneVal+CavityStatus[[#This Row],[Incentive Earned]]+CavityStatus[[#This Row],[Recipe Modification (Mod 9)]]+X69</f>
        <v>45960.68</v>
      </c>
      <c r="AA69" s="242"/>
      <c r="AB69" s="241"/>
      <c r="AE69" s="115">
        <f t="shared" si="2"/>
        <v>490</v>
      </c>
    </row>
    <row r="70" spans="1:31" x14ac:dyDescent="0.25">
      <c r="A70" s="232"/>
      <c r="B70" s="233" t="s">
        <v>307</v>
      </c>
      <c r="C70" s="233" t="s">
        <v>305</v>
      </c>
      <c r="D70" s="233"/>
      <c r="E70" s="233"/>
      <c r="F70" s="233"/>
      <c r="G70" s="233"/>
      <c r="H70" s="233"/>
      <c r="I70" s="233"/>
      <c r="J70" s="233"/>
      <c r="K70" s="234"/>
      <c r="L70" s="233"/>
      <c r="M70" s="233"/>
      <c r="N70" s="235">
        <v>42788</v>
      </c>
      <c r="O70" s="235"/>
      <c r="P70" s="235">
        <f>IF(CavityStatus[[#This Row],[Actual Ship Date]]&lt;&gt;0,($O70-$N70)/7,0)</f>
        <v>0</v>
      </c>
      <c r="Q70" s="236">
        <v>1000</v>
      </c>
      <c r="R70" s="236">
        <f t="shared" si="5"/>
        <v>1000</v>
      </c>
      <c r="S70" s="237"/>
      <c r="T70" s="235"/>
      <c r="U70" s="235"/>
      <c r="V70" s="233" t="s">
        <v>386</v>
      </c>
      <c r="W70" s="239">
        <v>4283.18</v>
      </c>
      <c r="X70" s="239">
        <v>490</v>
      </c>
      <c r="Y70" s="239">
        <f t="shared" si="6"/>
        <v>40187.5</v>
      </c>
      <c r="Z70" s="239">
        <f>RICavMilestoneVal+CavityStatus[[#This Row],[Incentive Earned]]+CavityStatus[[#This Row],[Recipe Modification (Mod 9)]]+X70</f>
        <v>45960.68</v>
      </c>
      <c r="AA70" s="242"/>
      <c r="AB70" s="241"/>
      <c r="AE70" s="115">
        <f t="shared" si="2"/>
        <v>490</v>
      </c>
    </row>
    <row r="71" spans="1:31" x14ac:dyDescent="0.25">
      <c r="A71" s="232"/>
      <c r="B71" s="233" t="s">
        <v>308</v>
      </c>
      <c r="C71" s="233" t="s">
        <v>305</v>
      </c>
      <c r="D71" s="233"/>
      <c r="E71" s="233"/>
      <c r="F71" s="233"/>
      <c r="G71" s="233"/>
      <c r="H71" s="233"/>
      <c r="I71" s="233"/>
      <c r="J71" s="233"/>
      <c r="K71" s="234"/>
      <c r="L71" s="233"/>
      <c r="M71" s="233"/>
      <c r="N71" s="235">
        <v>42788</v>
      </c>
      <c r="O71" s="235"/>
      <c r="P71" s="235">
        <f>IF(CavityStatus[[#This Row],[Actual Ship Date]]&lt;&gt;0,($O71-$N71)/7,0)</f>
        <v>0</v>
      </c>
      <c r="Q71" s="236">
        <v>1000</v>
      </c>
      <c r="R71" s="236">
        <f t="shared" si="5"/>
        <v>1000</v>
      </c>
      <c r="S71" s="237"/>
      <c r="T71" s="235"/>
      <c r="U71" s="235"/>
      <c r="V71" s="233" t="s">
        <v>386</v>
      </c>
      <c r="W71" s="239">
        <v>4283.18</v>
      </c>
      <c r="X71" s="239">
        <v>490</v>
      </c>
      <c r="Y71" s="239">
        <f t="shared" si="6"/>
        <v>40187.5</v>
      </c>
      <c r="Z71" s="239">
        <f>RICavMilestoneVal+CavityStatus[[#This Row],[Incentive Earned]]+CavityStatus[[#This Row],[Recipe Modification (Mod 9)]]+X71</f>
        <v>45960.68</v>
      </c>
      <c r="AA71" s="242"/>
      <c r="AB71" s="241"/>
      <c r="AE71" s="115">
        <f t="shared" si="2"/>
        <v>490</v>
      </c>
    </row>
    <row r="72" spans="1:31" x14ac:dyDescent="0.25">
      <c r="A72" s="232"/>
      <c r="B72" s="233" t="s">
        <v>309</v>
      </c>
      <c r="C72" s="233" t="s">
        <v>305</v>
      </c>
      <c r="D72" s="233"/>
      <c r="E72" s="233"/>
      <c r="F72" s="233"/>
      <c r="G72" s="233"/>
      <c r="H72" s="233"/>
      <c r="I72" s="233"/>
      <c r="J72" s="233"/>
      <c r="K72" s="234"/>
      <c r="L72" s="233"/>
      <c r="M72" s="233"/>
      <c r="N72" s="235">
        <v>42788</v>
      </c>
      <c r="O72" s="235"/>
      <c r="P72" s="235">
        <f>IF(CavityStatus[[#This Row],[Actual Ship Date]]&lt;&gt;0,($O72-$N72)/7,0)</f>
        <v>0</v>
      </c>
      <c r="Q72" s="236">
        <v>1000</v>
      </c>
      <c r="R72" s="236">
        <f t="shared" si="5"/>
        <v>1000</v>
      </c>
      <c r="S72" s="237"/>
      <c r="T72" s="235"/>
      <c r="U72" s="235"/>
      <c r="V72" s="233" t="s">
        <v>386</v>
      </c>
      <c r="W72" s="239">
        <v>4283.18</v>
      </c>
      <c r="X72" s="239">
        <v>490</v>
      </c>
      <c r="Y72" s="239">
        <f t="shared" si="6"/>
        <v>40187.5</v>
      </c>
      <c r="Z72" s="239">
        <f>RICavMilestoneVal+CavityStatus[[#This Row],[Incentive Earned]]+CavityStatus[[#This Row],[Recipe Modification (Mod 9)]]+X72</f>
        <v>45960.68</v>
      </c>
      <c r="AA72" s="242"/>
      <c r="AB72" s="241"/>
      <c r="AE72" s="115">
        <f t="shared" si="2"/>
        <v>490</v>
      </c>
    </row>
    <row r="73" spans="1:31" x14ac:dyDescent="0.25">
      <c r="A73" s="232"/>
      <c r="B73" s="233" t="s">
        <v>310</v>
      </c>
      <c r="C73" s="233" t="s">
        <v>305</v>
      </c>
      <c r="D73" s="233"/>
      <c r="E73" s="233"/>
      <c r="F73" s="233"/>
      <c r="G73" s="233"/>
      <c r="H73" s="233"/>
      <c r="I73" s="233"/>
      <c r="J73" s="233"/>
      <c r="K73" s="234"/>
      <c r="L73" s="233"/>
      <c r="M73" s="233"/>
      <c r="N73" s="235">
        <v>42788</v>
      </c>
      <c r="O73" s="235"/>
      <c r="P73" s="235">
        <f>IF(CavityStatus[[#This Row],[Actual Ship Date]]&lt;&gt;0,($O73-$N73)/7,0)</f>
        <v>0</v>
      </c>
      <c r="Q73" s="236">
        <v>1000</v>
      </c>
      <c r="R73" s="236">
        <f t="shared" si="5"/>
        <v>1000</v>
      </c>
      <c r="S73" s="237"/>
      <c r="T73" s="235"/>
      <c r="U73" s="235"/>
      <c r="V73" s="233" t="s">
        <v>386</v>
      </c>
      <c r="W73" s="239">
        <v>4283.18</v>
      </c>
      <c r="X73" s="239">
        <v>490</v>
      </c>
      <c r="Y73" s="239">
        <f t="shared" si="6"/>
        <v>40187.5</v>
      </c>
      <c r="Z73" s="239">
        <f>RICavMilestoneVal+CavityStatus[[#This Row],[Incentive Earned]]+CavityStatus[[#This Row],[Recipe Modification (Mod 9)]]+X73</f>
        <v>45960.68</v>
      </c>
      <c r="AA73" s="242"/>
      <c r="AB73" s="241"/>
      <c r="AE73" s="115">
        <f t="shared" si="2"/>
        <v>490</v>
      </c>
    </row>
    <row r="74" spans="1:31" x14ac:dyDescent="0.25">
      <c r="A74" s="232"/>
      <c r="B74" s="233" t="s">
        <v>311</v>
      </c>
      <c r="C74" s="233" t="s">
        <v>305</v>
      </c>
      <c r="D74" s="233"/>
      <c r="E74" s="233"/>
      <c r="F74" s="233"/>
      <c r="G74" s="233"/>
      <c r="H74" s="233"/>
      <c r="I74" s="233"/>
      <c r="J74" s="233"/>
      <c r="K74" s="234"/>
      <c r="L74" s="233"/>
      <c r="M74" s="233"/>
      <c r="N74" s="235">
        <v>42788</v>
      </c>
      <c r="O74" s="235"/>
      <c r="P74" s="235">
        <f>IF(CavityStatus[[#This Row],[Actual Ship Date]]&lt;&gt;0,($O74-$N74)/7,0)</f>
        <v>0</v>
      </c>
      <c r="Q74" s="236">
        <v>1000</v>
      </c>
      <c r="R74" s="236">
        <f t="shared" si="5"/>
        <v>1000</v>
      </c>
      <c r="S74" s="237"/>
      <c r="T74" s="235"/>
      <c r="U74" s="235"/>
      <c r="V74" s="233" t="s">
        <v>386</v>
      </c>
      <c r="W74" s="239">
        <v>4283.18</v>
      </c>
      <c r="X74" s="239">
        <v>490</v>
      </c>
      <c r="Y74" s="239">
        <f t="shared" si="6"/>
        <v>40187.5</v>
      </c>
      <c r="Z74" s="239">
        <f>RICavMilestoneVal+CavityStatus[[#This Row],[Incentive Earned]]+CavityStatus[[#This Row],[Recipe Modification (Mod 9)]]+X74</f>
        <v>45960.68</v>
      </c>
      <c r="AA74" s="242"/>
      <c r="AB74" s="241"/>
      <c r="AE74" s="115">
        <f t="shared" si="2"/>
        <v>490</v>
      </c>
    </row>
    <row r="75" spans="1:31" x14ac:dyDescent="0.25">
      <c r="A75" s="232"/>
      <c r="B75" s="233" t="s">
        <v>312</v>
      </c>
      <c r="C75" s="233" t="s">
        <v>305</v>
      </c>
      <c r="D75" s="233"/>
      <c r="E75" s="233"/>
      <c r="F75" s="233"/>
      <c r="G75" s="233"/>
      <c r="H75" s="233"/>
      <c r="I75" s="233"/>
      <c r="J75" s="233"/>
      <c r="K75" s="234"/>
      <c r="L75" s="233"/>
      <c r="M75" s="233"/>
      <c r="N75" s="235">
        <v>42788</v>
      </c>
      <c r="O75" s="235"/>
      <c r="P75" s="235">
        <f>IF(CavityStatus[[#This Row],[Actual Ship Date]]&lt;&gt;0,($O75-$N75)/7,0)</f>
        <v>0</v>
      </c>
      <c r="Q75" s="236">
        <v>1000</v>
      </c>
      <c r="R75" s="236">
        <f t="shared" si="5"/>
        <v>1000</v>
      </c>
      <c r="S75" s="237"/>
      <c r="T75" s="235"/>
      <c r="U75" s="235"/>
      <c r="V75" s="233" t="s">
        <v>386</v>
      </c>
      <c r="W75" s="239">
        <v>4283.18</v>
      </c>
      <c r="X75" s="239">
        <v>490</v>
      </c>
      <c r="Y75" s="239">
        <f t="shared" si="6"/>
        <v>40187.5</v>
      </c>
      <c r="Z75" s="239">
        <f>RICavMilestoneVal+CavityStatus[[#This Row],[Incentive Earned]]+CavityStatus[[#This Row],[Recipe Modification (Mod 9)]]+X75</f>
        <v>45960.68</v>
      </c>
      <c r="AA75" s="242"/>
      <c r="AB75" s="241"/>
      <c r="AE75" s="115">
        <f t="shared" si="2"/>
        <v>490</v>
      </c>
    </row>
    <row r="76" spans="1:31" x14ac:dyDescent="0.25">
      <c r="A76" s="232"/>
      <c r="B76" s="233" t="s">
        <v>313</v>
      </c>
      <c r="C76" s="233" t="s">
        <v>305</v>
      </c>
      <c r="D76" s="233"/>
      <c r="E76" s="233"/>
      <c r="F76" s="233"/>
      <c r="G76" s="233"/>
      <c r="H76" s="233"/>
      <c r="I76" s="233"/>
      <c r="J76" s="233"/>
      <c r="K76" s="234"/>
      <c r="L76" s="233"/>
      <c r="M76" s="233"/>
      <c r="N76" s="235">
        <v>42788</v>
      </c>
      <c r="O76" s="235"/>
      <c r="P76" s="235">
        <f>IF(CavityStatus[[#This Row],[Actual Ship Date]]&lt;&gt;0,($O76-$N76)/7,0)</f>
        <v>0</v>
      </c>
      <c r="Q76" s="236">
        <v>1000</v>
      </c>
      <c r="R76" s="236">
        <f t="shared" si="5"/>
        <v>1000</v>
      </c>
      <c r="S76" s="237"/>
      <c r="T76" s="235"/>
      <c r="U76" s="235"/>
      <c r="V76" s="233" t="s">
        <v>386</v>
      </c>
      <c r="W76" s="239">
        <v>4283.18</v>
      </c>
      <c r="X76" s="239">
        <v>490</v>
      </c>
      <c r="Y76" s="239">
        <f t="shared" si="6"/>
        <v>40187.5</v>
      </c>
      <c r="Z76" s="239">
        <f>RICavMilestoneVal+CavityStatus[[#This Row],[Incentive Earned]]+CavityStatus[[#This Row],[Recipe Modification (Mod 9)]]+X76</f>
        <v>45960.68</v>
      </c>
      <c r="AA76" s="242"/>
      <c r="AB76" s="241"/>
      <c r="AE76" s="115">
        <f t="shared" si="2"/>
        <v>490</v>
      </c>
    </row>
    <row r="77" spans="1:31" x14ac:dyDescent="0.25">
      <c r="A77" s="232"/>
      <c r="B77" s="233" t="s">
        <v>314</v>
      </c>
      <c r="C77" s="233" t="s">
        <v>305</v>
      </c>
      <c r="D77" s="233"/>
      <c r="E77" s="233"/>
      <c r="F77" s="233"/>
      <c r="G77" s="233"/>
      <c r="H77" s="233"/>
      <c r="I77" s="233"/>
      <c r="J77" s="233"/>
      <c r="K77" s="234"/>
      <c r="L77" s="233"/>
      <c r="M77" s="233"/>
      <c r="N77" s="235">
        <v>42788</v>
      </c>
      <c r="O77" s="235"/>
      <c r="P77" s="235">
        <f>IF(CavityStatus[[#This Row],[Actual Ship Date]]&lt;&gt;0,($O77-$N77)/7,0)</f>
        <v>0</v>
      </c>
      <c r="Q77" s="236">
        <v>1000</v>
      </c>
      <c r="R77" s="236">
        <f t="shared" si="5"/>
        <v>1000</v>
      </c>
      <c r="S77" s="237"/>
      <c r="T77" s="235"/>
      <c r="U77" s="235"/>
      <c r="V77" s="233" t="s">
        <v>386</v>
      </c>
      <c r="W77" s="239">
        <v>4283.18</v>
      </c>
      <c r="X77" s="239">
        <v>490</v>
      </c>
      <c r="Y77" s="239">
        <f t="shared" si="6"/>
        <v>40187.5</v>
      </c>
      <c r="Z77" s="239">
        <f>RICavMilestoneVal+CavityStatus[[#This Row],[Incentive Earned]]+CavityStatus[[#This Row],[Recipe Modification (Mod 9)]]+X77</f>
        <v>45960.68</v>
      </c>
      <c r="AA77" s="242"/>
      <c r="AB77" s="241"/>
      <c r="AE77" s="115">
        <f t="shared" si="2"/>
        <v>490</v>
      </c>
    </row>
    <row r="78" spans="1:31" x14ac:dyDescent="0.25">
      <c r="A78" s="232"/>
      <c r="B78" s="233" t="s">
        <v>315</v>
      </c>
      <c r="C78" s="233" t="s">
        <v>305</v>
      </c>
      <c r="D78" s="233"/>
      <c r="E78" s="233"/>
      <c r="F78" s="233"/>
      <c r="G78" s="233"/>
      <c r="H78" s="233"/>
      <c r="I78" s="233"/>
      <c r="J78" s="233"/>
      <c r="K78" s="234"/>
      <c r="L78" s="233"/>
      <c r="M78" s="233"/>
      <c r="N78" s="235">
        <v>42816</v>
      </c>
      <c r="O78" s="235"/>
      <c r="P78" s="235">
        <f>IF(CavityStatus[[#This Row],[Actual Ship Date]]&lt;&gt;0,($O78-$N78)/7,0)</f>
        <v>0</v>
      </c>
      <c r="Q78" s="236">
        <v>1000</v>
      </c>
      <c r="R78" s="236">
        <f t="shared" si="5"/>
        <v>1000</v>
      </c>
      <c r="S78" s="237"/>
      <c r="T78" s="235"/>
      <c r="U78" s="235"/>
      <c r="V78" s="233" t="s">
        <v>386</v>
      </c>
      <c r="W78" s="239">
        <v>4283.18</v>
      </c>
      <c r="X78" s="239">
        <v>490</v>
      </c>
      <c r="Y78" s="239">
        <f t="shared" si="6"/>
        <v>40187.5</v>
      </c>
      <c r="Z78" s="239">
        <f>RICavMilestoneVal+CavityStatus[[#This Row],[Incentive Earned]]+CavityStatus[[#This Row],[Recipe Modification (Mod 9)]]+X78</f>
        <v>45960.68</v>
      </c>
      <c r="AA78" s="242"/>
      <c r="AB78" s="241"/>
      <c r="AE78" s="115">
        <f t="shared" si="2"/>
        <v>490</v>
      </c>
    </row>
    <row r="79" spans="1:31" x14ac:dyDescent="0.25">
      <c r="A79" s="232"/>
      <c r="B79" s="233" t="s">
        <v>316</v>
      </c>
      <c r="C79" s="233" t="s">
        <v>305</v>
      </c>
      <c r="D79" s="233"/>
      <c r="E79" s="233"/>
      <c r="F79" s="233"/>
      <c r="G79" s="233"/>
      <c r="H79" s="233"/>
      <c r="I79" s="233"/>
      <c r="J79" s="233"/>
      <c r="K79" s="234"/>
      <c r="L79" s="233"/>
      <c r="M79" s="233"/>
      <c r="N79" s="235">
        <v>42816</v>
      </c>
      <c r="O79" s="235"/>
      <c r="P79" s="235">
        <f>IF(CavityStatus[[#This Row],[Actual Ship Date]]&lt;&gt;0,($O79-$N79)/7,0)</f>
        <v>0</v>
      </c>
      <c r="Q79" s="236">
        <v>1000</v>
      </c>
      <c r="R79" s="236">
        <f t="shared" si="5"/>
        <v>1000</v>
      </c>
      <c r="S79" s="237"/>
      <c r="T79" s="235"/>
      <c r="U79" s="235"/>
      <c r="V79" s="233" t="s">
        <v>386</v>
      </c>
      <c r="W79" s="239">
        <v>4283.18</v>
      </c>
      <c r="X79" s="239">
        <v>490</v>
      </c>
      <c r="Y79" s="239">
        <f t="shared" si="6"/>
        <v>40187.5</v>
      </c>
      <c r="Z79" s="239">
        <f>RICavMilestoneVal+CavityStatus[[#This Row],[Incentive Earned]]+CavityStatus[[#This Row],[Recipe Modification (Mod 9)]]+X79</f>
        <v>45960.68</v>
      </c>
      <c r="AA79" s="242"/>
      <c r="AB79" s="241"/>
      <c r="AE79" s="115">
        <f t="shared" si="2"/>
        <v>490</v>
      </c>
    </row>
    <row r="80" spans="1:31" x14ac:dyDescent="0.25">
      <c r="A80" s="232"/>
      <c r="B80" s="233" t="s">
        <v>317</v>
      </c>
      <c r="C80" s="233" t="s">
        <v>305</v>
      </c>
      <c r="D80" s="233"/>
      <c r="E80" s="233"/>
      <c r="F80" s="233"/>
      <c r="G80" s="233"/>
      <c r="H80" s="233"/>
      <c r="I80" s="233"/>
      <c r="J80" s="233"/>
      <c r="K80" s="234"/>
      <c r="L80" s="233"/>
      <c r="M80" s="233"/>
      <c r="N80" s="235">
        <v>42816</v>
      </c>
      <c r="O80" s="235"/>
      <c r="P80" s="235">
        <f>IF(CavityStatus[[#This Row],[Actual Ship Date]]&lt;&gt;0,($O80-$N80)/7,0)</f>
        <v>0</v>
      </c>
      <c r="Q80" s="236">
        <v>1000</v>
      </c>
      <c r="R80" s="236">
        <f t="shared" si="5"/>
        <v>1000</v>
      </c>
      <c r="S80" s="237"/>
      <c r="T80" s="235"/>
      <c r="U80" s="235"/>
      <c r="V80" s="233" t="s">
        <v>386</v>
      </c>
      <c r="W80" s="239">
        <v>4283.18</v>
      </c>
      <c r="X80" s="239">
        <v>490</v>
      </c>
      <c r="Y80" s="239">
        <f t="shared" si="6"/>
        <v>40187.5</v>
      </c>
      <c r="Z80" s="239">
        <f>RICavMilestoneVal+CavityStatus[[#This Row],[Incentive Earned]]+CavityStatus[[#This Row],[Recipe Modification (Mod 9)]]+X80</f>
        <v>45960.68</v>
      </c>
      <c r="AA80" s="242"/>
      <c r="AB80" s="241"/>
      <c r="AE80" s="115">
        <f t="shared" si="2"/>
        <v>490</v>
      </c>
    </row>
    <row r="81" spans="1:31" x14ac:dyDescent="0.25">
      <c r="A81" s="232"/>
      <c r="B81" s="233" t="s">
        <v>318</v>
      </c>
      <c r="C81" s="233" t="s">
        <v>305</v>
      </c>
      <c r="D81" s="233"/>
      <c r="E81" s="233"/>
      <c r="F81" s="233"/>
      <c r="G81" s="233"/>
      <c r="H81" s="233"/>
      <c r="I81" s="233"/>
      <c r="J81" s="233"/>
      <c r="K81" s="234"/>
      <c r="L81" s="233"/>
      <c r="M81" s="233"/>
      <c r="N81" s="235">
        <v>42816</v>
      </c>
      <c r="O81" s="235"/>
      <c r="P81" s="235">
        <f>IF(CavityStatus[[#This Row],[Actual Ship Date]]&lt;&gt;0,($O81-$N81)/7,0)</f>
        <v>0</v>
      </c>
      <c r="Q81" s="236">
        <v>1000</v>
      </c>
      <c r="R81" s="236">
        <f t="shared" si="5"/>
        <v>1000</v>
      </c>
      <c r="S81" s="237"/>
      <c r="T81" s="235"/>
      <c r="U81" s="235"/>
      <c r="V81" s="233" t="s">
        <v>386</v>
      </c>
      <c r="W81" s="239">
        <v>4283.18</v>
      </c>
      <c r="X81" s="239">
        <v>490</v>
      </c>
      <c r="Y81" s="239">
        <f t="shared" si="6"/>
        <v>40187.5</v>
      </c>
      <c r="Z81" s="239">
        <f>RICavMilestoneVal+CavityStatus[[#This Row],[Incentive Earned]]+CavityStatus[[#This Row],[Recipe Modification (Mod 9)]]+X81</f>
        <v>45960.68</v>
      </c>
      <c r="AA81" s="242"/>
      <c r="AB81" s="241"/>
      <c r="AE81" s="115">
        <f t="shared" si="2"/>
        <v>490</v>
      </c>
    </row>
    <row r="82" spans="1:31" x14ac:dyDescent="0.25">
      <c r="A82" s="232"/>
      <c r="B82" s="233" t="s">
        <v>319</v>
      </c>
      <c r="C82" s="233" t="s">
        <v>305</v>
      </c>
      <c r="D82" s="233"/>
      <c r="E82" s="233"/>
      <c r="F82" s="233"/>
      <c r="G82" s="233"/>
      <c r="H82" s="233"/>
      <c r="I82" s="233"/>
      <c r="J82" s="233"/>
      <c r="K82" s="234"/>
      <c r="L82" s="233"/>
      <c r="M82" s="233"/>
      <c r="N82" s="235">
        <v>42816</v>
      </c>
      <c r="O82" s="235"/>
      <c r="P82" s="235">
        <f>IF(CavityStatus[[#This Row],[Actual Ship Date]]&lt;&gt;0,($O82-$N82)/7,0)</f>
        <v>0</v>
      </c>
      <c r="Q82" s="236">
        <v>1000</v>
      </c>
      <c r="R82" s="236">
        <f t="shared" si="5"/>
        <v>1000</v>
      </c>
      <c r="S82" s="237"/>
      <c r="T82" s="235"/>
      <c r="U82" s="235"/>
      <c r="V82" s="233" t="s">
        <v>386</v>
      </c>
      <c r="W82" s="239">
        <v>4283.18</v>
      </c>
      <c r="X82" s="239">
        <v>490</v>
      </c>
      <c r="Y82" s="239">
        <f t="shared" si="6"/>
        <v>40187.5</v>
      </c>
      <c r="Z82" s="239">
        <f>RICavMilestoneVal+CavityStatus[[#This Row],[Incentive Earned]]+CavityStatus[[#This Row],[Recipe Modification (Mod 9)]]+X82</f>
        <v>45960.68</v>
      </c>
      <c r="AA82" s="242"/>
      <c r="AB82" s="241"/>
      <c r="AE82" s="115">
        <f t="shared" si="2"/>
        <v>490</v>
      </c>
    </row>
    <row r="83" spans="1:31" x14ac:dyDescent="0.25">
      <c r="A83" s="232"/>
      <c r="B83" s="233" t="s">
        <v>320</v>
      </c>
      <c r="C83" s="233" t="s">
        <v>305</v>
      </c>
      <c r="D83" s="233"/>
      <c r="E83" s="233"/>
      <c r="F83" s="233"/>
      <c r="G83" s="233"/>
      <c r="H83" s="233"/>
      <c r="I83" s="233"/>
      <c r="J83" s="233"/>
      <c r="K83" s="234"/>
      <c r="L83" s="233"/>
      <c r="M83" s="233"/>
      <c r="N83" s="235">
        <v>42816</v>
      </c>
      <c r="O83" s="235"/>
      <c r="P83" s="235">
        <f>IF(CavityStatus[[#This Row],[Actual Ship Date]]&lt;&gt;0,($O83-$N83)/7,0)</f>
        <v>0</v>
      </c>
      <c r="Q83" s="236">
        <v>1000</v>
      </c>
      <c r="R83" s="236">
        <f t="shared" si="5"/>
        <v>1000</v>
      </c>
      <c r="S83" s="237"/>
      <c r="T83" s="235"/>
      <c r="U83" s="235"/>
      <c r="V83" s="233" t="s">
        <v>386</v>
      </c>
      <c r="W83" s="239">
        <v>4283.18</v>
      </c>
      <c r="X83" s="239">
        <v>490</v>
      </c>
      <c r="Y83" s="239">
        <f t="shared" si="6"/>
        <v>40187.5</v>
      </c>
      <c r="Z83" s="239">
        <f>RICavMilestoneVal+CavityStatus[[#This Row],[Incentive Earned]]+CavityStatus[[#This Row],[Recipe Modification (Mod 9)]]+X83</f>
        <v>45960.68</v>
      </c>
      <c r="AA83" s="242"/>
      <c r="AB83" s="241"/>
      <c r="AE83" s="115">
        <f t="shared" si="2"/>
        <v>490</v>
      </c>
    </row>
    <row r="84" spans="1:31" x14ac:dyDescent="0.25">
      <c r="A84" s="232"/>
      <c r="B84" s="233" t="s">
        <v>321</v>
      </c>
      <c r="C84" s="233" t="s">
        <v>305</v>
      </c>
      <c r="D84" s="233"/>
      <c r="E84" s="233"/>
      <c r="F84" s="233"/>
      <c r="G84" s="233"/>
      <c r="H84" s="233"/>
      <c r="I84" s="233"/>
      <c r="J84" s="233"/>
      <c r="K84" s="234"/>
      <c r="L84" s="233"/>
      <c r="M84" s="233"/>
      <c r="N84" s="235">
        <v>42816</v>
      </c>
      <c r="O84" s="235"/>
      <c r="P84" s="235">
        <f>IF(CavityStatus[[#This Row],[Actual Ship Date]]&lt;&gt;0,($O84-$N84)/7,0)</f>
        <v>0</v>
      </c>
      <c r="Q84" s="236">
        <v>1000</v>
      </c>
      <c r="R84" s="236">
        <f t="shared" si="5"/>
        <v>1000</v>
      </c>
      <c r="S84" s="237"/>
      <c r="T84" s="235"/>
      <c r="U84" s="235"/>
      <c r="V84" s="233" t="s">
        <v>386</v>
      </c>
      <c r="W84" s="239">
        <v>4283.18</v>
      </c>
      <c r="X84" s="239">
        <v>490</v>
      </c>
      <c r="Y84" s="239">
        <f t="shared" si="6"/>
        <v>40187.5</v>
      </c>
      <c r="Z84" s="239">
        <f>RICavMilestoneVal+CavityStatus[[#This Row],[Incentive Earned]]+CavityStatus[[#This Row],[Recipe Modification (Mod 9)]]+X84</f>
        <v>45960.68</v>
      </c>
      <c r="AA84" s="242"/>
      <c r="AB84" s="241"/>
      <c r="AE84" s="115">
        <f t="shared" ref="AE84:AE134" si="7">AE83</f>
        <v>490</v>
      </c>
    </row>
    <row r="85" spans="1:31" x14ac:dyDescent="0.25">
      <c r="A85" s="232"/>
      <c r="B85" s="233" t="s">
        <v>322</v>
      </c>
      <c r="C85" s="233" t="s">
        <v>305</v>
      </c>
      <c r="D85" s="233"/>
      <c r="E85" s="233"/>
      <c r="F85" s="233"/>
      <c r="G85" s="233"/>
      <c r="H85" s="233"/>
      <c r="I85" s="233"/>
      <c r="J85" s="233"/>
      <c r="K85" s="234"/>
      <c r="L85" s="233"/>
      <c r="M85" s="233"/>
      <c r="N85" s="235">
        <v>42816</v>
      </c>
      <c r="O85" s="235"/>
      <c r="P85" s="235">
        <f>IF(CavityStatus[[#This Row],[Actual Ship Date]]&lt;&gt;0,($O85-$N85)/7,0)</f>
        <v>0</v>
      </c>
      <c r="Q85" s="236">
        <v>1000</v>
      </c>
      <c r="R85" s="236">
        <f t="shared" si="5"/>
        <v>1000</v>
      </c>
      <c r="S85" s="237"/>
      <c r="T85" s="235"/>
      <c r="U85" s="235"/>
      <c r="V85" s="233" t="s">
        <v>386</v>
      </c>
      <c r="W85" s="239">
        <v>4283.18</v>
      </c>
      <c r="X85" s="239">
        <v>490</v>
      </c>
      <c r="Y85" s="239">
        <f t="shared" si="6"/>
        <v>40187.5</v>
      </c>
      <c r="Z85" s="239">
        <f>RICavMilestoneVal+CavityStatus[[#This Row],[Incentive Earned]]+CavityStatus[[#This Row],[Recipe Modification (Mod 9)]]+X85</f>
        <v>45960.68</v>
      </c>
      <c r="AA85" s="242"/>
      <c r="AB85" s="241"/>
      <c r="AE85" s="115">
        <f t="shared" si="7"/>
        <v>490</v>
      </c>
    </row>
    <row r="86" spans="1:31" x14ac:dyDescent="0.25">
      <c r="A86" s="232"/>
      <c r="B86" s="233" t="s">
        <v>323</v>
      </c>
      <c r="C86" s="233" t="s">
        <v>305</v>
      </c>
      <c r="D86" s="233"/>
      <c r="E86" s="233"/>
      <c r="F86" s="233"/>
      <c r="G86" s="233"/>
      <c r="H86" s="233"/>
      <c r="I86" s="233"/>
      <c r="J86" s="233"/>
      <c r="K86" s="234"/>
      <c r="L86" s="233"/>
      <c r="M86" s="233"/>
      <c r="N86" s="235">
        <v>42816</v>
      </c>
      <c r="O86" s="235"/>
      <c r="P86" s="235">
        <f>IF(CavityStatus[[#This Row],[Actual Ship Date]]&lt;&gt;0,($O86-$N86)/7,0)</f>
        <v>0</v>
      </c>
      <c r="Q86" s="236">
        <v>1000</v>
      </c>
      <c r="R86" s="236">
        <f t="shared" si="5"/>
        <v>1000</v>
      </c>
      <c r="S86" s="237"/>
      <c r="T86" s="235"/>
      <c r="U86" s="235"/>
      <c r="V86" s="233" t="s">
        <v>386</v>
      </c>
      <c r="W86" s="239">
        <v>4283.18</v>
      </c>
      <c r="X86" s="239">
        <v>490</v>
      </c>
      <c r="Y86" s="239">
        <f t="shared" si="6"/>
        <v>40187.5</v>
      </c>
      <c r="Z86" s="239">
        <f>RICavMilestoneVal+CavityStatus[[#This Row],[Incentive Earned]]+CavityStatus[[#This Row],[Recipe Modification (Mod 9)]]+X86</f>
        <v>45960.68</v>
      </c>
      <c r="AA86" s="242"/>
      <c r="AB86" s="241"/>
      <c r="AE86" s="115">
        <f t="shared" si="7"/>
        <v>490</v>
      </c>
    </row>
    <row r="87" spans="1:31" x14ac:dyDescent="0.25">
      <c r="A87" s="232"/>
      <c r="B87" s="233" t="s">
        <v>324</v>
      </c>
      <c r="C87" s="233" t="s">
        <v>305</v>
      </c>
      <c r="D87" s="233"/>
      <c r="E87" s="233"/>
      <c r="F87" s="233"/>
      <c r="G87" s="233"/>
      <c r="H87" s="233"/>
      <c r="I87" s="233"/>
      <c r="J87" s="233"/>
      <c r="K87" s="234"/>
      <c r="L87" s="233"/>
      <c r="M87" s="233"/>
      <c r="N87" s="235">
        <v>42816</v>
      </c>
      <c r="O87" s="235"/>
      <c r="P87" s="235">
        <f>IF(CavityStatus[[#This Row],[Actual Ship Date]]&lt;&gt;0,($O87-$N87)/7,0)</f>
        <v>0</v>
      </c>
      <c r="Q87" s="236">
        <v>1000</v>
      </c>
      <c r="R87" s="236">
        <f t="shared" si="5"/>
        <v>1000</v>
      </c>
      <c r="S87" s="237"/>
      <c r="T87" s="235"/>
      <c r="U87" s="235"/>
      <c r="V87" s="233" t="s">
        <v>386</v>
      </c>
      <c r="W87" s="239">
        <v>4283.18</v>
      </c>
      <c r="X87" s="239">
        <v>490</v>
      </c>
      <c r="Y87" s="239">
        <f t="shared" si="6"/>
        <v>40187.5</v>
      </c>
      <c r="Z87" s="239">
        <f>RICavMilestoneVal+CavityStatus[[#This Row],[Incentive Earned]]+CavityStatus[[#This Row],[Recipe Modification (Mod 9)]]+X87</f>
        <v>45960.68</v>
      </c>
      <c r="AA87" s="242"/>
      <c r="AB87" s="241"/>
      <c r="AE87" s="115">
        <f t="shared" si="7"/>
        <v>490</v>
      </c>
    </row>
    <row r="88" spans="1:31" x14ac:dyDescent="0.25">
      <c r="A88" s="232"/>
      <c r="B88" s="233" t="s">
        <v>325</v>
      </c>
      <c r="C88" s="233" t="s">
        <v>305</v>
      </c>
      <c r="D88" s="233"/>
      <c r="E88" s="233"/>
      <c r="F88" s="233"/>
      <c r="G88" s="233"/>
      <c r="H88" s="233"/>
      <c r="I88" s="233"/>
      <c r="J88" s="233"/>
      <c r="K88" s="234"/>
      <c r="L88" s="233"/>
      <c r="M88" s="233"/>
      <c r="N88" s="235">
        <v>42816</v>
      </c>
      <c r="O88" s="235"/>
      <c r="P88" s="235">
        <f>IF(CavityStatus[[#This Row],[Actual Ship Date]]&lt;&gt;0,($O88-$N88)/7,0)</f>
        <v>0</v>
      </c>
      <c r="Q88" s="236">
        <v>1000</v>
      </c>
      <c r="R88" s="236">
        <f t="shared" si="5"/>
        <v>1000</v>
      </c>
      <c r="S88" s="237"/>
      <c r="T88" s="235"/>
      <c r="U88" s="235"/>
      <c r="V88" s="233" t="s">
        <v>386</v>
      </c>
      <c r="W88" s="239">
        <v>4283.18</v>
      </c>
      <c r="X88" s="239">
        <v>490</v>
      </c>
      <c r="Y88" s="239">
        <f t="shared" si="6"/>
        <v>40187.5</v>
      </c>
      <c r="Z88" s="239">
        <f>RICavMilestoneVal+CavityStatus[[#This Row],[Incentive Earned]]+CavityStatus[[#This Row],[Recipe Modification (Mod 9)]]+X88</f>
        <v>45960.68</v>
      </c>
      <c r="AA88" s="242"/>
      <c r="AB88" s="241"/>
      <c r="AE88" s="115">
        <f t="shared" si="7"/>
        <v>490</v>
      </c>
    </row>
    <row r="89" spans="1:31" x14ac:dyDescent="0.25">
      <c r="A89" s="232"/>
      <c r="B89" s="233" t="s">
        <v>326</v>
      </c>
      <c r="C89" s="233" t="s">
        <v>305</v>
      </c>
      <c r="D89" s="233"/>
      <c r="E89" s="233"/>
      <c r="F89" s="233"/>
      <c r="G89" s="233"/>
      <c r="H89" s="233"/>
      <c r="I89" s="233"/>
      <c r="J89" s="233"/>
      <c r="K89" s="234"/>
      <c r="L89" s="233"/>
      <c r="M89" s="233"/>
      <c r="N89" s="235">
        <v>42816</v>
      </c>
      <c r="O89" s="235"/>
      <c r="P89" s="235">
        <f>IF(CavityStatus[[#This Row],[Actual Ship Date]]&lt;&gt;0,($O89-$N89)/7,0)</f>
        <v>0</v>
      </c>
      <c r="Q89" s="236">
        <v>1000</v>
      </c>
      <c r="R89" s="236">
        <f t="shared" si="5"/>
        <v>1000</v>
      </c>
      <c r="S89" s="237"/>
      <c r="T89" s="235"/>
      <c r="U89" s="235"/>
      <c r="V89" s="233" t="s">
        <v>386</v>
      </c>
      <c r="W89" s="239">
        <v>4283.18</v>
      </c>
      <c r="X89" s="239">
        <v>490</v>
      </c>
      <c r="Y89" s="239">
        <f t="shared" si="6"/>
        <v>40187.5</v>
      </c>
      <c r="Z89" s="239">
        <f>RICavMilestoneVal+CavityStatus[[#This Row],[Incentive Earned]]+CavityStatus[[#This Row],[Recipe Modification (Mod 9)]]+X89</f>
        <v>45960.68</v>
      </c>
      <c r="AA89" s="242"/>
      <c r="AB89" s="241"/>
      <c r="AE89" s="115">
        <f t="shared" si="7"/>
        <v>490</v>
      </c>
    </row>
    <row r="90" spans="1:31" x14ac:dyDescent="0.25">
      <c r="A90" s="232"/>
      <c r="B90" s="233" t="s">
        <v>327</v>
      </c>
      <c r="C90" s="233" t="s">
        <v>305</v>
      </c>
      <c r="D90" s="233"/>
      <c r="E90" s="233"/>
      <c r="F90" s="233"/>
      <c r="G90" s="233"/>
      <c r="H90" s="233"/>
      <c r="I90" s="233"/>
      <c r="J90" s="233"/>
      <c r="K90" s="234"/>
      <c r="L90" s="233"/>
      <c r="M90" s="233"/>
      <c r="N90" s="235">
        <v>42844</v>
      </c>
      <c r="O90" s="235"/>
      <c r="P90" s="235">
        <f>IF(CavityStatus[[#This Row],[Actual Ship Date]]&lt;&gt;0,($O90-$N90)/7,0)</f>
        <v>0</v>
      </c>
      <c r="Q90" s="236">
        <v>1000</v>
      </c>
      <c r="R90" s="236">
        <f t="shared" si="5"/>
        <v>1000</v>
      </c>
      <c r="S90" s="237"/>
      <c r="T90" s="235"/>
      <c r="U90" s="235"/>
      <c r="V90" s="233" t="s">
        <v>386</v>
      </c>
      <c r="W90" s="239">
        <v>4283.18</v>
      </c>
      <c r="X90" s="239">
        <v>490</v>
      </c>
      <c r="Y90" s="239">
        <f t="shared" si="6"/>
        <v>40187.5</v>
      </c>
      <c r="Z90" s="239">
        <f>RICavMilestoneVal+CavityStatus[[#This Row],[Incentive Earned]]+CavityStatus[[#This Row],[Recipe Modification (Mod 9)]]+X90</f>
        <v>45960.68</v>
      </c>
      <c r="AA90" s="242"/>
      <c r="AB90" s="241"/>
      <c r="AE90" s="115">
        <f t="shared" si="7"/>
        <v>490</v>
      </c>
    </row>
    <row r="91" spans="1:31" x14ac:dyDescent="0.25">
      <c r="A91" s="232"/>
      <c r="B91" s="233" t="s">
        <v>328</v>
      </c>
      <c r="C91" s="233" t="s">
        <v>305</v>
      </c>
      <c r="D91" s="233"/>
      <c r="E91" s="233"/>
      <c r="F91" s="233"/>
      <c r="G91" s="233"/>
      <c r="H91" s="233"/>
      <c r="I91" s="233"/>
      <c r="J91" s="233"/>
      <c r="K91" s="234"/>
      <c r="L91" s="233"/>
      <c r="M91" s="233"/>
      <c r="N91" s="235">
        <v>42844</v>
      </c>
      <c r="O91" s="235"/>
      <c r="P91" s="235">
        <f>IF(CavityStatus[[#This Row],[Actual Ship Date]]&lt;&gt;0,($O91-$N91)/7,0)</f>
        <v>0</v>
      </c>
      <c r="Q91" s="236">
        <v>1000</v>
      </c>
      <c r="R91" s="236">
        <f t="shared" si="5"/>
        <v>1000</v>
      </c>
      <c r="S91" s="237"/>
      <c r="T91" s="235"/>
      <c r="U91" s="235"/>
      <c r="V91" s="233" t="s">
        <v>386</v>
      </c>
      <c r="W91" s="239">
        <v>4283.18</v>
      </c>
      <c r="X91" s="239">
        <v>490</v>
      </c>
      <c r="Y91" s="239">
        <f t="shared" si="6"/>
        <v>40187.5</v>
      </c>
      <c r="Z91" s="239">
        <f>RICavMilestoneVal+CavityStatus[[#This Row],[Incentive Earned]]+CavityStatus[[#This Row],[Recipe Modification (Mod 9)]]+X91</f>
        <v>45960.68</v>
      </c>
      <c r="AA91" s="242"/>
      <c r="AB91" s="241"/>
      <c r="AE91" s="115">
        <f t="shared" si="7"/>
        <v>490</v>
      </c>
    </row>
    <row r="92" spans="1:31" x14ac:dyDescent="0.25">
      <c r="A92" s="232"/>
      <c r="B92" s="233" t="s">
        <v>329</v>
      </c>
      <c r="C92" s="233" t="s">
        <v>305</v>
      </c>
      <c r="D92" s="233"/>
      <c r="E92" s="233"/>
      <c r="F92" s="233"/>
      <c r="G92" s="233"/>
      <c r="H92" s="233"/>
      <c r="I92" s="233"/>
      <c r="J92" s="233"/>
      <c r="K92" s="234"/>
      <c r="L92" s="233"/>
      <c r="M92" s="233"/>
      <c r="N92" s="235">
        <v>42844</v>
      </c>
      <c r="O92" s="235"/>
      <c r="P92" s="235">
        <f>IF(CavityStatus[[#This Row],[Actual Ship Date]]&lt;&gt;0,($O92-$N92)/7,0)</f>
        <v>0</v>
      </c>
      <c r="Q92" s="236">
        <v>1000</v>
      </c>
      <c r="R92" s="236">
        <f t="shared" si="5"/>
        <v>1000</v>
      </c>
      <c r="S92" s="237"/>
      <c r="T92" s="235"/>
      <c r="U92" s="235"/>
      <c r="V92" s="233" t="s">
        <v>386</v>
      </c>
      <c r="W92" s="239">
        <v>4283.18</v>
      </c>
      <c r="X92" s="239">
        <v>490</v>
      </c>
      <c r="Y92" s="239">
        <f t="shared" si="6"/>
        <v>40187.5</v>
      </c>
      <c r="Z92" s="239">
        <f>RICavMilestoneVal+CavityStatus[[#This Row],[Incentive Earned]]+CavityStatus[[#This Row],[Recipe Modification (Mod 9)]]+X92</f>
        <v>45960.68</v>
      </c>
      <c r="AA92" s="242"/>
      <c r="AB92" s="241"/>
      <c r="AE92" s="115">
        <f t="shared" si="7"/>
        <v>490</v>
      </c>
    </row>
    <row r="93" spans="1:31" x14ac:dyDescent="0.25">
      <c r="A93" s="232"/>
      <c r="B93" s="233" t="s">
        <v>334</v>
      </c>
      <c r="C93" s="233"/>
      <c r="D93" s="233"/>
      <c r="E93" s="233"/>
      <c r="F93" s="233"/>
      <c r="G93" s="233"/>
      <c r="H93" s="233"/>
      <c r="I93" s="233"/>
      <c r="J93" s="233"/>
      <c r="K93" s="234"/>
      <c r="L93" s="233"/>
      <c r="M93" s="233"/>
      <c r="N93" s="235">
        <v>42844</v>
      </c>
      <c r="O93" s="235"/>
      <c r="P93" s="235">
        <f>IF(CavityStatus[[#This Row],[Actual Ship Date]]&lt;&gt;0,($O93-$N93)/7,0)</f>
        <v>0</v>
      </c>
      <c r="Q93" s="236">
        <v>1000</v>
      </c>
      <c r="R93" s="236">
        <f t="shared" si="5"/>
        <v>1000</v>
      </c>
      <c r="S93" s="237"/>
      <c r="T93" s="235"/>
      <c r="U93" s="235"/>
      <c r="V93" s="233" t="s">
        <v>386</v>
      </c>
      <c r="W93" s="239">
        <v>4283.18</v>
      </c>
      <c r="X93" s="239">
        <v>490</v>
      </c>
      <c r="Y93" s="239">
        <f t="shared" si="6"/>
        <v>40187.5</v>
      </c>
      <c r="Z93" s="239">
        <f>RICavMilestoneVal+CavityStatus[[#This Row],[Incentive Earned]]+CavityStatus[[#This Row],[Recipe Modification (Mod 9)]]+X93</f>
        <v>45960.68</v>
      </c>
      <c r="AA93" s="242"/>
      <c r="AB93" s="241"/>
      <c r="AE93" s="115">
        <f t="shared" si="7"/>
        <v>490</v>
      </c>
    </row>
    <row r="94" spans="1:31" x14ac:dyDescent="0.25">
      <c r="A94" s="232"/>
      <c r="B94" s="233" t="s">
        <v>335</v>
      </c>
      <c r="C94" s="233"/>
      <c r="D94" s="233"/>
      <c r="E94" s="233"/>
      <c r="F94" s="233"/>
      <c r="G94" s="233"/>
      <c r="H94" s="233"/>
      <c r="I94" s="233"/>
      <c r="J94" s="233"/>
      <c r="K94" s="234"/>
      <c r="L94" s="233"/>
      <c r="M94" s="233"/>
      <c r="N94" s="235">
        <v>42844</v>
      </c>
      <c r="O94" s="235"/>
      <c r="P94" s="235">
        <f>IF(CavityStatus[[#This Row],[Actual Ship Date]]&lt;&gt;0,($O94-$N94)/7,0)</f>
        <v>0</v>
      </c>
      <c r="Q94" s="236">
        <v>1000</v>
      </c>
      <c r="R94" s="236">
        <f t="shared" si="5"/>
        <v>1000</v>
      </c>
      <c r="S94" s="237"/>
      <c r="T94" s="235"/>
      <c r="U94" s="235"/>
      <c r="V94" s="233" t="s">
        <v>386</v>
      </c>
      <c r="W94" s="239">
        <v>4283.18</v>
      </c>
      <c r="X94" s="239">
        <v>490</v>
      </c>
      <c r="Y94" s="239">
        <f t="shared" si="6"/>
        <v>40187.5</v>
      </c>
      <c r="Z94" s="239">
        <f>RICavMilestoneVal+CavityStatus[[#This Row],[Incentive Earned]]+CavityStatus[[#This Row],[Recipe Modification (Mod 9)]]+X94</f>
        <v>45960.68</v>
      </c>
      <c r="AA94" s="242"/>
      <c r="AB94" s="241"/>
      <c r="AE94" s="115">
        <f t="shared" si="7"/>
        <v>490</v>
      </c>
    </row>
    <row r="95" spans="1:31" x14ac:dyDescent="0.25">
      <c r="A95" s="232"/>
      <c r="B95" s="233" t="s">
        <v>336</v>
      </c>
      <c r="C95" s="233"/>
      <c r="D95" s="233"/>
      <c r="E95" s="233"/>
      <c r="F95" s="233"/>
      <c r="G95" s="233"/>
      <c r="H95" s="233"/>
      <c r="I95" s="233"/>
      <c r="J95" s="233"/>
      <c r="K95" s="234"/>
      <c r="L95" s="233"/>
      <c r="M95" s="233"/>
      <c r="N95" s="235">
        <v>42844</v>
      </c>
      <c r="O95" s="235"/>
      <c r="P95" s="235">
        <f>IF(CavityStatus[[#This Row],[Actual Ship Date]]&lt;&gt;0,($O95-$N95)/7,0)</f>
        <v>0</v>
      </c>
      <c r="Q95" s="236">
        <v>1000</v>
      </c>
      <c r="R95" s="236">
        <f t="shared" si="5"/>
        <v>1000</v>
      </c>
      <c r="S95" s="237"/>
      <c r="T95" s="235"/>
      <c r="U95" s="235"/>
      <c r="V95" s="233" t="s">
        <v>386</v>
      </c>
      <c r="W95" s="239">
        <v>4283.18</v>
      </c>
      <c r="X95" s="239">
        <v>490</v>
      </c>
      <c r="Y95" s="239">
        <f t="shared" si="6"/>
        <v>40187.5</v>
      </c>
      <c r="Z95" s="239">
        <f>RICavMilestoneVal+CavityStatus[[#This Row],[Incentive Earned]]+CavityStatus[[#This Row],[Recipe Modification (Mod 9)]]+X95</f>
        <v>45960.68</v>
      </c>
      <c r="AA95" s="242"/>
      <c r="AB95" s="241"/>
      <c r="AE95" s="115">
        <f t="shared" si="7"/>
        <v>490</v>
      </c>
    </row>
    <row r="96" spans="1:31" x14ac:dyDescent="0.25">
      <c r="A96" s="232"/>
      <c r="B96" s="233" t="s">
        <v>337</v>
      </c>
      <c r="C96" s="233"/>
      <c r="D96" s="233"/>
      <c r="E96" s="233"/>
      <c r="F96" s="233"/>
      <c r="G96" s="233"/>
      <c r="H96" s="233"/>
      <c r="I96" s="233"/>
      <c r="J96" s="233"/>
      <c r="K96" s="234"/>
      <c r="L96" s="233"/>
      <c r="M96" s="233"/>
      <c r="N96" s="235">
        <v>42844</v>
      </c>
      <c r="O96" s="235"/>
      <c r="P96" s="235">
        <f>IF(CavityStatus[[#This Row],[Actual Ship Date]]&lt;&gt;0,($O96-$N96)/7,0)</f>
        <v>0</v>
      </c>
      <c r="Q96" s="236">
        <v>1000</v>
      </c>
      <c r="R96" s="236">
        <f t="shared" si="5"/>
        <v>1000</v>
      </c>
      <c r="S96" s="237"/>
      <c r="T96" s="235"/>
      <c r="U96" s="235"/>
      <c r="V96" s="233" t="s">
        <v>386</v>
      </c>
      <c r="W96" s="239">
        <v>4283.18</v>
      </c>
      <c r="X96" s="239">
        <v>490</v>
      </c>
      <c r="Y96" s="239">
        <f t="shared" si="6"/>
        <v>40187.5</v>
      </c>
      <c r="Z96" s="239">
        <f>RICavMilestoneVal+CavityStatus[[#This Row],[Incentive Earned]]+CavityStatus[[#This Row],[Recipe Modification (Mod 9)]]+X96</f>
        <v>45960.68</v>
      </c>
      <c r="AA96" s="242"/>
      <c r="AB96" s="241"/>
      <c r="AE96" s="115">
        <f t="shared" si="7"/>
        <v>490</v>
      </c>
    </row>
    <row r="97" spans="1:31" x14ac:dyDescent="0.25">
      <c r="A97" s="232"/>
      <c r="B97" s="233" t="s">
        <v>338</v>
      </c>
      <c r="C97" s="233"/>
      <c r="D97" s="233"/>
      <c r="E97" s="233"/>
      <c r="F97" s="233"/>
      <c r="G97" s="233"/>
      <c r="H97" s="233"/>
      <c r="I97" s="233"/>
      <c r="J97" s="233"/>
      <c r="K97" s="234"/>
      <c r="L97" s="233"/>
      <c r="M97" s="233"/>
      <c r="N97" s="235">
        <v>42844</v>
      </c>
      <c r="O97" s="235"/>
      <c r="P97" s="235">
        <f>IF(CavityStatus[[#This Row],[Actual Ship Date]]&lt;&gt;0,($O97-$N97)/7,0)</f>
        <v>0</v>
      </c>
      <c r="Q97" s="236">
        <v>1000</v>
      </c>
      <c r="R97" s="236">
        <f t="shared" si="5"/>
        <v>1000</v>
      </c>
      <c r="S97" s="237"/>
      <c r="T97" s="235"/>
      <c r="U97" s="235"/>
      <c r="V97" s="233" t="s">
        <v>386</v>
      </c>
      <c r="W97" s="239">
        <v>4283.18</v>
      </c>
      <c r="X97" s="239">
        <v>490</v>
      </c>
      <c r="Y97" s="239">
        <f t="shared" si="6"/>
        <v>40187.5</v>
      </c>
      <c r="Z97" s="239">
        <f>RICavMilestoneVal+CavityStatus[[#This Row],[Incentive Earned]]+CavityStatus[[#This Row],[Recipe Modification (Mod 9)]]+X97</f>
        <v>45960.68</v>
      </c>
      <c r="AA97" s="242"/>
      <c r="AB97" s="241"/>
      <c r="AE97" s="115">
        <f t="shared" si="7"/>
        <v>490</v>
      </c>
    </row>
    <row r="98" spans="1:31" x14ac:dyDescent="0.25">
      <c r="A98" s="232"/>
      <c r="B98" s="233" t="s">
        <v>339</v>
      </c>
      <c r="C98" s="233"/>
      <c r="D98" s="233"/>
      <c r="E98" s="233"/>
      <c r="F98" s="233"/>
      <c r="G98" s="233"/>
      <c r="H98" s="233"/>
      <c r="I98" s="233"/>
      <c r="J98" s="233"/>
      <c r="K98" s="234"/>
      <c r="L98" s="233"/>
      <c r="M98" s="233"/>
      <c r="N98" s="235">
        <v>42844</v>
      </c>
      <c r="O98" s="235"/>
      <c r="P98" s="235">
        <f>IF(CavityStatus[[#This Row],[Actual Ship Date]]&lt;&gt;0,($O98-$N98)/7,0)</f>
        <v>0</v>
      </c>
      <c r="Q98" s="236">
        <v>1000</v>
      </c>
      <c r="R98" s="236">
        <f t="shared" ref="R98:R129" si="8">IF($P98&gt;0,$Q98-($P98*200),$Q98)</f>
        <v>1000</v>
      </c>
      <c r="S98" s="237"/>
      <c r="T98" s="235"/>
      <c r="U98" s="235"/>
      <c r="V98" s="233" t="s">
        <v>386</v>
      </c>
      <c r="W98" s="239">
        <v>4283.18</v>
      </c>
      <c r="X98" s="239">
        <v>490</v>
      </c>
      <c r="Y98" s="239">
        <f t="shared" ref="Y98:Y129" si="9">RICavMilestoneVal</f>
        <v>40187.5</v>
      </c>
      <c r="Z98" s="239">
        <f>RICavMilestoneVal+CavityStatus[[#This Row],[Incentive Earned]]+CavityStatus[[#This Row],[Recipe Modification (Mod 9)]]+X98</f>
        <v>45960.68</v>
      </c>
      <c r="AA98" s="242"/>
      <c r="AB98" s="241"/>
      <c r="AE98" s="115">
        <f t="shared" si="7"/>
        <v>490</v>
      </c>
    </row>
    <row r="99" spans="1:31" x14ac:dyDescent="0.25">
      <c r="A99" s="232"/>
      <c r="B99" s="233" t="s">
        <v>340</v>
      </c>
      <c r="C99" s="233"/>
      <c r="D99" s="233"/>
      <c r="E99" s="233"/>
      <c r="F99" s="233"/>
      <c r="G99" s="233"/>
      <c r="H99" s="233"/>
      <c r="I99" s="233"/>
      <c r="J99" s="233"/>
      <c r="K99" s="234"/>
      <c r="L99" s="233"/>
      <c r="M99" s="233"/>
      <c r="N99" s="235">
        <v>42844</v>
      </c>
      <c r="O99" s="235"/>
      <c r="P99" s="235">
        <f>IF(CavityStatus[[#This Row],[Actual Ship Date]]&lt;&gt;0,($O99-$N99)/7,0)</f>
        <v>0</v>
      </c>
      <c r="Q99" s="236">
        <v>1000</v>
      </c>
      <c r="R99" s="236">
        <f t="shared" si="8"/>
        <v>1000</v>
      </c>
      <c r="S99" s="237"/>
      <c r="T99" s="235"/>
      <c r="U99" s="235"/>
      <c r="V99" s="233" t="s">
        <v>386</v>
      </c>
      <c r="W99" s="239">
        <v>4283.18</v>
      </c>
      <c r="X99" s="239">
        <v>490</v>
      </c>
      <c r="Y99" s="239">
        <f t="shared" si="9"/>
        <v>40187.5</v>
      </c>
      <c r="Z99" s="239">
        <f>RICavMilestoneVal+CavityStatus[[#This Row],[Incentive Earned]]+CavityStatus[[#This Row],[Recipe Modification (Mod 9)]]+X99</f>
        <v>45960.68</v>
      </c>
      <c r="AA99" s="242"/>
      <c r="AB99" s="241"/>
      <c r="AE99" s="115">
        <f t="shared" si="7"/>
        <v>490</v>
      </c>
    </row>
    <row r="100" spans="1:31" x14ac:dyDescent="0.25">
      <c r="A100" s="232"/>
      <c r="B100" s="233" t="s">
        <v>341</v>
      </c>
      <c r="C100" s="233"/>
      <c r="D100" s="233"/>
      <c r="E100" s="233"/>
      <c r="F100" s="233"/>
      <c r="G100" s="233"/>
      <c r="H100" s="233"/>
      <c r="I100" s="233"/>
      <c r="J100" s="233"/>
      <c r="K100" s="234"/>
      <c r="L100" s="233"/>
      <c r="M100" s="233"/>
      <c r="N100" s="235">
        <v>42844</v>
      </c>
      <c r="O100" s="235"/>
      <c r="P100" s="235">
        <f>IF(CavityStatus[[#This Row],[Actual Ship Date]]&lt;&gt;0,($O100-$N100)/7,0)</f>
        <v>0</v>
      </c>
      <c r="Q100" s="236">
        <v>1000</v>
      </c>
      <c r="R100" s="236">
        <f t="shared" si="8"/>
        <v>1000</v>
      </c>
      <c r="S100" s="237"/>
      <c r="T100" s="235"/>
      <c r="U100" s="235"/>
      <c r="V100" s="233" t="s">
        <v>386</v>
      </c>
      <c r="W100" s="239">
        <v>4283.18</v>
      </c>
      <c r="X100" s="239">
        <v>490</v>
      </c>
      <c r="Y100" s="239">
        <f t="shared" si="9"/>
        <v>40187.5</v>
      </c>
      <c r="Z100" s="239">
        <f>RICavMilestoneVal+CavityStatus[[#This Row],[Incentive Earned]]+CavityStatus[[#This Row],[Recipe Modification (Mod 9)]]+X100</f>
        <v>45960.68</v>
      </c>
      <c r="AA100" s="242"/>
      <c r="AB100" s="241"/>
      <c r="AE100" s="115">
        <f t="shared" si="7"/>
        <v>490</v>
      </c>
    </row>
    <row r="101" spans="1:31" x14ac:dyDescent="0.25">
      <c r="A101" s="232"/>
      <c r="B101" s="233" t="s">
        <v>342</v>
      </c>
      <c r="C101" s="233"/>
      <c r="D101" s="233"/>
      <c r="E101" s="233"/>
      <c r="F101" s="233"/>
      <c r="G101" s="233"/>
      <c r="H101" s="233"/>
      <c r="I101" s="233"/>
      <c r="J101" s="233"/>
      <c r="K101" s="234"/>
      <c r="L101" s="233"/>
      <c r="M101" s="233"/>
      <c r="N101" s="235">
        <v>42844</v>
      </c>
      <c r="O101" s="235"/>
      <c r="P101" s="235">
        <f>IF(CavityStatus[[#This Row],[Actual Ship Date]]&lt;&gt;0,($O101-$N101)/7,0)</f>
        <v>0</v>
      </c>
      <c r="Q101" s="236">
        <v>1000</v>
      </c>
      <c r="R101" s="236">
        <f t="shared" si="8"/>
        <v>1000</v>
      </c>
      <c r="S101" s="237"/>
      <c r="T101" s="235"/>
      <c r="U101" s="235"/>
      <c r="V101" s="233" t="s">
        <v>386</v>
      </c>
      <c r="W101" s="239">
        <v>4283.18</v>
      </c>
      <c r="X101" s="239">
        <v>490</v>
      </c>
      <c r="Y101" s="239">
        <f t="shared" si="9"/>
        <v>40187.5</v>
      </c>
      <c r="Z101" s="239">
        <f>RICavMilestoneVal+CavityStatus[[#This Row],[Incentive Earned]]+CavityStatus[[#This Row],[Recipe Modification (Mod 9)]]+X101</f>
        <v>45960.68</v>
      </c>
      <c r="AA101" s="242"/>
      <c r="AB101" s="241"/>
      <c r="AE101" s="115">
        <f t="shared" si="7"/>
        <v>490</v>
      </c>
    </row>
    <row r="102" spans="1:31" x14ac:dyDescent="0.25">
      <c r="A102" s="232"/>
      <c r="B102" s="233" t="s">
        <v>343</v>
      </c>
      <c r="C102" s="233"/>
      <c r="D102" s="233"/>
      <c r="E102" s="233"/>
      <c r="F102" s="233"/>
      <c r="G102" s="233"/>
      <c r="H102" s="233"/>
      <c r="I102" s="233"/>
      <c r="J102" s="233"/>
      <c r="K102" s="234"/>
      <c r="L102" s="233"/>
      <c r="M102" s="233"/>
      <c r="N102" s="235">
        <v>42872</v>
      </c>
      <c r="O102" s="235"/>
      <c r="P102" s="235">
        <f>IF(CavityStatus[[#This Row],[Actual Ship Date]]&lt;&gt;0,($O102-$N102)/7,0)</f>
        <v>0</v>
      </c>
      <c r="Q102" s="236">
        <v>1000</v>
      </c>
      <c r="R102" s="236">
        <f t="shared" si="8"/>
        <v>1000</v>
      </c>
      <c r="S102" s="237"/>
      <c r="T102" s="235"/>
      <c r="U102" s="235"/>
      <c r="V102" s="233" t="s">
        <v>386</v>
      </c>
      <c r="W102" s="239">
        <v>4283.18</v>
      </c>
      <c r="X102" s="239">
        <v>490</v>
      </c>
      <c r="Y102" s="239">
        <f t="shared" si="9"/>
        <v>40187.5</v>
      </c>
      <c r="Z102" s="239">
        <f>RICavMilestoneVal+CavityStatus[[#This Row],[Incentive Earned]]+CavityStatus[[#This Row],[Recipe Modification (Mod 9)]]+X102</f>
        <v>45960.68</v>
      </c>
      <c r="AA102" s="242"/>
      <c r="AB102" s="241"/>
      <c r="AE102" s="115">
        <f t="shared" si="7"/>
        <v>490</v>
      </c>
    </row>
    <row r="103" spans="1:31" x14ac:dyDescent="0.25">
      <c r="A103" s="232"/>
      <c r="B103" s="233" t="s">
        <v>344</v>
      </c>
      <c r="C103" s="233"/>
      <c r="D103" s="233"/>
      <c r="E103" s="233"/>
      <c r="F103" s="233"/>
      <c r="G103" s="233"/>
      <c r="H103" s="233"/>
      <c r="I103" s="233"/>
      <c r="J103" s="233"/>
      <c r="K103" s="234"/>
      <c r="L103" s="233"/>
      <c r="M103" s="233"/>
      <c r="N103" s="235">
        <v>42872</v>
      </c>
      <c r="O103" s="235"/>
      <c r="P103" s="235">
        <f>IF(CavityStatus[[#This Row],[Actual Ship Date]]&lt;&gt;0,($O103-$N103)/7,0)</f>
        <v>0</v>
      </c>
      <c r="Q103" s="236">
        <v>1000</v>
      </c>
      <c r="R103" s="236">
        <f t="shared" si="8"/>
        <v>1000</v>
      </c>
      <c r="S103" s="237"/>
      <c r="T103" s="235"/>
      <c r="U103" s="235"/>
      <c r="V103" s="233" t="s">
        <v>386</v>
      </c>
      <c r="W103" s="239">
        <v>4283.18</v>
      </c>
      <c r="X103" s="239">
        <v>490</v>
      </c>
      <c r="Y103" s="239">
        <f t="shared" si="9"/>
        <v>40187.5</v>
      </c>
      <c r="Z103" s="239">
        <f>RICavMilestoneVal+CavityStatus[[#This Row],[Incentive Earned]]+CavityStatus[[#This Row],[Recipe Modification (Mod 9)]]+X103</f>
        <v>45960.68</v>
      </c>
      <c r="AA103" s="242"/>
      <c r="AB103" s="241"/>
      <c r="AE103" s="115">
        <f t="shared" si="7"/>
        <v>490</v>
      </c>
    </row>
    <row r="104" spans="1:31" x14ac:dyDescent="0.25">
      <c r="A104" s="232"/>
      <c r="B104" s="233" t="s">
        <v>345</v>
      </c>
      <c r="C104" s="233"/>
      <c r="D104" s="233"/>
      <c r="E104" s="233"/>
      <c r="F104" s="233"/>
      <c r="G104" s="233"/>
      <c r="H104" s="233"/>
      <c r="I104" s="233"/>
      <c r="J104" s="233"/>
      <c r="K104" s="234"/>
      <c r="L104" s="233"/>
      <c r="M104" s="233"/>
      <c r="N104" s="235">
        <v>42872</v>
      </c>
      <c r="O104" s="235"/>
      <c r="P104" s="235">
        <f>IF(CavityStatus[[#This Row],[Actual Ship Date]]&lt;&gt;0,($O104-$N104)/7,0)</f>
        <v>0</v>
      </c>
      <c r="Q104" s="236">
        <v>1000</v>
      </c>
      <c r="R104" s="236">
        <f t="shared" si="8"/>
        <v>1000</v>
      </c>
      <c r="S104" s="237"/>
      <c r="T104" s="235"/>
      <c r="U104" s="235"/>
      <c r="V104" s="233" t="s">
        <v>386</v>
      </c>
      <c r="W104" s="239">
        <v>4283.18</v>
      </c>
      <c r="X104" s="239">
        <v>490</v>
      </c>
      <c r="Y104" s="239">
        <f t="shared" si="9"/>
        <v>40187.5</v>
      </c>
      <c r="Z104" s="239">
        <f>RICavMilestoneVal+CavityStatus[[#This Row],[Incentive Earned]]+CavityStatus[[#This Row],[Recipe Modification (Mod 9)]]+X104</f>
        <v>45960.68</v>
      </c>
      <c r="AA104" s="242"/>
      <c r="AB104" s="241"/>
      <c r="AE104" s="115">
        <f t="shared" si="7"/>
        <v>490</v>
      </c>
    </row>
    <row r="105" spans="1:31" x14ac:dyDescent="0.25">
      <c r="A105" s="232"/>
      <c r="B105" s="233" t="s">
        <v>346</v>
      </c>
      <c r="C105" s="233"/>
      <c r="D105" s="233"/>
      <c r="E105" s="233"/>
      <c r="F105" s="233"/>
      <c r="G105" s="233"/>
      <c r="H105" s="233"/>
      <c r="I105" s="233"/>
      <c r="J105" s="233"/>
      <c r="K105" s="234"/>
      <c r="L105" s="233"/>
      <c r="M105" s="233"/>
      <c r="N105" s="235">
        <v>42872</v>
      </c>
      <c r="O105" s="235"/>
      <c r="P105" s="235">
        <f>IF(CavityStatus[[#This Row],[Actual Ship Date]]&lt;&gt;0,($O105-$N105)/7,0)</f>
        <v>0</v>
      </c>
      <c r="Q105" s="236">
        <v>1000</v>
      </c>
      <c r="R105" s="236">
        <f t="shared" si="8"/>
        <v>1000</v>
      </c>
      <c r="S105" s="237"/>
      <c r="T105" s="235"/>
      <c r="U105" s="235"/>
      <c r="V105" s="233" t="s">
        <v>386</v>
      </c>
      <c r="W105" s="239">
        <v>4283.18</v>
      </c>
      <c r="X105" s="239">
        <v>490</v>
      </c>
      <c r="Y105" s="239">
        <f t="shared" si="9"/>
        <v>40187.5</v>
      </c>
      <c r="Z105" s="239">
        <f>RICavMilestoneVal+CavityStatus[[#This Row],[Incentive Earned]]+CavityStatus[[#This Row],[Recipe Modification (Mod 9)]]+X105</f>
        <v>45960.68</v>
      </c>
      <c r="AA105" s="242"/>
      <c r="AB105" s="241"/>
      <c r="AE105" s="115">
        <f t="shared" si="7"/>
        <v>490</v>
      </c>
    </row>
    <row r="106" spans="1:31" x14ac:dyDescent="0.25">
      <c r="A106" s="232"/>
      <c r="B106" s="233" t="s">
        <v>347</v>
      </c>
      <c r="C106" s="233"/>
      <c r="D106" s="233"/>
      <c r="E106" s="233"/>
      <c r="F106" s="233"/>
      <c r="G106" s="233"/>
      <c r="H106" s="233"/>
      <c r="I106" s="233"/>
      <c r="J106" s="233"/>
      <c r="K106" s="234"/>
      <c r="L106" s="233"/>
      <c r="M106" s="233"/>
      <c r="N106" s="235">
        <v>42872</v>
      </c>
      <c r="O106" s="235"/>
      <c r="P106" s="235">
        <f>IF(CavityStatus[[#This Row],[Actual Ship Date]]&lt;&gt;0,($O106-$N106)/7,0)</f>
        <v>0</v>
      </c>
      <c r="Q106" s="236">
        <v>1000</v>
      </c>
      <c r="R106" s="236">
        <f t="shared" si="8"/>
        <v>1000</v>
      </c>
      <c r="S106" s="237"/>
      <c r="T106" s="235"/>
      <c r="U106" s="235"/>
      <c r="V106" s="233" t="s">
        <v>386</v>
      </c>
      <c r="W106" s="239">
        <v>4283.18</v>
      </c>
      <c r="X106" s="239">
        <v>490</v>
      </c>
      <c r="Y106" s="239">
        <f t="shared" si="9"/>
        <v>40187.5</v>
      </c>
      <c r="Z106" s="239">
        <f>RICavMilestoneVal+CavityStatus[[#This Row],[Incentive Earned]]+CavityStatus[[#This Row],[Recipe Modification (Mod 9)]]+X106</f>
        <v>45960.68</v>
      </c>
      <c r="AA106" s="242"/>
      <c r="AB106" s="241"/>
      <c r="AE106" s="115">
        <f t="shared" si="7"/>
        <v>490</v>
      </c>
    </row>
    <row r="107" spans="1:31" x14ac:dyDescent="0.25">
      <c r="A107" s="232"/>
      <c r="B107" s="233" t="s">
        <v>348</v>
      </c>
      <c r="C107" s="233"/>
      <c r="D107" s="233"/>
      <c r="E107" s="233"/>
      <c r="F107" s="233"/>
      <c r="G107" s="233"/>
      <c r="H107" s="233"/>
      <c r="I107" s="233"/>
      <c r="J107" s="233"/>
      <c r="K107" s="234"/>
      <c r="L107" s="233"/>
      <c r="M107" s="233"/>
      <c r="N107" s="235">
        <v>42872</v>
      </c>
      <c r="O107" s="235"/>
      <c r="P107" s="235">
        <f>IF(CavityStatus[[#This Row],[Actual Ship Date]]&lt;&gt;0,($O107-$N107)/7,0)</f>
        <v>0</v>
      </c>
      <c r="Q107" s="236">
        <v>1000</v>
      </c>
      <c r="R107" s="236">
        <f t="shared" si="8"/>
        <v>1000</v>
      </c>
      <c r="S107" s="237"/>
      <c r="T107" s="235"/>
      <c r="U107" s="235"/>
      <c r="V107" s="233" t="s">
        <v>386</v>
      </c>
      <c r="W107" s="239">
        <v>4283.18</v>
      </c>
      <c r="X107" s="239">
        <v>490</v>
      </c>
      <c r="Y107" s="239">
        <f t="shared" si="9"/>
        <v>40187.5</v>
      </c>
      <c r="Z107" s="239">
        <f>RICavMilestoneVal+CavityStatus[[#This Row],[Incentive Earned]]+CavityStatus[[#This Row],[Recipe Modification (Mod 9)]]+X107</f>
        <v>45960.68</v>
      </c>
      <c r="AA107" s="242"/>
      <c r="AB107" s="241"/>
      <c r="AE107" s="115">
        <f t="shared" si="7"/>
        <v>490</v>
      </c>
    </row>
    <row r="108" spans="1:31" x14ac:dyDescent="0.25">
      <c r="A108" s="232"/>
      <c r="B108" s="233" t="s">
        <v>349</v>
      </c>
      <c r="C108" s="233"/>
      <c r="D108" s="233"/>
      <c r="E108" s="233"/>
      <c r="F108" s="233"/>
      <c r="G108" s="233"/>
      <c r="H108" s="233"/>
      <c r="I108" s="233"/>
      <c r="J108" s="233"/>
      <c r="K108" s="234"/>
      <c r="L108" s="233"/>
      <c r="M108" s="233"/>
      <c r="N108" s="235">
        <v>42872</v>
      </c>
      <c r="O108" s="235"/>
      <c r="P108" s="235">
        <f>IF(CavityStatus[[#This Row],[Actual Ship Date]]&lt;&gt;0,($O108-$N108)/7,0)</f>
        <v>0</v>
      </c>
      <c r="Q108" s="236">
        <v>1000</v>
      </c>
      <c r="R108" s="236">
        <f t="shared" si="8"/>
        <v>1000</v>
      </c>
      <c r="S108" s="237"/>
      <c r="T108" s="235"/>
      <c r="U108" s="235"/>
      <c r="V108" s="233" t="s">
        <v>386</v>
      </c>
      <c r="W108" s="239">
        <v>4283.18</v>
      </c>
      <c r="X108" s="239">
        <v>490</v>
      </c>
      <c r="Y108" s="239">
        <f t="shared" si="9"/>
        <v>40187.5</v>
      </c>
      <c r="Z108" s="239">
        <f>RICavMilestoneVal+CavityStatus[[#This Row],[Incentive Earned]]+CavityStatus[[#This Row],[Recipe Modification (Mod 9)]]+X108</f>
        <v>45960.68</v>
      </c>
      <c r="AA108" s="242"/>
      <c r="AB108" s="241"/>
      <c r="AE108" s="115">
        <f t="shared" si="7"/>
        <v>490</v>
      </c>
    </row>
    <row r="109" spans="1:31" x14ac:dyDescent="0.25">
      <c r="A109" s="232"/>
      <c r="B109" s="233" t="s">
        <v>350</v>
      </c>
      <c r="C109" s="233"/>
      <c r="D109" s="233"/>
      <c r="E109" s="233"/>
      <c r="F109" s="233"/>
      <c r="G109" s="233"/>
      <c r="H109" s="233"/>
      <c r="I109" s="233"/>
      <c r="J109" s="233"/>
      <c r="K109" s="234"/>
      <c r="L109" s="233"/>
      <c r="M109" s="233"/>
      <c r="N109" s="235">
        <v>42872</v>
      </c>
      <c r="O109" s="235"/>
      <c r="P109" s="235">
        <f>IF(CavityStatus[[#This Row],[Actual Ship Date]]&lt;&gt;0,($O109-$N109)/7,0)</f>
        <v>0</v>
      </c>
      <c r="Q109" s="236">
        <v>1000</v>
      </c>
      <c r="R109" s="236">
        <f t="shared" si="8"/>
        <v>1000</v>
      </c>
      <c r="S109" s="237"/>
      <c r="T109" s="235"/>
      <c r="U109" s="235"/>
      <c r="V109" s="233" t="s">
        <v>386</v>
      </c>
      <c r="W109" s="239">
        <v>4283.18</v>
      </c>
      <c r="X109" s="239">
        <v>490</v>
      </c>
      <c r="Y109" s="239">
        <f t="shared" si="9"/>
        <v>40187.5</v>
      </c>
      <c r="Z109" s="239">
        <f>RICavMilestoneVal+CavityStatus[[#This Row],[Incentive Earned]]+CavityStatus[[#This Row],[Recipe Modification (Mod 9)]]+X109</f>
        <v>45960.68</v>
      </c>
      <c r="AA109" s="242"/>
      <c r="AB109" s="241"/>
      <c r="AE109" s="115">
        <f t="shared" si="7"/>
        <v>490</v>
      </c>
    </row>
    <row r="110" spans="1:31" x14ac:dyDescent="0.25">
      <c r="A110" s="232"/>
      <c r="B110" s="233" t="s">
        <v>351</v>
      </c>
      <c r="C110" s="233"/>
      <c r="D110" s="233"/>
      <c r="E110" s="233"/>
      <c r="F110" s="233"/>
      <c r="G110" s="233"/>
      <c r="H110" s="233"/>
      <c r="I110" s="233"/>
      <c r="J110" s="233"/>
      <c r="K110" s="234"/>
      <c r="L110" s="233"/>
      <c r="M110" s="233"/>
      <c r="N110" s="235">
        <v>42872</v>
      </c>
      <c r="O110" s="235"/>
      <c r="P110" s="235">
        <f>IF(CavityStatus[[#This Row],[Actual Ship Date]]&lt;&gt;0,($O110-$N110)/7,0)</f>
        <v>0</v>
      </c>
      <c r="Q110" s="236">
        <v>1000</v>
      </c>
      <c r="R110" s="236">
        <f t="shared" si="8"/>
        <v>1000</v>
      </c>
      <c r="S110" s="237"/>
      <c r="T110" s="235"/>
      <c r="U110" s="235"/>
      <c r="V110" s="233" t="s">
        <v>386</v>
      </c>
      <c r="W110" s="239">
        <v>4283.18</v>
      </c>
      <c r="X110" s="239">
        <v>490</v>
      </c>
      <c r="Y110" s="239">
        <f t="shared" si="9"/>
        <v>40187.5</v>
      </c>
      <c r="Z110" s="239">
        <f>RICavMilestoneVal+CavityStatus[[#This Row],[Incentive Earned]]+CavityStatus[[#This Row],[Recipe Modification (Mod 9)]]+X110</f>
        <v>45960.68</v>
      </c>
      <c r="AA110" s="242"/>
      <c r="AB110" s="241"/>
      <c r="AE110" s="115">
        <f t="shared" si="7"/>
        <v>490</v>
      </c>
    </row>
    <row r="111" spans="1:31" x14ac:dyDescent="0.25">
      <c r="A111" s="232"/>
      <c r="B111" s="233" t="s">
        <v>352</v>
      </c>
      <c r="C111" s="233"/>
      <c r="D111" s="233"/>
      <c r="E111" s="233"/>
      <c r="F111" s="233"/>
      <c r="G111" s="233"/>
      <c r="H111" s="233"/>
      <c r="I111" s="233"/>
      <c r="J111" s="233"/>
      <c r="K111" s="234"/>
      <c r="L111" s="233"/>
      <c r="M111" s="233"/>
      <c r="N111" s="235">
        <v>42872</v>
      </c>
      <c r="O111" s="235"/>
      <c r="P111" s="235">
        <f>IF(CavityStatus[[#This Row],[Actual Ship Date]]&lt;&gt;0,($O111-$N111)/7,0)</f>
        <v>0</v>
      </c>
      <c r="Q111" s="236">
        <v>1000</v>
      </c>
      <c r="R111" s="236">
        <f t="shared" si="8"/>
        <v>1000</v>
      </c>
      <c r="S111" s="237"/>
      <c r="T111" s="235"/>
      <c r="U111" s="235"/>
      <c r="V111" s="233" t="s">
        <v>386</v>
      </c>
      <c r="W111" s="239">
        <v>4283.18</v>
      </c>
      <c r="X111" s="239">
        <v>490</v>
      </c>
      <c r="Y111" s="239">
        <f t="shared" si="9"/>
        <v>40187.5</v>
      </c>
      <c r="Z111" s="239">
        <f>RICavMilestoneVal+CavityStatus[[#This Row],[Incentive Earned]]+CavityStatus[[#This Row],[Recipe Modification (Mod 9)]]+X111</f>
        <v>45960.68</v>
      </c>
      <c r="AA111" s="242"/>
      <c r="AB111" s="241"/>
      <c r="AE111" s="115">
        <f t="shared" si="7"/>
        <v>490</v>
      </c>
    </row>
    <row r="112" spans="1:31" x14ac:dyDescent="0.25">
      <c r="A112" s="232"/>
      <c r="B112" s="233" t="s">
        <v>353</v>
      </c>
      <c r="C112" s="233"/>
      <c r="D112" s="233"/>
      <c r="E112" s="233"/>
      <c r="F112" s="233"/>
      <c r="G112" s="233"/>
      <c r="H112" s="233"/>
      <c r="I112" s="233"/>
      <c r="J112" s="233"/>
      <c r="K112" s="234"/>
      <c r="L112" s="233"/>
      <c r="M112" s="233"/>
      <c r="N112" s="235">
        <v>42872</v>
      </c>
      <c r="O112" s="235"/>
      <c r="P112" s="235">
        <f>IF(CavityStatus[[#This Row],[Actual Ship Date]]&lt;&gt;0,($O112-$N112)/7,0)</f>
        <v>0</v>
      </c>
      <c r="Q112" s="236">
        <v>1000</v>
      </c>
      <c r="R112" s="236">
        <f t="shared" si="8"/>
        <v>1000</v>
      </c>
      <c r="S112" s="237"/>
      <c r="T112" s="235"/>
      <c r="U112" s="235"/>
      <c r="V112" s="233" t="s">
        <v>386</v>
      </c>
      <c r="W112" s="239">
        <v>4283.18</v>
      </c>
      <c r="X112" s="239">
        <v>490</v>
      </c>
      <c r="Y112" s="239">
        <f t="shared" si="9"/>
        <v>40187.5</v>
      </c>
      <c r="Z112" s="239">
        <f>RICavMilestoneVal+CavityStatus[[#This Row],[Incentive Earned]]+CavityStatus[[#This Row],[Recipe Modification (Mod 9)]]+X112</f>
        <v>45960.68</v>
      </c>
      <c r="AA112" s="242"/>
      <c r="AB112" s="241"/>
      <c r="AE112" s="115">
        <f t="shared" si="7"/>
        <v>490</v>
      </c>
    </row>
    <row r="113" spans="1:31" x14ac:dyDescent="0.25">
      <c r="A113" s="232"/>
      <c r="B113" s="233" t="s">
        <v>354</v>
      </c>
      <c r="C113" s="233"/>
      <c r="D113" s="233"/>
      <c r="E113" s="233"/>
      <c r="F113" s="233"/>
      <c r="G113" s="233"/>
      <c r="H113" s="233"/>
      <c r="I113" s="233"/>
      <c r="J113" s="233"/>
      <c r="K113" s="234"/>
      <c r="L113" s="233"/>
      <c r="M113" s="233"/>
      <c r="N113" s="235">
        <v>42872</v>
      </c>
      <c r="O113" s="235"/>
      <c r="P113" s="235">
        <f>IF(CavityStatus[[#This Row],[Actual Ship Date]]&lt;&gt;0,($O113-$N113)/7,0)</f>
        <v>0</v>
      </c>
      <c r="Q113" s="236">
        <v>1000</v>
      </c>
      <c r="R113" s="236">
        <f t="shared" si="8"/>
        <v>1000</v>
      </c>
      <c r="S113" s="237"/>
      <c r="T113" s="235"/>
      <c r="U113" s="235"/>
      <c r="V113" s="233" t="s">
        <v>386</v>
      </c>
      <c r="W113" s="239">
        <v>4283.18</v>
      </c>
      <c r="X113" s="239">
        <v>490</v>
      </c>
      <c r="Y113" s="239">
        <f t="shared" si="9"/>
        <v>40187.5</v>
      </c>
      <c r="Z113" s="239">
        <f>RICavMilestoneVal+CavityStatus[[#This Row],[Incentive Earned]]+CavityStatus[[#This Row],[Recipe Modification (Mod 9)]]+X113</f>
        <v>45960.68</v>
      </c>
      <c r="AA113" s="242"/>
      <c r="AB113" s="241"/>
      <c r="AE113" s="115">
        <f t="shared" si="7"/>
        <v>490</v>
      </c>
    </row>
    <row r="114" spans="1:31" x14ac:dyDescent="0.25">
      <c r="A114" s="232"/>
      <c r="B114" s="233" t="s">
        <v>355</v>
      </c>
      <c r="C114" s="233"/>
      <c r="D114" s="233"/>
      <c r="E114" s="233"/>
      <c r="F114" s="233"/>
      <c r="G114" s="233"/>
      <c r="H114" s="233"/>
      <c r="I114" s="233"/>
      <c r="J114" s="233"/>
      <c r="K114" s="234"/>
      <c r="L114" s="233"/>
      <c r="M114" s="233"/>
      <c r="N114" s="235">
        <v>42900</v>
      </c>
      <c r="O114" s="235"/>
      <c r="P114" s="235">
        <f>IF(CavityStatus[[#This Row],[Actual Ship Date]]&lt;&gt;0,($O114-$N114)/7,0)</f>
        <v>0</v>
      </c>
      <c r="Q114" s="236">
        <v>1000</v>
      </c>
      <c r="R114" s="236">
        <f t="shared" si="8"/>
        <v>1000</v>
      </c>
      <c r="S114" s="237"/>
      <c r="T114" s="235"/>
      <c r="U114" s="235"/>
      <c r="V114" s="233" t="s">
        <v>386</v>
      </c>
      <c r="W114" s="239">
        <v>4283.18</v>
      </c>
      <c r="X114" s="239">
        <v>490</v>
      </c>
      <c r="Y114" s="239">
        <f t="shared" si="9"/>
        <v>40187.5</v>
      </c>
      <c r="Z114" s="239">
        <f>RICavMilestoneVal+CavityStatus[[#This Row],[Incentive Earned]]+CavityStatus[[#This Row],[Recipe Modification (Mod 9)]]+X114</f>
        <v>45960.68</v>
      </c>
      <c r="AA114" s="242"/>
      <c r="AB114" s="241"/>
      <c r="AE114" s="115">
        <f t="shared" si="7"/>
        <v>490</v>
      </c>
    </row>
    <row r="115" spans="1:31" x14ac:dyDescent="0.25">
      <c r="A115" s="232"/>
      <c r="B115" s="233" t="s">
        <v>356</v>
      </c>
      <c r="C115" s="233"/>
      <c r="D115" s="233"/>
      <c r="E115" s="233"/>
      <c r="F115" s="233"/>
      <c r="G115" s="233"/>
      <c r="H115" s="233"/>
      <c r="I115" s="233"/>
      <c r="J115" s="233"/>
      <c r="K115" s="234"/>
      <c r="L115" s="233"/>
      <c r="M115" s="233"/>
      <c r="N115" s="235">
        <v>42900</v>
      </c>
      <c r="O115" s="235"/>
      <c r="P115" s="235">
        <f>IF(CavityStatus[[#This Row],[Actual Ship Date]]&lt;&gt;0,($O115-$N115)/7,0)</f>
        <v>0</v>
      </c>
      <c r="Q115" s="236">
        <v>1000</v>
      </c>
      <c r="R115" s="236">
        <f t="shared" si="8"/>
        <v>1000</v>
      </c>
      <c r="S115" s="237"/>
      <c r="T115" s="235"/>
      <c r="U115" s="235"/>
      <c r="V115" s="233" t="s">
        <v>386</v>
      </c>
      <c r="W115" s="239">
        <v>4283.18</v>
      </c>
      <c r="X115" s="239">
        <v>490</v>
      </c>
      <c r="Y115" s="239">
        <f t="shared" si="9"/>
        <v>40187.5</v>
      </c>
      <c r="Z115" s="239">
        <f>RICavMilestoneVal+CavityStatus[[#This Row],[Incentive Earned]]+CavityStatus[[#This Row],[Recipe Modification (Mod 9)]]+X115</f>
        <v>45960.68</v>
      </c>
      <c r="AA115" s="242"/>
      <c r="AB115" s="241"/>
      <c r="AE115" s="115">
        <f t="shared" si="7"/>
        <v>490</v>
      </c>
    </row>
    <row r="116" spans="1:31" x14ac:dyDescent="0.25">
      <c r="A116" s="232"/>
      <c r="B116" s="233" t="s">
        <v>357</v>
      </c>
      <c r="C116" s="233"/>
      <c r="D116" s="233"/>
      <c r="E116" s="233"/>
      <c r="F116" s="233"/>
      <c r="G116" s="233"/>
      <c r="H116" s="233"/>
      <c r="I116" s="233"/>
      <c r="J116" s="233"/>
      <c r="K116" s="234"/>
      <c r="L116" s="233"/>
      <c r="M116" s="233"/>
      <c r="N116" s="235">
        <v>42900</v>
      </c>
      <c r="O116" s="235"/>
      <c r="P116" s="235">
        <f>IF(CavityStatus[[#This Row],[Actual Ship Date]]&lt;&gt;0,($O116-$N116)/7,0)</f>
        <v>0</v>
      </c>
      <c r="Q116" s="236">
        <v>1000</v>
      </c>
      <c r="R116" s="236">
        <f t="shared" si="8"/>
        <v>1000</v>
      </c>
      <c r="S116" s="237"/>
      <c r="T116" s="235"/>
      <c r="U116" s="235"/>
      <c r="V116" s="233" t="s">
        <v>386</v>
      </c>
      <c r="W116" s="239">
        <v>4283.18</v>
      </c>
      <c r="X116" s="239">
        <v>490</v>
      </c>
      <c r="Y116" s="239">
        <f t="shared" si="9"/>
        <v>40187.5</v>
      </c>
      <c r="Z116" s="239">
        <f>RICavMilestoneVal+CavityStatus[[#This Row],[Incentive Earned]]+CavityStatus[[#This Row],[Recipe Modification (Mod 9)]]+X116</f>
        <v>45960.68</v>
      </c>
      <c r="AA116" s="242"/>
      <c r="AB116" s="241"/>
      <c r="AE116" s="115">
        <f t="shared" si="7"/>
        <v>490</v>
      </c>
    </row>
    <row r="117" spans="1:31" x14ac:dyDescent="0.25">
      <c r="A117" s="232"/>
      <c r="B117" s="233" t="s">
        <v>358</v>
      </c>
      <c r="C117" s="233"/>
      <c r="D117" s="233"/>
      <c r="E117" s="233"/>
      <c r="F117" s="233"/>
      <c r="G117" s="233"/>
      <c r="H117" s="233"/>
      <c r="I117" s="233"/>
      <c r="J117" s="233"/>
      <c r="K117" s="234"/>
      <c r="L117" s="233"/>
      <c r="M117" s="233"/>
      <c r="N117" s="235">
        <v>42900</v>
      </c>
      <c r="O117" s="235"/>
      <c r="P117" s="235">
        <f>IF(CavityStatus[[#This Row],[Actual Ship Date]]&lt;&gt;0,($O117-$N117)/7,0)</f>
        <v>0</v>
      </c>
      <c r="Q117" s="236">
        <v>1000</v>
      </c>
      <c r="R117" s="236">
        <f t="shared" si="8"/>
        <v>1000</v>
      </c>
      <c r="S117" s="237"/>
      <c r="T117" s="235"/>
      <c r="U117" s="235"/>
      <c r="V117" s="233" t="s">
        <v>386</v>
      </c>
      <c r="W117" s="239">
        <v>4283.18</v>
      </c>
      <c r="X117" s="239">
        <v>490</v>
      </c>
      <c r="Y117" s="239">
        <f t="shared" si="9"/>
        <v>40187.5</v>
      </c>
      <c r="Z117" s="239">
        <f>RICavMilestoneVal+CavityStatus[[#This Row],[Incentive Earned]]+CavityStatus[[#This Row],[Recipe Modification (Mod 9)]]+X117</f>
        <v>45960.68</v>
      </c>
      <c r="AA117" s="242"/>
      <c r="AB117" s="241"/>
      <c r="AE117" s="115">
        <f t="shared" si="7"/>
        <v>490</v>
      </c>
    </row>
    <row r="118" spans="1:31" x14ac:dyDescent="0.25">
      <c r="A118" s="232"/>
      <c r="B118" s="233" t="s">
        <v>359</v>
      </c>
      <c r="C118" s="233"/>
      <c r="D118" s="233"/>
      <c r="E118" s="233"/>
      <c r="F118" s="233"/>
      <c r="G118" s="233"/>
      <c r="H118" s="233"/>
      <c r="I118" s="233"/>
      <c r="J118" s="233"/>
      <c r="K118" s="234"/>
      <c r="L118" s="233"/>
      <c r="M118" s="233"/>
      <c r="N118" s="235">
        <v>42900</v>
      </c>
      <c r="O118" s="235"/>
      <c r="P118" s="235">
        <f>IF(CavityStatus[[#This Row],[Actual Ship Date]]&lt;&gt;0,($O118-$N118)/7,0)</f>
        <v>0</v>
      </c>
      <c r="Q118" s="236">
        <v>1000</v>
      </c>
      <c r="R118" s="236">
        <f t="shared" si="8"/>
        <v>1000</v>
      </c>
      <c r="S118" s="237"/>
      <c r="T118" s="235"/>
      <c r="U118" s="235"/>
      <c r="V118" s="233" t="s">
        <v>386</v>
      </c>
      <c r="W118" s="239">
        <v>4283.18</v>
      </c>
      <c r="X118" s="239">
        <v>490</v>
      </c>
      <c r="Y118" s="239">
        <f t="shared" si="9"/>
        <v>40187.5</v>
      </c>
      <c r="Z118" s="239">
        <f>RICavMilestoneVal+CavityStatus[[#This Row],[Incentive Earned]]+CavityStatus[[#This Row],[Recipe Modification (Mod 9)]]+X118</f>
        <v>45960.68</v>
      </c>
      <c r="AA118" s="242"/>
      <c r="AB118" s="241"/>
      <c r="AE118" s="115">
        <f t="shared" si="7"/>
        <v>490</v>
      </c>
    </row>
    <row r="119" spans="1:31" x14ac:dyDescent="0.25">
      <c r="A119" s="232"/>
      <c r="B119" s="233" t="s">
        <v>360</v>
      </c>
      <c r="C119" s="233"/>
      <c r="D119" s="233"/>
      <c r="E119" s="233"/>
      <c r="F119" s="233"/>
      <c r="G119" s="233"/>
      <c r="H119" s="233"/>
      <c r="I119" s="233"/>
      <c r="J119" s="233"/>
      <c r="K119" s="234"/>
      <c r="L119" s="233"/>
      <c r="M119" s="233"/>
      <c r="N119" s="235">
        <v>42900</v>
      </c>
      <c r="O119" s="235"/>
      <c r="P119" s="235">
        <f>IF(CavityStatus[[#This Row],[Actual Ship Date]]&lt;&gt;0,($O119-$N119)/7,0)</f>
        <v>0</v>
      </c>
      <c r="Q119" s="236">
        <v>1000</v>
      </c>
      <c r="R119" s="236">
        <f t="shared" si="8"/>
        <v>1000</v>
      </c>
      <c r="S119" s="237"/>
      <c r="T119" s="235"/>
      <c r="U119" s="235"/>
      <c r="V119" s="233" t="s">
        <v>386</v>
      </c>
      <c r="W119" s="239">
        <v>4283.18</v>
      </c>
      <c r="X119" s="239">
        <v>490</v>
      </c>
      <c r="Y119" s="239">
        <f t="shared" si="9"/>
        <v>40187.5</v>
      </c>
      <c r="Z119" s="239">
        <f>RICavMilestoneVal+CavityStatus[[#This Row],[Incentive Earned]]+CavityStatus[[#This Row],[Recipe Modification (Mod 9)]]+X119</f>
        <v>45960.68</v>
      </c>
      <c r="AA119" s="242"/>
      <c r="AB119" s="241"/>
      <c r="AE119" s="115">
        <f t="shared" si="7"/>
        <v>490</v>
      </c>
    </row>
    <row r="120" spans="1:31" x14ac:dyDescent="0.25">
      <c r="A120" s="232"/>
      <c r="B120" s="233" t="s">
        <v>361</v>
      </c>
      <c r="C120" s="233"/>
      <c r="D120" s="233"/>
      <c r="E120" s="233"/>
      <c r="F120" s="233"/>
      <c r="G120" s="233"/>
      <c r="H120" s="233"/>
      <c r="I120" s="233"/>
      <c r="J120" s="233"/>
      <c r="K120" s="234"/>
      <c r="L120" s="233"/>
      <c r="M120" s="233"/>
      <c r="N120" s="235">
        <v>42900</v>
      </c>
      <c r="O120" s="235"/>
      <c r="P120" s="235">
        <f>IF(CavityStatus[[#This Row],[Actual Ship Date]]&lt;&gt;0,($O120-$N120)/7,0)</f>
        <v>0</v>
      </c>
      <c r="Q120" s="236">
        <v>1000</v>
      </c>
      <c r="R120" s="236">
        <f t="shared" si="8"/>
        <v>1000</v>
      </c>
      <c r="S120" s="237"/>
      <c r="T120" s="235"/>
      <c r="U120" s="235"/>
      <c r="V120" s="233" t="s">
        <v>386</v>
      </c>
      <c r="W120" s="239">
        <v>4283.18</v>
      </c>
      <c r="X120" s="239">
        <v>490</v>
      </c>
      <c r="Y120" s="239">
        <f t="shared" si="9"/>
        <v>40187.5</v>
      </c>
      <c r="Z120" s="239">
        <f>RICavMilestoneVal+CavityStatus[[#This Row],[Incentive Earned]]+CavityStatus[[#This Row],[Recipe Modification (Mod 9)]]+X120</f>
        <v>45960.68</v>
      </c>
      <c r="AA120" s="242"/>
      <c r="AB120" s="241"/>
      <c r="AE120" s="115">
        <f t="shared" si="7"/>
        <v>490</v>
      </c>
    </row>
    <row r="121" spans="1:31" x14ac:dyDescent="0.25">
      <c r="A121" s="232"/>
      <c r="B121" s="233" t="s">
        <v>362</v>
      </c>
      <c r="C121" s="233"/>
      <c r="D121" s="233"/>
      <c r="E121" s="233"/>
      <c r="F121" s="233"/>
      <c r="G121" s="233"/>
      <c r="H121" s="233"/>
      <c r="I121" s="233"/>
      <c r="J121" s="233"/>
      <c r="K121" s="234"/>
      <c r="L121" s="233"/>
      <c r="M121" s="233"/>
      <c r="N121" s="235">
        <v>42900</v>
      </c>
      <c r="O121" s="235"/>
      <c r="P121" s="235">
        <f>IF(CavityStatus[[#This Row],[Actual Ship Date]]&lt;&gt;0,($O121-$N121)/7,0)</f>
        <v>0</v>
      </c>
      <c r="Q121" s="236">
        <v>1000</v>
      </c>
      <c r="R121" s="236">
        <f t="shared" si="8"/>
        <v>1000</v>
      </c>
      <c r="S121" s="237"/>
      <c r="T121" s="235"/>
      <c r="U121" s="235"/>
      <c r="V121" s="233" t="s">
        <v>386</v>
      </c>
      <c r="W121" s="239">
        <v>4283.18</v>
      </c>
      <c r="X121" s="239">
        <v>490</v>
      </c>
      <c r="Y121" s="239">
        <f t="shared" si="9"/>
        <v>40187.5</v>
      </c>
      <c r="Z121" s="239">
        <f>RICavMilestoneVal+CavityStatus[[#This Row],[Incentive Earned]]+CavityStatus[[#This Row],[Recipe Modification (Mod 9)]]+X121</f>
        <v>45960.68</v>
      </c>
      <c r="AA121" s="242"/>
      <c r="AB121" s="241"/>
      <c r="AE121" s="115">
        <f t="shared" si="7"/>
        <v>490</v>
      </c>
    </row>
    <row r="122" spans="1:31" x14ac:dyDescent="0.25">
      <c r="A122" s="232"/>
      <c r="B122" s="233" t="s">
        <v>363</v>
      </c>
      <c r="C122" s="233"/>
      <c r="D122" s="233"/>
      <c r="E122" s="233"/>
      <c r="F122" s="233"/>
      <c r="G122" s="233"/>
      <c r="H122" s="233"/>
      <c r="I122" s="233"/>
      <c r="J122" s="233"/>
      <c r="K122" s="234"/>
      <c r="L122" s="233"/>
      <c r="M122" s="233"/>
      <c r="N122" s="235">
        <v>42900</v>
      </c>
      <c r="O122" s="235"/>
      <c r="P122" s="235">
        <f>IF(CavityStatus[[#This Row],[Actual Ship Date]]&lt;&gt;0,($O122-$N122)/7,0)</f>
        <v>0</v>
      </c>
      <c r="Q122" s="236">
        <v>1000</v>
      </c>
      <c r="R122" s="236">
        <f t="shared" si="8"/>
        <v>1000</v>
      </c>
      <c r="S122" s="237"/>
      <c r="T122" s="235"/>
      <c r="U122" s="235"/>
      <c r="V122" s="233" t="s">
        <v>386</v>
      </c>
      <c r="W122" s="239">
        <v>4283.18</v>
      </c>
      <c r="X122" s="239">
        <v>490</v>
      </c>
      <c r="Y122" s="239">
        <f t="shared" si="9"/>
        <v>40187.5</v>
      </c>
      <c r="Z122" s="239">
        <f>RICavMilestoneVal+CavityStatus[[#This Row],[Incentive Earned]]+CavityStatus[[#This Row],[Recipe Modification (Mod 9)]]+X122</f>
        <v>45960.68</v>
      </c>
      <c r="AA122" s="242"/>
      <c r="AB122" s="241"/>
      <c r="AE122" s="115">
        <f t="shared" si="7"/>
        <v>490</v>
      </c>
    </row>
    <row r="123" spans="1:31" x14ac:dyDescent="0.25">
      <c r="A123" s="232"/>
      <c r="B123" s="233" t="s">
        <v>364</v>
      </c>
      <c r="C123" s="233"/>
      <c r="D123" s="233"/>
      <c r="E123" s="233"/>
      <c r="F123" s="233"/>
      <c r="G123" s="233"/>
      <c r="H123" s="233"/>
      <c r="I123" s="233"/>
      <c r="J123" s="233"/>
      <c r="K123" s="234"/>
      <c r="L123" s="233"/>
      <c r="M123" s="233"/>
      <c r="N123" s="235">
        <v>42900</v>
      </c>
      <c r="O123" s="235"/>
      <c r="P123" s="235">
        <f>IF(CavityStatus[[#This Row],[Actual Ship Date]]&lt;&gt;0,($O123-$N123)/7,0)</f>
        <v>0</v>
      </c>
      <c r="Q123" s="236">
        <v>1000</v>
      </c>
      <c r="R123" s="236">
        <f t="shared" si="8"/>
        <v>1000</v>
      </c>
      <c r="S123" s="237"/>
      <c r="T123" s="235"/>
      <c r="U123" s="235"/>
      <c r="V123" s="233" t="s">
        <v>386</v>
      </c>
      <c r="W123" s="239">
        <v>4283.18</v>
      </c>
      <c r="X123" s="239">
        <v>490</v>
      </c>
      <c r="Y123" s="239">
        <f t="shared" si="9"/>
        <v>40187.5</v>
      </c>
      <c r="Z123" s="239">
        <f>RICavMilestoneVal+CavityStatus[[#This Row],[Incentive Earned]]+CavityStatus[[#This Row],[Recipe Modification (Mod 9)]]+X123</f>
        <v>45960.68</v>
      </c>
      <c r="AA123" s="242"/>
      <c r="AB123" s="241"/>
      <c r="AE123" s="115">
        <f t="shared" si="7"/>
        <v>490</v>
      </c>
    </row>
    <row r="124" spans="1:31" x14ac:dyDescent="0.25">
      <c r="A124" s="232"/>
      <c r="B124" s="233" t="s">
        <v>365</v>
      </c>
      <c r="C124" s="233"/>
      <c r="D124" s="233"/>
      <c r="E124" s="233"/>
      <c r="F124" s="233"/>
      <c r="G124" s="233"/>
      <c r="H124" s="233"/>
      <c r="I124" s="233"/>
      <c r="J124" s="233"/>
      <c r="K124" s="234"/>
      <c r="L124" s="233"/>
      <c r="M124" s="233"/>
      <c r="N124" s="235">
        <v>42900</v>
      </c>
      <c r="O124" s="235"/>
      <c r="P124" s="235">
        <f>IF(CavityStatus[[#This Row],[Actual Ship Date]]&lt;&gt;0,($O124-$N124)/7,0)</f>
        <v>0</v>
      </c>
      <c r="Q124" s="236">
        <v>1000</v>
      </c>
      <c r="R124" s="236">
        <f t="shared" si="8"/>
        <v>1000</v>
      </c>
      <c r="S124" s="237"/>
      <c r="T124" s="235"/>
      <c r="U124" s="235"/>
      <c r="V124" s="233" t="s">
        <v>386</v>
      </c>
      <c r="W124" s="239">
        <v>4283.18</v>
      </c>
      <c r="X124" s="239">
        <v>490</v>
      </c>
      <c r="Y124" s="239">
        <f t="shared" si="9"/>
        <v>40187.5</v>
      </c>
      <c r="Z124" s="239">
        <f>RICavMilestoneVal+CavityStatus[[#This Row],[Incentive Earned]]+CavityStatus[[#This Row],[Recipe Modification (Mod 9)]]+X124</f>
        <v>45960.68</v>
      </c>
      <c r="AA124" s="242"/>
      <c r="AB124" s="241"/>
      <c r="AE124" s="115">
        <f t="shared" si="7"/>
        <v>490</v>
      </c>
    </row>
    <row r="125" spans="1:31" x14ac:dyDescent="0.25">
      <c r="A125" s="232"/>
      <c r="B125" s="233" t="s">
        <v>366</v>
      </c>
      <c r="C125" s="233"/>
      <c r="D125" s="233"/>
      <c r="E125" s="233"/>
      <c r="F125" s="233"/>
      <c r="G125" s="233"/>
      <c r="H125" s="233"/>
      <c r="I125" s="233"/>
      <c r="J125" s="233"/>
      <c r="K125" s="234"/>
      <c r="L125" s="233"/>
      <c r="M125" s="233"/>
      <c r="N125" s="235">
        <v>42900</v>
      </c>
      <c r="O125" s="235"/>
      <c r="P125" s="235">
        <f>IF(CavityStatus[[#This Row],[Actual Ship Date]]&lt;&gt;0,($O125-$N125)/7,0)</f>
        <v>0</v>
      </c>
      <c r="Q125" s="236">
        <v>1000</v>
      </c>
      <c r="R125" s="236">
        <f t="shared" si="8"/>
        <v>1000</v>
      </c>
      <c r="S125" s="237"/>
      <c r="T125" s="235"/>
      <c r="U125" s="235"/>
      <c r="V125" s="233" t="s">
        <v>386</v>
      </c>
      <c r="W125" s="239">
        <v>4283.18</v>
      </c>
      <c r="X125" s="239">
        <v>490</v>
      </c>
      <c r="Y125" s="239">
        <f t="shared" si="9"/>
        <v>40187.5</v>
      </c>
      <c r="Z125" s="239">
        <f>RICavMilestoneVal+CavityStatus[[#This Row],[Incentive Earned]]+CavityStatus[[#This Row],[Recipe Modification (Mod 9)]]+X125</f>
        <v>45960.68</v>
      </c>
      <c r="AA125" s="242"/>
      <c r="AB125" s="241"/>
      <c r="AE125" s="115">
        <f t="shared" si="7"/>
        <v>490</v>
      </c>
    </row>
    <row r="126" spans="1:31" x14ac:dyDescent="0.25">
      <c r="A126" s="232"/>
      <c r="B126" s="233" t="s">
        <v>367</v>
      </c>
      <c r="C126" s="233"/>
      <c r="D126" s="233"/>
      <c r="E126" s="233"/>
      <c r="F126" s="233"/>
      <c r="G126" s="233"/>
      <c r="H126" s="233"/>
      <c r="I126" s="233"/>
      <c r="J126" s="233"/>
      <c r="K126" s="234"/>
      <c r="L126" s="233"/>
      <c r="M126" s="233"/>
      <c r="N126" s="235">
        <v>42928</v>
      </c>
      <c r="O126" s="235"/>
      <c r="P126" s="235">
        <f>IF(CavityStatus[[#This Row],[Actual Ship Date]]&lt;&gt;0,($O126-$N126)/7,0)</f>
        <v>0</v>
      </c>
      <c r="Q126" s="236">
        <v>1000</v>
      </c>
      <c r="R126" s="236">
        <f t="shared" si="8"/>
        <v>1000</v>
      </c>
      <c r="S126" s="237"/>
      <c r="T126" s="235"/>
      <c r="U126" s="235"/>
      <c r="V126" s="233" t="s">
        <v>386</v>
      </c>
      <c r="W126" s="239">
        <v>4283.18</v>
      </c>
      <c r="X126" s="239">
        <v>490</v>
      </c>
      <c r="Y126" s="239">
        <f t="shared" si="9"/>
        <v>40187.5</v>
      </c>
      <c r="Z126" s="239">
        <f>RICavMilestoneVal+CavityStatus[[#This Row],[Incentive Earned]]+CavityStatus[[#This Row],[Recipe Modification (Mod 9)]]+X126</f>
        <v>45960.68</v>
      </c>
      <c r="AA126" s="242"/>
      <c r="AB126" s="241"/>
      <c r="AE126" s="115">
        <f t="shared" si="7"/>
        <v>490</v>
      </c>
    </row>
    <row r="127" spans="1:31" x14ac:dyDescent="0.25">
      <c r="A127" s="232"/>
      <c r="B127" s="233" t="s">
        <v>368</v>
      </c>
      <c r="C127" s="233"/>
      <c r="D127" s="233"/>
      <c r="E127" s="233"/>
      <c r="F127" s="233"/>
      <c r="G127" s="233"/>
      <c r="H127" s="233"/>
      <c r="I127" s="233"/>
      <c r="J127" s="233"/>
      <c r="K127" s="234"/>
      <c r="L127" s="233"/>
      <c r="M127" s="233"/>
      <c r="N127" s="235">
        <v>42928</v>
      </c>
      <c r="O127" s="235"/>
      <c r="P127" s="235">
        <f>IF(CavityStatus[[#This Row],[Actual Ship Date]]&lt;&gt;0,($O127-$N127)/7,0)</f>
        <v>0</v>
      </c>
      <c r="Q127" s="236">
        <v>1000</v>
      </c>
      <c r="R127" s="236">
        <f t="shared" si="8"/>
        <v>1000</v>
      </c>
      <c r="S127" s="237"/>
      <c r="T127" s="235"/>
      <c r="U127" s="235"/>
      <c r="V127" s="233" t="s">
        <v>386</v>
      </c>
      <c r="W127" s="239">
        <v>4283.18</v>
      </c>
      <c r="X127" s="239">
        <v>490</v>
      </c>
      <c r="Y127" s="239">
        <f t="shared" si="9"/>
        <v>40187.5</v>
      </c>
      <c r="Z127" s="239">
        <f>RICavMilestoneVal+CavityStatus[[#This Row],[Incentive Earned]]+CavityStatus[[#This Row],[Recipe Modification (Mod 9)]]+X127</f>
        <v>45960.68</v>
      </c>
      <c r="AA127" s="242"/>
      <c r="AB127" s="241"/>
      <c r="AE127" s="115">
        <f t="shared" si="7"/>
        <v>490</v>
      </c>
    </row>
    <row r="128" spans="1:31" x14ac:dyDescent="0.25">
      <c r="A128" s="232"/>
      <c r="B128" s="233" t="s">
        <v>369</v>
      </c>
      <c r="C128" s="233"/>
      <c r="D128" s="233"/>
      <c r="E128" s="233"/>
      <c r="F128" s="233"/>
      <c r="G128" s="233"/>
      <c r="H128" s="233"/>
      <c r="I128" s="233"/>
      <c r="J128" s="233"/>
      <c r="K128" s="234"/>
      <c r="L128" s="233"/>
      <c r="M128" s="233"/>
      <c r="N128" s="235">
        <v>42928</v>
      </c>
      <c r="O128" s="235"/>
      <c r="P128" s="235">
        <f>IF(CavityStatus[[#This Row],[Actual Ship Date]]&lt;&gt;0,($O128-$N128)/7,0)</f>
        <v>0</v>
      </c>
      <c r="Q128" s="236">
        <v>1000</v>
      </c>
      <c r="R128" s="236">
        <f t="shared" si="8"/>
        <v>1000</v>
      </c>
      <c r="S128" s="237"/>
      <c r="T128" s="235"/>
      <c r="U128" s="235"/>
      <c r="V128" s="233" t="s">
        <v>386</v>
      </c>
      <c r="W128" s="239">
        <v>4283.18</v>
      </c>
      <c r="X128" s="239">
        <v>490</v>
      </c>
      <c r="Y128" s="239">
        <f t="shared" si="9"/>
        <v>40187.5</v>
      </c>
      <c r="Z128" s="239">
        <f>RICavMilestoneVal+CavityStatus[[#This Row],[Incentive Earned]]+CavityStatus[[#This Row],[Recipe Modification (Mod 9)]]+X128</f>
        <v>45960.68</v>
      </c>
      <c r="AA128" s="242"/>
      <c r="AB128" s="241"/>
      <c r="AE128" s="115">
        <f t="shared" si="7"/>
        <v>490</v>
      </c>
    </row>
    <row r="129" spans="1:31" x14ac:dyDescent="0.25">
      <c r="A129" s="232"/>
      <c r="B129" s="233" t="s">
        <v>370</v>
      </c>
      <c r="C129" s="233"/>
      <c r="D129" s="233"/>
      <c r="E129" s="233"/>
      <c r="F129" s="233"/>
      <c r="G129" s="233"/>
      <c r="H129" s="233"/>
      <c r="I129" s="233"/>
      <c r="J129" s="233"/>
      <c r="K129" s="234"/>
      <c r="L129" s="233"/>
      <c r="M129" s="233"/>
      <c r="N129" s="235">
        <v>42928</v>
      </c>
      <c r="O129" s="235"/>
      <c r="P129" s="235">
        <f>IF(CavityStatus[[#This Row],[Actual Ship Date]]&lt;&gt;0,($O129-$N129)/7,0)</f>
        <v>0</v>
      </c>
      <c r="Q129" s="236">
        <v>1000</v>
      </c>
      <c r="R129" s="236">
        <f t="shared" si="8"/>
        <v>1000</v>
      </c>
      <c r="S129" s="237"/>
      <c r="T129" s="235"/>
      <c r="U129" s="235"/>
      <c r="V129" s="233" t="s">
        <v>386</v>
      </c>
      <c r="W129" s="239">
        <v>4283.18</v>
      </c>
      <c r="X129" s="239">
        <v>490</v>
      </c>
      <c r="Y129" s="239">
        <f t="shared" si="9"/>
        <v>40187.5</v>
      </c>
      <c r="Z129" s="239">
        <f>RICavMilestoneVal+CavityStatus[[#This Row],[Incentive Earned]]+CavityStatus[[#This Row],[Recipe Modification (Mod 9)]]+X129</f>
        <v>45960.68</v>
      </c>
      <c r="AA129" s="242"/>
      <c r="AB129" s="241"/>
      <c r="AE129" s="115">
        <f t="shared" si="7"/>
        <v>490</v>
      </c>
    </row>
    <row r="130" spans="1:31" x14ac:dyDescent="0.25">
      <c r="A130" s="232"/>
      <c r="B130" s="233" t="s">
        <v>371</v>
      </c>
      <c r="C130" s="233"/>
      <c r="D130" s="233"/>
      <c r="E130" s="233"/>
      <c r="F130" s="233"/>
      <c r="G130" s="233"/>
      <c r="H130" s="233"/>
      <c r="I130" s="233"/>
      <c r="J130" s="233"/>
      <c r="K130" s="234"/>
      <c r="L130" s="233"/>
      <c r="M130" s="233"/>
      <c r="N130" s="235">
        <v>42928</v>
      </c>
      <c r="O130" s="235"/>
      <c r="P130" s="235">
        <f>IF(CavityStatus[[#This Row],[Actual Ship Date]]&lt;&gt;0,($O130-$N130)/7,0)</f>
        <v>0</v>
      </c>
      <c r="Q130" s="236">
        <v>1000</v>
      </c>
      <c r="R130" s="236">
        <f t="shared" ref="R130:R150" si="10">IF($P130&gt;0,$Q130-($P130*200),$Q130)</f>
        <v>1000</v>
      </c>
      <c r="S130" s="237"/>
      <c r="T130" s="235"/>
      <c r="U130" s="235"/>
      <c r="V130" s="233" t="s">
        <v>386</v>
      </c>
      <c r="W130" s="239">
        <v>4283.18</v>
      </c>
      <c r="X130" s="239">
        <v>490</v>
      </c>
      <c r="Y130" s="239">
        <f t="shared" ref="Y130:Y150" si="11">RICavMilestoneVal</f>
        <v>40187.5</v>
      </c>
      <c r="Z130" s="239">
        <f>RICavMilestoneVal+CavityStatus[[#This Row],[Incentive Earned]]+CavityStatus[[#This Row],[Recipe Modification (Mod 9)]]+X130</f>
        <v>45960.68</v>
      </c>
      <c r="AA130" s="242"/>
      <c r="AB130" s="241"/>
      <c r="AE130" s="115">
        <f t="shared" si="7"/>
        <v>490</v>
      </c>
    </row>
    <row r="131" spans="1:31" x14ac:dyDescent="0.25">
      <c r="A131" s="232"/>
      <c r="B131" s="233" t="s">
        <v>372</v>
      </c>
      <c r="C131" s="233"/>
      <c r="D131" s="233"/>
      <c r="E131" s="233"/>
      <c r="F131" s="233"/>
      <c r="G131" s="233"/>
      <c r="H131" s="233"/>
      <c r="I131" s="233"/>
      <c r="J131" s="233"/>
      <c r="K131" s="234"/>
      <c r="L131" s="233"/>
      <c r="M131" s="233"/>
      <c r="N131" s="235">
        <v>42928</v>
      </c>
      <c r="O131" s="235"/>
      <c r="P131" s="235">
        <f>IF(CavityStatus[[#This Row],[Actual Ship Date]]&lt;&gt;0,($O131-$N131)/7,0)</f>
        <v>0</v>
      </c>
      <c r="Q131" s="236">
        <v>1000</v>
      </c>
      <c r="R131" s="236">
        <f t="shared" si="10"/>
        <v>1000</v>
      </c>
      <c r="S131" s="237"/>
      <c r="T131" s="235"/>
      <c r="U131" s="235"/>
      <c r="V131" s="233" t="s">
        <v>386</v>
      </c>
      <c r="W131" s="239">
        <v>4283.18</v>
      </c>
      <c r="X131" s="239">
        <v>490</v>
      </c>
      <c r="Y131" s="239">
        <f t="shared" si="11"/>
        <v>40187.5</v>
      </c>
      <c r="Z131" s="239">
        <f>RICavMilestoneVal+CavityStatus[[#This Row],[Incentive Earned]]+CavityStatus[[#This Row],[Recipe Modification (Mod 9)]]+X131</f>
        <v>45960.68</v>
      </c>
      <c r="AA131" s="242"/>
      <c r="AB131" s="241"/>
      <c r="AE131" s="115">
        <f t="shared" si="7"/>
        <v>490</v>
      </c>
    </row>
    <row r="132" spans="1:31" x14ac:dyDescent="0.25">
      <c r="A132" s="232"/>
      <c r="B132" s="233" t="s">
        <v>373</v>
      </c>
      <c r="C132" s="233"/>
      <c r="D132" s="233"/>
      <c r="E132" s="233"/>
      <c r="F132" s="233"/>
      <c r="G132" s="233"/>
      <c r="H132" s="233"/>
      <c r="I132" s="233"/>
      <c r="J132" s="233"/>
      <c r="K132" s="234"/>
      <c r="L132" s="233"/>
      <c r="M132" s="233"/>
      <c r="N132" s="235">
        <v>42928</v>
      </c>
      <c r="O132" s="235"/>
      <c r="P132" s="235">
        <f>IF(CavityStatus[[#This Row],[Actual Ship Date]]&lt;&gt;0,($O132-$N132)/7,0)</f>
        <v>0</v>
      </c>
      <c r="Q132" s="236">
        <v>1000</v>
      </c>
      <c r="R132" s="236">
        <f t="shared" si="10"/>
        <v>1000</v>
      </c>
      <c r="S132" s="237"/>
      <c r="T132" s="235"/>
      <c r="U132" s="235"/>
      <c r="V132" s="233" t="s">
        <v>386</v>
      </c>
      <c r="W132" s="239">
        <v>4283.18</v>
      </c>
      <c r="X132" s="239">
        <v>490</v>
      </c>
      <c r="Y132" s="239">
        <f t="shared" si="11"/>
        <v>40187.5</v>
      </c>
      <c r="Z132" s="239">
        <f>RICavMilestoneVal+CavityStatus[[#This Row],[Incentive Earned]]+CavityStatus[[#This Row],[Recipe Modification (Mod 9)]]+X132</f>
        <v>45960.68</v>
      </c>
      <c r="AA132" s="242"/>
      <c r="AB132" s="241"/>
      <c r="AE132" s="115">
        <f t="shared" si="7"/>
        <v>490</v>
      </c>
    </row>
    <row r="133" spans="1:31" x14ac:dyDescent="0.25">
      <c r="A133" s="232"/>
      <c r="B133" s="233" t="s">
        <v>374</v>
      </c>
      <c r="C133" s="233"/>
      <c r="D133" s="233"/>
      <c r="E133" s="233"/>
      <c r="F133" s="233"/>
      <c r="G133" s="233"/>
      <c r="H133" s="233"/>
      <c r="I133" s="233"/>
      <c r="J133" s="233"/>
      <c r="K133" s="234"/>
      <c r="L133" s="233"/>
      <c r="M133" s="233"/>
      <c r="N133" s="235">
        <v>42928</v>
      </c>
      <c r="O133" s="235"/>
      <c r="P133" s="235">
        <f>IF(CavityStatus[[#This Row],[Actual Ship Date]]&lt;&gt;0,($O133-$N133)/7,0)</f>
        <v>0</v>
      </c>
      <c r="Q133" s="236">
        <v>1000</v>
      </c>
      <c r="R133" s="236">
        <f t="shared" si="10"/>
        <v>1000</v>
      </c>
      <c r="S133" s="237"/>
      <c r="T133" s="235"/>
      <c r="U133" s="235"/>
      <c r="V133" s="233" t="s">
        <v>386</v>
      </c>
      <c r="W133" s="239">
        <v>4283.18</v>
      </c>
      <c r="X133" s="239">
        <v>490</v>
      </c>
      <c r="Y133" s="239">
        <f t="shared" si="11"/>
        <v>40187.5</v>
      </c>
      <c r="Z133" s="239">
        <f>RICavMilestoneVal+CavityStatus[[#This Row],[Incentive Earned]]+CavityStatus[[#This Row],[Recipe Modification (Mod 9)]]+X133</f>
        <v>45960.68</v>
      </c>
      <c r="AA133" s="242"/>
      <c r="AB133" s="241"/>
      <c r="AE133" s="115">
        <f t="shared" si="7"/>
        <v>490</v>
      </c>
    </row>
    <row r="134" spans="1:31" x14ac:dyDescent="0.25">
      <c r="A134" s="232"/>
      <c r="B134" s="233" t="s">
        <v>375</v>
      </c>
      <c r="C134" s="233"/>
      <c r="D134" s="233"/>
      <c r="E134" s="233"/>
      <c r="F134" s="233"/>
      <c r="G134" s="233"/>
      <c r="H134" s="233"/>
      <c r="I134" s="233"/>
      <c r="J134" s="233"/>
      <c r="K134" s="234"/>
      <c r="L134" s="233"/>
      <c r="M134" s="233"/>
      <c r="N134" s="235">
        <v>42928</v>
      </c>
      <c r="O134" s="235"/>
      <c r="P134" s="235">
        <f>IF(CavityStatus[[#This Row],[Actual Ship Date]]&lt;&gt;0,($O134-$N134)/7,0)</f>
        <v>0</v>
      </c>
      <c r="Q134" s="236">
        <v>1000</v>
      </c>
      <c r="R134" s="236">
        <f t="shared" si="10"/>
        <v>1000</v>
      </c>
      <c r="S134" s="237"/>
      <c r="T134" s="235"/>
      <c r="U134" s="235"/>
      <c r="V134" s="233" t="s">
        <v>386</v>
      </c>
      <c r="W134" s="239">
        <v>4283.8400000006659</v>
      </c>
      <c r="X134" s="239">
        <v>470</v>
      </c>
      <c r="Y134" s="239">
        <f t="shared" si="11"/>
        <v>40187.5</v>
      </c>
      <c r="Z134" s="239">
        <f>RICavMilestoneVal+CavityStatus[[#This Row],[Incentive Earned]]+CavityStatus[[#This Row],[Recipe Modification (Mod 9)]]+X134</f>
        <v>45941.340000000666</v>
      </c>
      <c r="AA134" s="242"/>
      <c r="AB134" s="241"/>
      <c r="AE134" s="115">
        <f t="shared" si="7"/>
        <v>490</v>
      </c>
    </row>
    <row r="135" spans="1:31" x14ac:dyDescent="0.25">
      <c r="A135" s="232"/>
      <c r="B135" s="233"/>
      <c r="C135" s="233"/>
      <c r="D135" s="233"/>
      <c r="E135" s="233"/>
      <c r="F135" s="233"/>
      <c r="G135" s="233"/>
      <c r="H135" s="233"/>
      <c r="I135" s="233"/>
      <c r="J135" s="233"/>
      <c r="K135" s="234"/>
      <c r="L135" s="233"/>
      <c r="M135" s="233"/>
      <c r="N135" s="233"/>
      <c r="O135" s="235"/>
      <c r="P135" s="235">
        <f>IF(CavityStatus[[#This Row],[Actual Ship Date]]&lt;&gt;0,($O135-$N135)/7,0)</f>
        <v>0</v>
      </c>
      <c r="Q135" s="236"/>
      <c r="R135" s="236">
        <f t="shared" si="10"/>
        <v>0</v>
      </c>
      <c r="S135" s="237"/>
      <c r="T135" s="233">
        <v>18</v>
      </c>
      <c r="U135" s="239">
        <v>40187.5</v>
      </c>
      <c r="V135" s="233"/>
      <c r="W135" s="239"/>
      <c r="X135" s="239"/>
      <c r="Y135" s="239">
        <f t="shared" si="11"/>
        <v>40187.5</v>
      </c>
      <c r="Z135" s="239">
        <f>RICavMilestoneVal+CavityStatus[[#This Row],[Incentive Earned]]+CavityStatus[[#This Row],[Recipe Modification (Mod 9)]]+X135</f>
        <v>40187.5</v>
      </c>
      <c r="AA135" s="242"/>
      <c r="AB135" s="241"/>
      <c r="AD135" s="115">
        <v>57800</v>
      </c>
      <c r="AE135" s="115">
        <f>SUM(AE18:AE134)</f>
        <v>57330</v>
      </c>
    </row>
    <row r="136" spans="1:31" x14ac:dyDescent="0.25">
      <c r="A136" s="232"/>
      <c r="B136" s="233"/>
      <c r="C136" s="233"/>
      <c r="D136" s="233"/>
      <c r="E136" s="233"/>
      <c r="F136" s="233"/>
      <c r="G136" s="233"/>
      <c r="H136" s="233"/>
      <c r="I136" s="233"/>
      <c r="J136" s="233"/>
      <c r="K136" s="234"/>
      <c r="L136" s="233"/>
      <c r="M136" s="233"/>
      <c r="N136" s="233"/>
      <c r="O136" s="235"/>
      <c r="P136" s="235">
        <f>IF(CavityStatus[[#This Row],[Actual Ship Date]]&lt;&gt;0,($O136-$N136)/7,0)</f>
        <v>0</v>
      </c>
      <c r="Q136" s="236"/>
      <c r="R136" s="236">
        <f t="shared" si="10"/>
        <v>0</v>
      </c>
      <c r="S136" s="237"/>
      <c r="T136" s="233"/>
      <c r="U136" s="246">
        <v>964500</v>
      </c>
      <c r="V136" s="233"/>
      <c r="W136" s="239"/>
      <c r="X136" s="239"/>
      <c r="Y136" s="239">
        <f t="shared" si="11"/>
        <v>40187.5</v>
      </c>
      <c r="Z136" s="239">
        <f>RICavMilestoneVal+CavityStatus[[#This Row],[Incentive Earned]]+CavityStatus[[#This Row],[Recipe Modification (Mod 9)]]+X136</f>
        <v>40187.5</v>
      </c>
      <c r="AA136" s="242"/>
      <c r="AB136" s="241"/>
      <c r="AE136" s="115">
        <f>AD135-AE135</f>
        <v>470</v>
      </c>
    </row>
    <row r="137" spans="1:31" x14ac:dyDescent="0.25">
      <c r="A137" s="232"/>
      <c r="B137" s="233"/>
      <c r="C137" s="233"/>
      <c r="D137" s="233"/>
      <c r="E137" s="233"/>
      <c r="F137" s="233"/>
      <c r="G137" s="233"/>
      <c r="H137" s="233"/>
      <c r="I137" s="233"/>
      <c r="J137" s="233"/>
      <c r="K137" s="234"/>
      <c r="L137" s="233"/>
      <c r="M137" s="233"/>
      <c r="N137" s="233"/>
      <c r="O137" s="235"/>
      <c r="P137" s="235">
        <f>IF(CavityStatus[[#This Row],[Actual Ship Date]]&lt;&gt;0,($O137-$N137)/7,0)</f>
        <v>0</v>
      </c>
      <c r="Q137" s="236"/>
      <c r="R137" s="236">
        <f t="shared" si="10"/>
        <v>0</v>
      </c>
      <c r="S137" s="237"/>
      <c r="T137" s="235"/>
      <c r="U137" s="235"/>
      <c r="V137" s="233"/>
      <c r="W137" s="239"/>
      <c r="X137" s="239"/>
      <c r="Y137" s="239">
        <f t="shared" si="11"/>
        <v>40187.5</v>
      </c>
      <c r="Z137" s="239">
        <f>RICavMilestoneVal+CavityStatus[[#This Row],[Incentive Earned]]+CavityStatus[[#This Row],[Recipe Modification (Mod 9)]]+X137</f>
        <v>40187.5</v>
      </c>
      <c r="AA137" s="242"/>
      <c r="AB137" s="241"/>
    </row>
    <row r="138" spans="1:31" x14ac:dyDescent="0.25">
      <c r="A138" s="232"/>
      <c r="B138" s="233"/>
      <c r="C138" s="233"/>
      <c r="D138" s="233"/>
      <c r="E138" s="233"/>
      <c r="F138" s="233"/>
      <c r="G138" s="233"/>
      <c r="H138" s="233"/>
      <c r="I138" s="233"/>
      <c r="J138" s="233"/>
      <c r="K138" s="234"/>
      <c r="L138" s="233"/>
      <c r="M138" s="233"/>
      <c r="N138" s="233"/>
      <c r="O138" s="235"/>
      <c r="P138" s="235">
        <f>IF(CavityStatus[[#This Row],[Actual Ship Date]]&lt;&gt;0,($O138-$N138)/7,0)</f>
        <v>0</v>
      </c>
      <c r="Q138" s="236"/>
      <c r="R138" s="236">
        <f t="shared" si="10"/>
        <v>0</v>
      </c>
      <c r="S138" s="237"/>
      <c r="T138" s="235"/>
      <c r="U138" s="235"/>
      <c r="V138" s="233"/>
      <c r="W138" s="239"/>
      <c r="X138" s="239"/>
      <c r="Y138" s="239">
        <f t="shared" si="11"/>
        <v>40187.5</v>
      </c>
      <c r="Z138" s="239">
        <f>RICavMilestoneVal+CavityStatus[[#This Row],[Incentive Earned]]+CavityStatus[[#This Row],[Recipe Modification (Mod 9)]]+X138</f>
        <v>40187.5</v>
      </c>
      <c r="AA138" s="242"/>
      <c r="AB138" s="241"/>
    </row>
    <row r="139" spans="1:31" x14ac:dyDescent="0.25">
      <c r="A139" s="232"/>
      <c r="B139" s="233"/>
      <c r="C139" s="233"/>
      <c r="D139" s="233"/>
      <c r="E139" s="233"/>
      <c r="F139" s="233"/>
      <c r="G139" s="233"/>
      <c r="H139" s="233"/>
      <c r="I139" s="233"/>
      <c r="J139" s="233"/>
      <c r="K139" s="234"/>
      <c r="L139" s="233"/>
      <c r="M139" s="233"/>
      <c r="N139" s="233"/>
      <c r="O139" s="235"/>
      <c r="P139" s="235">
        <f>IF(CavityStatus[[#This Row],[Actual Ship Date]]&lt;&gt;0,($O139-$N139)/7,0)</f>
        <v>0</v>
      </c>
      <c r="Q139" s="236"/>
      <c r="R139" s="236">
        <f t="shared" si="10"/>
        <v>0</v>
      </c>
      <c r="S139" s="237"/>
      <c r="T139" s="235"/>
      <c r="U139" s="235"/>
      <c r="V139" s="233"/>
      <c r="W139" s="239"/>
      <c r="X139" s="239"/>
      <c r="Y139" s="239">
        <f t="shared" si="11"/>
        <v>40187.5</v>
      </c>
      <c r="Z139" s="239">
        <f>RICavMilestoneVal+CavityStatus[[#This Row],[Incentive Earned]]+CavityStatus[[#This Row],[Recipe Modification (Mod 9)]]+X139</f>
        <v>40187.5</v>
      </c>
      <c r="AA139" s="242"/>
      <c r="AB139" s="241"/>
    </row>
    <row r="140" spans="1:31" x14ac:dyDescent="0.25">
      <c r="A140" s="232"/>
      <c r="B140" s="233"/>
      <c r="C140" s="233"/>
      <c r="D140" s="233"/>
      <c r="E140" s="233"/>
      <c r="F140" s="233"/>
      <c r="G140" s="233"/>
      <c r="H140" s="233"/>
      <c r="I140" s="233"/>
      <c r="J140" s="233"/>
      <c r="K140" s="234"/>
      <c r="L140" s="233"/>
      <c r="M140" s="233"/>
      <c r="N140" s="233"/>
      <c r="O140" s="235"/>
      <c r="P140" s="235">
        <f>IF(CavityStatus[[#This Row],[Actual Ship Date]]&lt;&gt;0,($O140-$N140)/7,0)</f>
        <v>0</v>
      </c>
      <c r="Q140" s="236"/>
      <c r="R140" s="236">
        <f t="shared" si="10"/>
        <v>0</v>
      </c>
      <c r="S140" s="237"/>
      <c r="T140" s="235"/>
      <c r="U140" s="235"/>
      <c r="V140" s="233"/>
      <c r="W140" s="239"/>
      <c r="X140" s="239"/>
      <c r="Y140" s="239">
        <f t="shared" si="11"/>
        <v>40187.5</v>
      </c>
      <c r="Z140" s="239">
        <f>RICavMilestoneVal+CavityStatus[[#This Row],[Incentive Earned]]+CavityStatus[[#This Row],[Recipe Modification (Mod 9)]]+X140</f>
        <v>40187.5</v>
      </c>
      <c r="AA140" s="242"/>
      <c r="AB140" s="241"/>
    </row>
    <row r="141" spans="1:31" x14ac:dyDescent="0.25">
      <c r="A141" s="232"/>
      <c r="B141" s="233"/>
      <c r="C141" s="233"/>
      <c r="D141" s="233"/>
      <c r="E141" s="233"/>
      <c r="F141" s="233"/>
      <c r="G141" s="233"/>
      <c r="H141" s="233"/>
      <c r="I141" s="233"/>
      <c r="J141" s="233"/>
      <c r="K141" s="234"/>
      <c r="L141" s="233"/>
      <c r="M141" s="233"/>
      <c r="N141" s="233"/>
      <c r="O141" s="235"/>
      <c r="P141" s="235">
        <f>IF(CavityStatus[[#This Row],[Actual Ship Date]]&lt;&gt;0,($O141-$N141)/7,0)</f>
        <v>0</v>
      </c>
      <c r="Q141" s="236"/>
      <c r="R141" s="236">
        <f t="shared" si="10"/>
        <v>0</v>
      </c>
      <c r="S141" s="237"/>
      <c r="T141" s="235"/>
      <c r="U141" s="235"/>
      <c r="V141" s="233"/>
      <c r="W141" s="239"/>
      <c r="X141" s="239"/>
      <c r="Y141" s="239">
        <f t="shared" si="11"/>
        <v>40187.5</v>
      </c>
      <c r="Z141" s="239">
        <f>RICavMilestoneVal+CavityStatus[[#This Row],[Incentive Earned]]+CavityStatus[[#This Row],[Recipe Modification (Mod 9)]]+X141</f>
        <v>40187.5</v>
      </c>
      <c r="AA141" s="242"/>
      <c r="AB141" s="241"/>
    </row>
    <row r="142" spans="1:31" x14ac:dyDescent="0.25">
      <c r="A142" s="232"/>
      <c r="B142" s="233"/>
      <c r="C142" s="233"/>
      <c r="D142" s="233"/>
      <c r="E142" s="233"/>
      <c r="F142" s="233"/>
      <c r="G142" s="233"/>
      <c r="H142" s="233"/>
      <c r="I142" s="233"/>
      <c r="J142" s="233"/>
      <c r="K142" s="234"/>
      <c r="L142" s="233"/>
      <c r="M142" s="233"/>
      <c r="N142" s="233"/>
      <c r="O142" s="235"/>
      <c r="P142" s="235">
        <f>IF(CavityStatus[[#This Row],[Actual Ship Date]]&lt;&gt;0,($O142-$N142)/7,0)</f>
        <v>0</v>
      </c>
      <c r="Q142" s="236"/>
      <c r="R142" s="236">
        <f t="shared" si="10"/>
        <v>0</v>
      </c>
      <c r="S142" s="237"/>
      <c r="T142" s="235"/>
      <c r="U142" s="235"/>
      <c r="V142" s="233"/>
      <c r="W142" s="239"/>
      <c r="X142" s="239"/>
      <c r="Y142" s="239">
        <f t="shared" si="11"/>
        <v>40187.5</v>
      </c>
      <c r="Z142" s="239">
        <f>RICavMilestoneVal+CavityStatus[[#This Row],[Incentive Earned]]+CavityStatus[[#This Row],[Recipe Modification (Mod 9)]]+X142</f>
        <v>40187.5</v>
      </c>
      <c r="AA142" s="242"/>
      <c r="AB142" s="241"/>
    </row>
    <row r="143" spans="1:31" x14ac:dyDescent="0.25">
      <c r="A143" s="232"/>
      <c r="B143" s="233"/>
      <c r="C143" s="233"/>
      <c r="D143" s="233"/>
      <c r="E143" s="233"/>
      <c r="F143" s="233"/>
      <c r="G143" s="233"/>
      <c r="H143" s="233"/>
      <c r="I143" s="233"/>
      <c r="J143" s="233"/>
      <c r="K143" s="234"/>
      <c r="L143" s="233"/>
      <c r="M143" s="233"/>
      <c r="N143" s="233"/>
      <c r="O143" s="235"/>
      <c r="P143" s="235">
        <f>IF(CavityStatus[[#This Row],[Actual Ship Date]]&lt;&gt;0,($O143-$N143)/7,0)</f>
        <v>0</v>
      </c>
      <c r="Q143" s="236"/>
      <c r="R143" s="236">
        <f t="shared" si="10"/>
        <v>0</v>
      </c>
      <c r="S143" s="237"/>
      <c r="T143" s="235"/>
      <c r="U143" s="235"/>
      <c r="V143" s="233"/>
      <c r="W143" s="239"/>
      <c r="X143" s="239"/>
      <c r="Y143" s="239">
        <f t="shared" si="11"/>
        <v>40187.5</v>
      </c>
      <c r="Z143" s="239">
        <f>RICavMilestoneVal+CavityStatus[[#This Row],[Incentive Earned]]+CavityStatus[[#This Row],[Recipe Modification (Mod 9)]]+X143</f>
        <v>40187.5</v>
      </c>
      <c r="AA143" s="242"/>
      <c r="AB143" s="241"/>
    </row>
    <row r="144" spans="1:31" x14ac:dyDescent="0.25">
      <c r="A144" s="232"/>
      <c r="B144" s="233"/>
      <c r="C144" s="233"/>
      <c r="D144" s="233"/>
      <c r="E144" s="233"/>
      <c r="F144" s="233"/>
      <c r="G144" s="233"/>
      <c r="H144" s="233"/>
      <c r="I144" s="233"/>
      <c r="J144" s="233"/>
      <c r="K144" s="234"/>
      <c r="L144" s="233"/>
      <c r="M144" s="233"/>
      <c r="N144" s="233"/>
      <c r="O144" s="235"/>
      <c r="P144" s="235">
        <f>IF(CavityStatus[[#This Row],[Actual Ship Date]]&lt;&gt;0,($O144-$N144)/7,0)</f>
        <v>0</v>
      </c>
      <c r="Q144" s="236"/>
      <c r="R144" s="236">
        <f t="shared" si="10"/>
        <v>0</v>
      </c>
      <c r="S144" s="237"/>
      <c r="T144" s="235"/>
      <c r="U144" s="235"/>
      <c r="V144" s="233"/>
      <c r="W144" s="239"/>
      <c r="X144" s="239"/>
      <c r="Y144" s="239">
        <f t="shared" si="11"/>
        <v>40187.5</v>
      </c>
      <c r="Z144" s="239">
        <f>RICavMilestoneVal+CavityStatus[[#This Row],[Incentive Earned]]+CavityStatus[[#This Row],[Recipe Modification (Mod 9)]]+X144</f>
        <v>40187.5</v>
      </c>
      <c r="AA144" s="242"/>
      <c r="AB144" s="241"/>
    </row>
    <row r="145" spans="1:28" x14ac:dyDescent="0.25">
      <c r="A145" s="232"/>
      <c r="B145" s="233"/>
      <c r="C145" s="233"/>
      <c r="D145" s="233"/>
      <c r="E145" s="233"/>
      <c r="F145" s="233"/>
      <c r="G145" s="233"/>
      <c r="H145" s="233"/>
      <c r="I145" s="233"/>
      <c r="J145" s="233"/>
      <c r="K145" s="234"/>
      <c r="L145" s="233"/>
      <c r="M145" s="233"/>
      <c r="N145" s="233"/>
      <c r="O145" s="235"/>
      <c r="P145" s="235">
        <f>IF(CavityStatus[[#This Row],[Actual Ship Date]]&lt;&gt;0,($O145-$N145)/7,0)</f>
        <v>0</v>
      </c>
      <c r="Q145" s="236"/>
      <c r="R145" s="236">
        <f t="shared" si="10"/>
        <v>0</v>
      </c>
      <c r="S145" s="237"/>
      <c r="T145" s="235"/>
      <c r="U145" s="235"/>
      <c r="V145" s="233"/>
      <c r="W145" s="239"/>
      <c r="X145" s="239"/>
      <c r="Y145" s="239">
        <f t="shared" si="11"/>
        <v>40187.5</v>
      </c>
      <c r="Z145" s="239">
        <f>RICavMilestoneVal+CavityStatus[[#This Row],[Incentive Earned]]+CavityStatus[[#This Row],[Recipe Modification (Mod 9)]]+X145</f>
        <v>40187.5</v>
      </c>
      <c r="AA145" s="242"/>
      <c r="AB145" s="241"/>
    </row>
    <row r="146" spans="1:28" x14ac:dyDescent="0.25">
      <c r="A146" s="232"/>
      <c r="B146" s="233"/>
      <c r="C146" s="233"/>
      <c r="D146" s="233"/>
      <c r="E146" s="233"/>
      <c r="F146" s="233"/>
      <c r="G146" s="233"/>
      <c r="H146" s="233"/>
      <c r="I146" s="233"/>
      <c r="J146" s="233"/>
      <c r="K146" s="234"/>
      <c r="L146" s="233"/>
      <c r="M146" s="233"/>
      <c r="N146" s="233"/>
      <c r="O146" s="235"/>
      <c r="P146" s="235">
        <f>IF(CavityStatus[[#This Row],[Actual Ship Date]]&lt;&gt;0,($O146-$N146)/7,0)</f>
        <v>0</v>
      </c>
      <c r="Q146" s="236"/>
      <c r="R146" s="236">
        <f t="shared" si="10"/>
        <v>0</v>
      </c>
      <c r="S146" s="237"/>
      <c r="T146" s="235"/>
      <c r="U146" s="235"/>
      <c r="V146" s="233"/>
      <c r="W146" s="239"/>
      <c r="X146" s="239"/>
      <c r="Y146" s="239">
        <f t="shared" si="11"/>
        <v>40187.5</v>
      </c>
      <c r="Z146" s="239">
        <f>RICavMilestoneVal+CavityStatus[[#This Row],[Incentive Earned]]+CavityStatus[[#This Row],[Recipe Modification (Mod 9)]]+X146</f>
        <v>40187.5</v>
      </c>
      <c r="AA146" s="242"/>
      <c r="AB146" s="241"/>
    </row>
    <row r="147" spans="1:28" x14ac:dyDescent="0.25">
      <c r="A147" s="232"/>
      <c r="B147" s="233"/>
      <c r="C147" s="233"/>
      <c r="D147" s="233"/>
      <c r="E147" s="233"/>
      <c r="F147" s="233"/>
      <c r="G147" s="233"/>
      <c r="H147" s="233"/>
      <c r="I147" s="233"/>
      <c r="J147" s="233"/>
      <c r="K147" s="234"/>
      <c r="L147" s="233"/>
      <c r="M147" s="233"/>
      <c r="N147" s="233"/>
      <c r="O147" s="235"/>
      <c r="P147" s="235">
        <f>IF(CavityStatus[[#This Row],[Actual Ship Date]]&lt;&gt;0,($O147-$N147)/7,0)</f>
        <v>0</v>
      </c>
      <c r="Q147" s="236"/>
      <c r="R147" s="236">
        <f t="shared" si="10"/>
        <v>0</v>
      </c>
      <c r="S147" s="237"/>
      <c r="T147" s="235"/>
      <c r="U147" s="235"/>
      <c r="V147" s="233"/>
      <c r="W147" s="239"/>
      <c r="X147" s="239"/>
      <c r="Y147" s="239">
        <f t="shared" si="11"/>
        <v>40187.5</v>
      </c>
      <c r="Z147" s="239">
        <f>RICavMilestoneVal+CavityStatus[[#This Row],[Incentive Earned]]+CavityStatus[[#This Row],[Recipe Modification (Mod 9)]]+X147</f>
        <v>40187.5</v>
      </c>
      <c r="AA147" s="242"/>
      <c r="AB147" s="241"/>
    </row>
    <row r="148" spans="1:28" x14ac:dyDescent="0.25">
      <c r="A148" s="232"/>
      <c r="B148" s="233"/>
      <c r="C148" s="233"/>
      <c r="D148" s="233"/>
      <c r="E148" s="233"/>
      <c r="F148" s="233"/>
      <c r="G148" s="233"/>
      <c r="H148" s="233"/>
      <c r="I148" s="233"/>
      <c r="J148" s="233"/>
      <c r="K148" s="234"/>
      <c r="L148" s="233"/>
      <c r="M148" s="233"/>
      <c r="N148" s="233"/>
      <c r="O148" s="235"/>
      <c r="P148" s="235">
        <f>IF(CavityStatus[[#This Row],[Actual Ship Date]]&lt;&gt;0,($O148-$N148)/7,0)</f>
        <v>0</v>
      </c>
      <c r="Q148" s="236"/>
      <c r="R148" s="236">
        <f t="shared" si="10"/>
        <v>0</v>
      </c>
      <c r="S148" s="237"/>
      <c r="T148" s="235"/>
      <c r="U148" s="235"/>
      <c r="V148" s="233"/>
      <c r="W148" s="239"/>
      <c r="X148" s="239"/>
      <c r="Y148" s="239">
        <f t="shared" si="11"/>
        <v>40187.5</v>
      </c>
      <c r="Z148" s="239">
        <f>RICavMilestoneVal+CavityStatus[[#This Row],[Incentive Earned]]+CavityStatus[[#This Row],[Recipe Modification (Mod 9)]]+X148</f>
        <v>40187.5</v>
      </c>
      <c r="AA148" s="242"/>
      <c r="AB148" s="241"/>
    </row>
    <row r="149" spans="1:28" x14ac:dyDescent="0.25">
      <c r="A149" s="232"/>
      <c r="B149" s="233"/>
      <c r="C149" s="233"/>
      <c r="D149" s="233"/>
      <c r="E149" s="233"/>
      <c r="F149" s="233"/>
      <c r="G149" s="233"/>
      <c r="H149" s="233"/>
      <c r="I149" s="233"/>
      <c r="J149" s="233"/>
      <c r="K149" s="234"/>
      <c r="L149" s="233"/>
      <c r="M149" s="233"/>
      <c r="N149" s="233"/>
      <c r="O149" s="235"/>
      <c r="P149" s="235">
        <f>IF(CavityStatus[[#This Row],[Actual Ship Date]]&lt;&gt;0,($O149-$N149)/7,0)</f>
        <v>0</v>
      </c>
      <c r="Q149" s="236"/>
      <c r="R149" s="236">
        <f t="shared" si="10"/>
        <v>0</v>
      </c>
      <c r="S149" s="237"/>
      <c r="T149" s="235"/>
      <c r="U149" s="235"/>
      <c r="V149" s="233"/>
      <c r="W149" s="239"/>
      <c r="X149" s="239"/>
      <c r="Y149" s="239">
        <f t="shared" si="11"/>
        <v>40187.5</v>
      </c>
      <c r="Z149" s="239">
        <f>RICavMilestoneVal+CavityStatus[[#This Row],[Incentive Earned]]+CavityStatus[[#This Row],[Recipe Modification (Mod 9)]]+X149</f>
        <v>40187.5</v>
      </c>
      <c r="AA149" s="242"/>
      <c r="AB149" s="241"/>
    </row>
    <row r="150" spans="1:28" x14ac:dyDescent="0.25">
      <c r="A150" s="247"/>
      <c r="B150" s="248"/>
      <c r="C150" s="248"/>
      <c r="D150" s="248"/>
      <c r="E150" s="248"/>
      <c r="F150" s="248"/>
      <c r="G150" s="248"/>
      <c r="H150" s="248"/>
      <c r="I150" s="248"/>
      <c r="J150" s="248"/>
      <c r="K150" s="249"/>
      <c r="L150" s="248"/>
      <c r="M150" s="248"/>
      <c r="N150" s="248"/>
      <c r="O150" s="250"/>
      <c r="P150" s="250">
        <f>IF(CavityStatus[[#This Row],[Actual Ship Date]]&lt;&gt;0,($O150-$N150)/7,0)</f>
        <v>0</v>
      </c>
      <c r="Q150" s="251"/>
      <c r="R150" s="251">
        <f t="shared" si="10"/>
        <v>0</v>
      </c>
      <c r="S150" s="252"/>
      <c r="T150" s="250"/>
      <c r="U150" s="250"/>
      <c r="V150" s="248"/>
      <c r="W150" s="253"/>
      <c r="X150" s="253"/>
      <c r="Y150" s="253">
        <f t="shared" si="11"/>
        <v>40187.5</v>
      </c>
      <c r="Z150" s="253">
        <f>RICavMilestoneVal+CavityStatus[[#This Row],[Incentive Earned]]+CavityStatus[[#This Row],[Recipe Modification (Mod 9)]]+X150</f>
        <v>40187.5</v>
      </c>
      <c r="AA150" s="254"/>
      <c r="AB150" s="255"/>
    </row>
    <row r="151" spans="1:28" x14ac:dyDescent="0.25">
      <c r="A151" s="169" t="s">
        <v>108</v>
      </c>
      <c r="B151" s="169"/>
      <c r="C151" s="169"/>
      <c r="D151" s="169"/>
      <c r="E151" s="169"/>
      <c r="F151" s="169"/>
      <c r="G151" s="169"/>
      <c r="H151" s="169"/>
      <c r="I151" s="169"/>
      <c r="J151" s="169"/>
      <c r="K151" s="169"/>
      <c r="L151" s="169"/>
      <c r="M151" s="169"/>
      <c r="N151" s="169"/>
      <c r="O151" s="169"/>
      <c r="P151" s="169"/>
      <c r="Q151" s="169"/>
      <c r="R151" s="256">
        <f>SUBTOTAL(109,CavityStatus[Incentive Earned])</f>
        <v>244868.57142857142</v>
      </c>
      <c r="S151" s="170"/>
      <c r="T151" s="169"/>
      <c r="U151" s="206">
        <f>SUBTOTAL(109,CavityStatus[Milestone Value])</f>
        <v>2973875</v>
      </c>
      <c r="V151" s="169"/>
      <c r="W151" s="206">
        <f>SUBTOTAL(109,CavityStatus[Recipe Modification (Mod 9)])</f>
        <v>484000</v>
      </c>
      <c r="X151" s="256">
        <f>SUBTOTAL(109,CavityStatus[Caps            
 (Mod 10)])</f>
        <v>57310</v>
      </c>
      <c r="Y151" s="206">
        <f>SUBTOTAL(109,CavityStatus[Milestone])</f>
        <v>5987937.5</v>
      </c>
      <c r="Z151" s="206">
        <f>SUBTOTAL(109,CavityStatus[Total])</f>
        <v>6774116.0714285662</v>
      </c>
      <c r="AA151" s="207"/>
      <c r="AB151" s="169"/>
    </row>
    <row r="154" spans="1:28" x14ac:dyDescent="0.25">
      <c r="W154" s="115">
        <v>484000</v>
      </c>
    </row>
    <row r="155" spans="1:28" x14ac:dyDescent="0.25">
      <c r="W155" s="115">
        <f>W154-CavityStatus[[#Totals],[Recipe Modification (Mod 9)]]</f>
        <v>0</v>
      </c>
    </row>
    <row r="157" spans="1:28" x14ac:dyDescent="0.25">
      <c r="G157" s="113">
        <f>160750/4</f>
        <v>40187.5</v>
      </c>
    </row>
  </sheetData>
  <dataValidations count="1">
    <dataValidation allowBlank="1" sqref="U2:U150 W2:Z150 P2:P53 Q2:R134"/>
  </dataValidations>
  <pageMargins left="0.7" right="0.7" top="0.75" bottom="0.75" header="0.3" footer="0.3"/>
  <pageSetup orientation="portrait" r:id="rId1"/>
  <ignoredErrors>
    <ignoredError sqref="S18:S37 O18:O37 N9:N34 S48:S53 S46:S47 Y46:Y47 N46:O47 N48:O53 Q46:Q47 Q48:Q53 T48:V53 T46:V47 AA46:AA47 AA48:AA53 X48:Y53" listDataValidation="1"/>
    <ignoredError sqref="X66:X150 X18 X19:X45 X152:X1048576" calculatedColumn="1"/>
    <ignoredError sqref="X46:X47" listDataValidation="1" calculatedColumn="1"/>
  </ignoredErrors>
  <tableParts count="1">
    <tablePart r:id="rId2"/>
  </tableParts>
  <extLst>
    <ext xmlns:x14="http://schemas.microsoft.com/office/spreadsheetml/2009/9/main" uri="{CCE6A557-97BC-4b89-ADB6-D9C93CAAB3DF}">
      <x14:dataValidations xmlns:xm="http://schemas.microsoft.com/office/excel/2006/main" count="5">
        <x14:dataValidation type="list" allowBlank="1">
          <x14:formula1>
            <xm:f>List!$M$3:$M$23</xm:f>
          </x14:formula1>
          <xm:sqref>T137:T150 T27:T110 Q135:R150 S2:S150 O2:O150 P54:P150</xm:sqref>
        </x14:dataValidation>
        <x14:dataValidation type="list" allowBlank="1">
          <x14:formula1>
            <xm:f>List!$O$3:$O$4</xm:f>
          </x14:formula1>
          <xm:sqref>L2:N150</xm:sqref>
        </x14:dataValidation>
        <x14:dataValidation type="list" allowBlank="1" showInputMessage="1" prompt="TD - &quot;Toyko Denkai&quot;_x000a_NX  - &quot;Ningxia&quot;">
          <x14:formula1>
            <xm:f>List!$Q$3:$Q$4</xm:f>
          </x14:formula1>
          <xm:sqref>C2:C150</xm:sqref>
        </x14:dataValidation>
        <x14:dataValidation type="list" allowBlank="1">
          <x14:formula1>
            <xm:f>List!$S$3:$S$10</xm:f>
          </x14:formula1>
          <xm:sqref>V2:V150 V152:AA1048576</xm:sqref>
        </x14:dataValidation>
        <x14:dataValidation type="list" allowBlank="1">
          <x14:formula1>
            <xm:f>List!$W$2:$W$24</xm:f>
          </x14:formula1>
          <xm:sqref>AA2:AA150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Y63"/>
  <sheetViews>
    <sheetView topLeftCell="F1" workbookViewId="0">
      <selection activeCell="Y4" sqref="Y4"/>
    </sheetView>
  </sheetViews>
  <sheetFormatPr defaultRowHeight="13.2" x14ac:dyDescent="0.25"/>
  <cols>
    <col min="5" max="5" width="53.109375" bestFit="1" customWidth="1"/>
    <col min="9" max="9" width="12.21875" customWidth="1"/>
    <col min="11" max="11" width="13.109375" customWidth="1"/>
    <col min="13" max="13" width="10.109375" bestFit="1" customWidth="1"/>
    <col min="14" max="14" width="2.88671875" customWidth="1"/>
    <col min="16" max="16" width="1.5546875" customWidth="1"/>
    <col min="17" max="17" width="12.6640625" customWidth="1"/>
    <col min="18" max="18" width="1.6640625" customWidth="1"/>
    <col min="25" max="25" width="12.44140625" bestFit="1" customWidth="1"/>
  </cols>
  <sheetData>
    <row r="2" spans="1:25" ht="18" x14ac:dyDescent="0.25">
      <c r="E2" s="110" t="s">
        <v>48</v>
      </c>
      <c r="F2" s="110" t="s">
        <v>112</v>
      </c>
      <c r="H2" s="116" t="s">
        <v>135</v>
      </c>
      <c r="I2" s="116"/>
      <c r="J2" s="116" t="s">
        <v>136</v>
      </c>
      <c r="K2" s="116"/>
      <c r="M2" s="124" t="s">
        <v>120</v>
      </c>
      <c r="O2" s="124" t="s">
        <v>379</v>
      </c>
      <c r="Q2" s="124" t="s">
        <v>115</v>
      </c>
      <c r="S2" s="124" t="s">
        <v>385</v>
      </c>
      <c r="U2" s="56" t="s">
        <v>52</v>
      </c>
      <c r="W2" s="177">
        <v>42675</v>
      </c>
      <c r="Y2" s="56" t="s">
        <v>440</v>
      </c>
    </row>
    <row r="3" spans="1:25" ht="18" x14ac:dyDescent="0.25">
      <c r="A3" s="52" t="s">
        <v>52</v>
      </c>
      <c r="E3" s="109" t="str">
        <f>IF(' Accting USE Data Entry Form'!B11&gt;0,' Accting USE Data Entry Form'!B11,"")</f>
        <v>Proof of equipment order furnace uprade</v>
      </c>
      <c r="F3" s="109">
        <f>' Accting USE Data Entry Form'!A11</f>
        <v>1</v>
      </c>
      <c r="H3" s="117" t="s">
        <v>139</v>
      </c>
      <c r="I3" s="116" t="s">
        <v>140</v>
      </c>
      <c r="J3" s="117" t="s">
        <v>139</v>
      </c>
      <c r="K3" s="116" t="s">
        <v>141</v>
      </c>
      <c r="M3" s="123">
        <f ca="1">TODAY()-7</f>
        <v>42788</v>
      </c>
      <c r="O3" s="125" t="s">
        <v>127</v>
      </c>
      <c r="Q3" s="126" t="s">
        <v>123</v>
      </c>
      <c r="S3" s="125" t="s">
        <v>386</v>
      </c>
      <c r="U3" s="161">
        <v>0</v>
      </c>
      <c r="W3" s="177">
        <v>42705</v>
      </c>
      <c r="Y3" s="217">
        <f>160750/4</f>
        <v>40187.5</v>
      </c>
    </row>
    <row r="4" spans="1:25" ht="18" x14ac:dyDescent="0.25">
      <c r="A4" s="53">
        <v>1</v>
      </c>
      <c r="E4" s="109" t="str">
        <f>IF(' Accting USE Data Entry Form'!B12&gt;0,' Accting USE Data Entry Form'!B12,"")</f>
        <v>Proof of completed furnace uprade</v>
      </c>
      <c r="F4" s="109">
        <f>' Accting USE Data Entry Form'!A12</f>
        <v>2</v>
      </c>
      <c r="H4" s="116" t="s">
        <v>144</v>
      </c>
      <c r="I4" s="116" t="s">
        <v>145</v>
      </c>
      <c r="J4" s="116" t="s">
        <v>144</v>
      </c>
      <c r="K4" s="116" t="s">
        <v>141</v>
      </c>
      <c r="M4" s="123">
        <f ca="1">WORKDAY(M3,1)</f>
        <v>42789</v>
      </c>
      <c r="O4" s="125" t="s">
        <v>132</v>
      </c>
      <c r="Q4" s="126" t="s">
        <v>305</v>
      </c>
      <c r="S4" s="125" t="s">
        <v>387</v>
      </c>
      <c r="U4" s="161">
        <v>2.5000000000000001E-2</v>
      </c>
      <c r="W4" s="177">
        <v>42736</v>
      </c>
    </row>
    <row r="5" spans="1:25" ht="18" x14ac:dyDescent="0.25">
      <c r="A5" s="53">
        <v>0.95</v>
      </c>
      <c r="E5" s="109" t="str">
        <f>IF(' Accting USE Data Entry Form'!B13&gt;0,' Accting USE Data Entry Form'!B13,"")</f>
        <v>Acceptance of Ni doping process - Cav 1 (of 2)</v>
      </c>
      <c r="F5" s="109">
        <f>' Accting USE Data Entry Form'!A13</f>
        <v>3</v>
      </c>
      <c r="H5" s="116" t="s">
        <v>148</v>
      </c>
      <c r="I5" s="116" t="s">
        <v>145</v>
      </c>
      <c r="J5" s="116" t="s">
        <v>148</v>
      </c>
      <c r="K5" s="116" t="s">
        <v>149</v>
      </c>
      <c r="M5" s="123">
        <f t="shared" ref="M5:M23" ca="1" si="0">WORKDAY(M4,1)</f>
        <v>42790</v>
      </c>
      <c r="S5" s="125" t="s">
        <v>388</v>
      </c>
      <c r="U5" s="161">
        <f t="shared" ref="U5:U43" si="1">U4+0.025</f>
        <v>0.05</v>
      </c>
      <c r="W5" s="177">
        <v>42767</v>
      </c>
    </row>
    <row r="6" spans="1:25" ht="18" x14ac:dyDescent="0.25">
      <c r="A6" s="53">
        <v>0.89999999999999991</v>
      </c>
      <c r="E6" s="109" t="str">
        <f>IF(' Accting USE Data Entry Form'!B14&gt;0,' Accting USE Data Entry Form'!B14,"")</f>
        <v>Acceptance of Ni doping process - Cav 2 (of 2)</v>
      </c>
      <c r="F6" s="109">
        <f>' Accting USE Data Entry Form'!A14</f>
        <v>4</v>
      </c>
      <c r="H6" s="116" t="s">
        <v>153</v>
      </c>
      <c r="I6" s="116" t="s">
        <v>140</v>
      </c>
      <c r="J6" s="116" t="s">
        <v>153</v>
      </c>
      <c r="K6" s="116" t="s">
        <v>149</v>
      </c>
      <c r="M6" s="123">
        <f t="shared" ca="1" si="0"/>
        <v>42793</v>
      </c>
      <c r="S6" s="125" t="s">
        <v>389</v>
      </c>
      <c r="U6" s="161">
        <f t="shared" si="1"/>
        <v>7.5000000000000011E-2</v>
      </c>
      <c r="W6" s="177">
        <v>42795</v>
      </c>
    </row>
    <row r="7" spans="1:25" ht="18" x14ac:dyDescent="0.25">
      <c r="A7" s="53">
        <v>0.84999999999999987</v>
      </c>
      <c r="E7" s="109" t="str">
        <f>IF(' Accting USE Data Entry Form'!B15&gt;0,' Accting USE Data Entry Form'!B15,"")</f>
        <v>PH II: Mfg Drawings Accepted by JLab</v>
      </c>
      <c r="F7" s="109">
        <f>' Accting USE Data Entry Form'!A15</f>
        <v>5</v>
      </c>
      <c r="H7" s="116" t="s">
        <v>156</v>
      </c>
      <c r="I7" s="116" t="s">
        <v>157</v>
      </c>
      <c r="J7" s="116" t="s">
        <v>156</v>
      </c>
      <c r="K7" s="116" t="s">
        <v>158</v>
      </c>
      <c r="M7" s="123">
        <f t="shared" ca="1" si="0"/>
        <v>42794</v>
      </c>
      <c r="S7" s="125" t="s">
        <v>390</v>
      </c>
      <c r="U7" s="161">
        <f t="shared" si="1"/>
        <v>0.1</v>
      </c>
      <c r="W7" s="177">
        <v>42826</v>
      </c>
    </row>
    <row r="8" spans="1:25" ht="18" x14ac:dyDescent="0.25">
      <c r="A8" s="53">
        <v>0.79999999999999982</v>
      </c>
      <c r="E8" s="109" t="str">
        <f>IF(' Accting USE Data Entry Form'!B16&gt;0,' Accting USE Data Entry Form'!B16,"")</f>
        <v>PH II: FAs Mech Pre-fab (Deep Draw)</v>
      </c>
      <c r="F8" s="109">
        <f>' Accting USE Data Entry Form'!A16</f>
        <v>6</v>
      </c>
      <c r="H8" s="116" t="s">
        <v>161</v>
      </c>
      <c r="I8" s="116" t="s">
        <v>157</v>
      </c>
      <c r="J8" s="116" t="s">
        <v>161</v>
      </c>
      <c r="K8" s="116" t="s">
        <v>158</v>
      </c>
      <c r="M8" s="123">
        <f t="shared" ca="1" si="0"/>
        <v>42795</v>
      </c>
      <c r="S8" s="125" t="s">
        <v>391</v>
      </c>
      <c r="U8" s="161">
        <f t="shared" si="1"/>
        <v>0.125</v>
      </c>
      <c r="W8" s="177">
        <v>42856</v>
      </c>
    </row>
    <row r="9" spans="1:25" ht="18" x14ac:dyDescent="0.25">
      <c r="A9" s="53">
        <v>0.74999999999999978</v>
      </c>
      <c r="E9" s="109" t="str">
        <f>IF(' Accting USE Data Entry Form'!B17&gt;0,' Accting USE Data Entry Form'!B17,"")</f>
        <v xml:space="preserve">PH III: Mech Pre-Fab Cavities (9-72) </v>
      </c>
      <c r="F9" s="109">
        <f>' Accting USE Data Entry Form'!A17</f>
        <v>7</v>
      </c>
      <c r="H9" s="116" t="s">
        <v>163</v>
      </c>
      <c r="I9" s="116" t="s">
        <v>164</v>
      </c>
      <c r="J9" s="116" t="s">
        <v>163</v>
      </c>
      <c r="K9" s="116" t="s">
        <v>165</v>
      </c>
      <c r="M9" s="123">
        <f t="shared" ca="1" si="0"/>
        <v>42796</v>
      </c>
      <c r="S9" s="125" t="s">
        <v>392</v>
      </c>
      <c r="U9" s="161">
        <f t="shared" si="1"/>
        <v>0.15</v>
      </c>
      <c r="W9" s="177">
        <v>42887</v>
      </c>
    </row>
    <row r="10" spans="1:25" ht="18" x14ac:dyDescent="0.25">
      <c r="A10" s="53">
        <v>0.69999999999999973</v>
      </c>
      <c r="E10" s="109" t="str">
        <f>IF(' Accting USE Data Entry Form'!B18&gt;0,' Accting USE Data Entry Form'!B18,"")</f>
        <v xml:space="preserve">PH III: Mech Pre-Fab Cavities (73-133) </v>
      </c>
      <c r="F10" s="109">
        <f>' Accting USE Data Entry Form'!A18</f>
        <v>8</v>
      </c>
      <c r="H10" s="116" t="s">
        <v>168</v>
      </c>
      <c r="I10" s="116" t="s">
        <v>164</v>
      </c>
      <c r="J10" s="116" t="s">
        <v>168</v>
      </c>
      <c r="K10" s="116" t="s">
        <v>165</v>
      </c>
      <c r="M10" s="123">
        <f t="shared" ca="1" si="0"/>
        <v>42797</v>
      </c>
      <c r="S10" s="125" t="s">
        <v>393</v>
      </c>
      <c r="U10" s="161">
        <f t="shared" si="1"/>
        <v>0.17499999999999999</v>
      </c>
      <c r="W10" s="177">
        <v>42917</v>
      </c>
    </row>
    <row r="11" spans="1:25" ht="18" x14ac:dyDescent="0.25">
      <c r="A11" s="53">
        <v>0.64999999999999969</v>
      </c>
      <c r="E11" s="109" t="str">
        <f>IF(' Accting USE Data Entry Form'!B19&gt;0,' Accting USE Data Entry Form'!B19,"")</f>
        <v xml:space="preserve">PH II: First Articles Deliver &amp; Accept (1-8) </v>
      </c>
      <c r="F11" s="109">
        <f>' Accting USE Data Entry Form'!A19</f>
        <v>9</v>
      </c>
      <c r="H11" s="116" t="s">
        <v>171</v>
      </c>
      <c r="I11" s="116" t="s">
        <v>172</v>
      </c>
      <c r="J11" s="116" t="s">
        <v>171</v>
      </c>
      <c r="K11" s="116" t="s">
        <v>173</v>
      </c>
      <c r="M11" s="123">
        <f t="shared" ca="1" si="0"/>
        <v>42800</v>
      </c>
      <c r="U11" s="161">
        <f t="shared" si="1"/>
        <v>0.19999999999999998</v>
      </c>
      <c r="W11" s="177">
        <v>42948</v>
      </c>
    </row>
    <row r="12" spans="1:25" ht="18" x14ac:dyDescent="0.25">
      <c r="A12" s="53">
        <v>0.59999999999999964</v>
      </c>
      <c r="E12" s="109" t="str">
        <f>IF(' Accting USE Data Entry Form'!B20&gt;0,' Accting USE Data Entry Form'!B20,"")</f>
        <v>PH III:  Deliver &amp; Accept  Cavities (9-12)</v>
      </c>
      <c r="F12" s="109">
        <f>' Accting USE Data Entry Form'!A20</f>
        <v>10</v>
      </c>
      <c r="H12" s="116" t="s">
        <v>176</v>
      </c>
      <c r="I12" s="116" t="s">
        <v>172</v>
      </c>
      <c r="J12" s="116" t="s">
        <v>176</v>
      </c>
      <c r="K12" s="116" t="s">
        <v>173</v>
      </c>
      <c r="M12" s="123">
        <f t="shared" ca="1" si="0"/>
        <v>42801</v>
      </c>
      <c r="U12" s="161">
        <f t="shared" si="1"/>
        <v>0.22499999999999998</v>
      </c>
      <c r="W12" s="177">
        <v>42979</v>
      </c>
    </row>
    <row r="13" spans="1:25" ht="18" x14ac:dyDescent="0.25">
      <c r="A13" s="53">
        <v>0.5499999999999996</v>
      </c>
      <c r="E13" s="109" t="str">
        <f>IF(' Accting USE Data Entry Form'!B21&gt;0,' Accting USE Data Entry Form'!B21,"")</f>
        <v>PH III:  Deliver &amp; Accept  Cavities (13-16)</v>
      </c>
      <c r="F13" s="109">
        <f>' Accting USE Data Entry Form'!A21</f>
        <v>11</v>
      </c>
      <c r="H13" s="116" t="s">
        <v>179</v>
      </c>
      <c r="I13" s="116" t="s">
        <v>180</v>
      </c>
      <c r="J13" s="116" t="s">
        <v>179</v>
      </c>
      <c r="K13" s="116" t="s">
        <v>181</v>
      </c>
      <c r="M13" s="123">
        <f t="shared" ca="1" si="0"/>
        <v>42802</v>
      </c>
      <c r="U13" s="161">
        <f t="shared" si="1"/>
        <v>0.24999999999999997</v>
      </c>
      <c r="W13" s="177">
        <v>43009</v>
      </c>
    </row>
    <row r="14" spans="1:25" ht="18" x14ac:dyDescent="0.25">
      <c r="A14" s="53">
        <v>0.49999999999999961</v>
      </c>
      <c r="E14" s="109" t="str">
        <f>IF(' Accting USE Data Entry Form'!B22&gt;0,' Accting USE Data Entry Form'!B22,"")</f>
        <v>PH III:  Deliver &amp; Accept  Cavities (17-20)</v>
      </c>
      <c r="F14" s="109">
        <f>' Accting USE Data Entry Form'!A22</f>
        <v>12</v>
      </c>
      <c r="H14" s="116" t="s">
        <v>184</v>
      </c>
      <c r="I14" s="116" t="s">
        <v>180</v>
      </c>
      <c r="J14" s="116" t="s">
        <v>184</v>
      </c>
      <c r="K14" s="116" t="s">
        <v>181</v>
      </c>
      <c r="M14" s="123">
        <f t="shared" ca="1" si="0"/>
        <v>42803</v>
      </c>
      <c r="U14" s="161">
        <f t="shared" si="1"/>
        <v>0.27499999999999997</v>
      </c>
      <c r="W14" s="177">
        <v>43040</v>
      </c>
    </row>
    <row r="15" spans="1:25" ht="18" x14ac:dyDescent="0.25">
      <c r="A15" s="53">
        <v>0.44999999999999962</v>
      </c>
      <c r="E15" s="109" t="str">
        <f>IF(' Accting USE Data Entry Form'!B23&gt;0,' Accting USE Data Entry Form'!B23,"")</f>
        <v>PH III:  Deliver &amp; Accept  Cavities (21-24)</v>
      </c>
      <c r="F15" s="109">
        <f>' Accting USE Data Entry Form'!A23</f>
        <v>13</v>
      </c>
      <c r="H15" s="116" t="s">
        <v>188</v>
      </c>
      <c r="I15" s="116" t="s">
        <v>189</v>
      </c>
      <c r="J15" s="116" t="s">
        <v>188</v>
      </c>
      <c r="K15" s="116" t="s">
        <v>190</v>
      </c>
      <c r="M15" s="123">
        <f t="shared" ca="1" si="0"/>
        <v>42804</v>
      </c>
      <c r="U15" s="161">
        <f t="shared" si="1"/>
        <v>0.3</v>
      </c>
      <c r="W15" s="177">
        <v>43070</v>
      </c>
    </row>
    <row r="16" spans="1:25" ht="18" x14ac:dyDescent="0.25">
      <c r="A16" s="53">
        <v>0.39999999999999963</v>
      </c>
      <c r="E16" s="109" t="str">
        <f>IF(' Accting USE Data Entry Form'!B24&gt;0,' Accting USE Data Entry Form'!B24,"")</f>
        <v>PH III:  Deliver &amp; Accept  Cavities (25-28)</v>
      </c>
      <c r="F16" s="109">
        <f>' Accting USE Data Entry Form'!A24</f>
        <v>14</v>
      </c>
      <c r="H16" s="116" t="s">
        <v>193</v>
      </c>
      <c r="I16" s="116" t="s">
        <v>189</v>
      </c>
      <c r="J16" s="116" t="s">
        <v>193</v>
      </c>
      <c r="K16" s="116" t="s">
        <v>190</v>
      </c>
      <c r="M16" s="123">
        <f t="shared" ca="1" si="0"/>
        <v>42807</v>
      </c>
      <c r="U16" s="161">
        <f t="shared" si="1"/>
        <v>0.32500000000000001</v>
      </c>
      <c r="W16" s="177">
        <v>43101</v>
      </c>
    </row>
    <row r="17" spans="1:23" ht="18" x14ac:dyDescent="0.25">
      <c r="A17" s="53">
        <v>0.34999999999999964</v>
      </c>
      <c r="E17" s="109" t="str">
        <f>IF(' Accting USE Data Entry Form'!B25&gt;0,' Accting USE Data Entry Form'!B25,"")</f>
        <v>PH III:  Deliver &amp; Accept  Cavities (29-32)</v>
      </c>
      <c r="F17" s="109">
        <f>' Accting USE Data Entry Form'!A25</f>
        <v>15</v>
      </c>
      <c r="H17" s="116" t="s">
        <v>197</v>
      </c>
      <c r="I17" s="116" t="s">
        <v>198</v>
      </c>
      <c r="J17" s="116" t="s">
        <v>197</v>
      </c>
      <c r="K17" s="116" t="s">
        <v>199</v>
      </c>
      <c r="M17" s="123">
        <f t="shared" ca="1" si="0"/>
        <v>42808</v>
      </c>
      <c r="U17" s="161">
        <f t="shared" si="1"/>
        <v>0.35000000000000003</v>
      </c>
      <c r="W17" s="177">
        <v>43132</v>
      </c>
    </row>
    <row r="18" spans="1:23" ht="18" x14ac:dyDescent="0.25">
      <c r="A18" s="53">
        <v>0.29999999999999966</v>
      </c>
      <c r="E18" s="109" t="str">
        <f>IF(' Accting USE Data Entry Form'!B26&gt;0,' Accting USE Data Entry Form'!B26,"")</f>
        <v>PH III:  Deliver &amp; Accept  Cavities (33-36)</v>
      </c>
      <c r="F18" s="109">
        <f>' Accting USE Data Entry Form'!A26</f>
        <v>16</v>
      </c>
      <c r="H18" s="116" t="s">
        <v>203</v>
      </c>
      <c r="I18" s="116" t="s">
        <v>198</v>
      </c>
      <c r="J18" s="116" t="s">
        <v>203</v>
      </c>
      <c r="K18" s="116" t="s">
        <v>199</v>
      </c>
      <c r="M18" s="123">
        <f t="shared" ca="1" si="0"/>
        <v>42809</v>
      </c>
      <c r="U18" s="161">
        <f t="shared" si="1"/>
        <v>0.37500000000000006</v>
      </c>
      <c r="W18" s="177">
        <v>43160</v>
      </c>
    </row>
    <row r="19" spans="1:23" ht="18" x14ac:dyDescent="0.25">
      <c r="A19" s="53">
        <v>0.24999999999999967</v>
      </c>
      <c r="E19" s="109" t="str">
        <f>IF(' Accting USE Data Entry Form'!B27&gt;0,' Accting USE Data Entry Form'!B27,"")</f>
        <v>PH III:  Deliver &amp; Accept  Cavities (37-40)</v>
      </c>
      <c r="F19" s="109">
        <f>' Accting USE Data Entry Form'!A27</f>
        <v>17</v>
      </c>
      <c r="H19" s="116" t="s">
        <v>207</v>
      </c>
      <c r="I19" s="116" t="s">
        <v>208</v>
      </c>
      <c r="J19" s="116" t="s">
        <v>207</v>
      </c>
      <c r="K19" s="116" t="s">
        <v>209</v>
      </c>
      <c r="M19" s="123">
        <f t="shared" ca="1" si="0"/>
        <v>42810</v>
      </c>
      <c r="U19" s="161">
        <f t="shared" si="1"/>
        <v>0.40000000000000008</v>
      </c>
      <c r="W19" s="177">
        <v>43191</v>
      </c>
    </row>
    <row r="20" spans="1:23" ht="18" x14ac:dyDescent="0.25">
      <c r="A20" s="53">
        <v>0.19999999999999968</v>
      </c>
      <c r="E20" s="109" t="str">
        <f>IF(' Accting USE Data Entry Form'!B28&gt;0,' Accting USE Data Entry Form'!B28,"")</f>
        <v>PH III:  Deliver &amp; Accept  Cavities (41-44)</v>
      </c>
      <c r="F20" s="109">
        <f>' Accting USE Data Entry Form'!A28</f>
        <v>18</v>
      </c>
      <c r="H20" s="116" t="s">
        <v>213</v>
      </c>
      <c r="I20" s="116" t="s">
        <v>208</v>
      </c>
      <c r="J20" s="116" t="s">
        <v>213</v>
      </c>
      <c r="K20" s="116" t="s">
        <v>209</v>
      </c>
      <c r="M20" s="123">
        <f t="shared" ca="1" si="0"/>
        <v>42811</v>
      </c>
      <c r="U20" s="161">
        <f t="shared" si="1"/>
        <v>0.4250000000000001</v>
      </c>
      <c r="W20" s="177">
        <v>43221</v>
      </c>
    </row>
    <row r="21" spans="1:23" ht="18" x14ac:dyDescent="0.25">
      <c r="A21" s="53">
        <v>0.14999999999999969</v>
      </c>
      <c r="E21" s="109" t="str">
        <f>IF(' Accting USE Data Entry Form'!B29&gt;0,' Accting USE Data Entry Form'!B29,"")</f>
        <v>PH III:  Deliver &amp; Accept  Cavities (45-48)</v>
      </c>
      <c r="F21" s="109">
        <f>' Accting USE Data Entry Form'!A29</f>
        <v>19</v>
      </c>
      <c r="H21" s="116" t="s">
        <v>217</v>
      </c>
      <c r="I21" s="116" t="s">
        <v>218</v>
      </c>
      <c r="J21" s="116" t="s">
        <v>217</v>
      </c>
      <c r="K21" s="116" t="s">
        <v>219</v>
      </c>
      <c r="M21" s="123">
        <f t="shared" ca="1" si="0"/>
        <v>42814</v>
      </c>
      <c r="U21" s="161">
        <f t="shared" si="1"/>
        <v>0.45000000000000012</v>
      </c>
      <c r="W21" s="177">
        <v>43252</v>
      </c>
    </row>
    <row r="22" spans="1:23" ht="18" x14ac:dyDescent="0.25">
      <c r="A22" s="53">
        <v>9.9999999999999686E-2</v>
      </c>
      <c r="E22" s="109" t="str">
        <f>IF(' Accting USE Data Entry Form'!B30&gt;0,' Accting USE Data Entry Form'!B30,"")</f>
        <v>PH III:  Deliver &amp; Accept  Cavities (49-52)</v>
      </c>
      <c r="F22" s="109">
        <f>' Accting USE Data Entry Form'!A30</f>
        <v>20</v>
      </c>
      <c r="H22" s="116" t="s">
        <v>223</v>
      </c>
      <c r="I22" s="116" t="s">
        <v>218</v>
      </c>
      <c r="J22" s="116" t="s">
        <v>223</v>
      </c>
      <c r="K22" s="116" t="s">
        <v>224</v>
      </c>
      <c r="M22" s="123">
        <f t="shared" ca="1" si="0"/>
        <v>42815</v>
      </c>
      <c r="U22" s="161">
        <f t="shared" si="1"/>
        <v>0.47500000000000014</v>
      </c>
      <c r="W22" s="177">
        <v>43282</v>
      </c>
    </row>
    <row r="23" spans="1:23" ht="18" x14ac:dyDescent="0.25">
      <c r="A23" s="53">
        <v>4.9999999999999684E-2</v>
      </c>
      <c r="E23" s="109" t="str">
        <f>IF(' Accting USE Data Entry Form'!B31&gt;0,' Accting USE Data Entry Form'!B31,"")</f>
        <v>MOD 002: DESY Equip Refurbishment</v>
      </c>
      <c r="F23" s="109">
        <f>' Accting USE Data Entry Form'!A31</f>
        <v>21</v>
      </c>
      <c r="H23" s="116" t="s">
        <v>228</v>
      </c>
      <c r="I23" s="116" t="s">
        <v>229</v>
      </c>
      <c r="J23" s="116" t="s">
        <v>228</v>
      </c>
      <c r="K23" s="116" t="s">
        <v>230</v>
      </c>
      <c r="M23" s="123">
        <f t="shared" ca="1" si="0"/>
        <v>42816</v>
      </c>
      <c r="U23" s="161">
        <f t="shared" si="1"/>
        <v>0.50000000000000011</v>
      </c>
      <c r="W23" s="177">
        <v>43313</v>
      </c>
    </row>
    <row r="24" spans="1:23" ht="18" x14ac:dyDescent="0.25">
      <c r="A24" s="53">
        <v>-3.1918911957973251E-16</v>
      </c>
      <c r="E24" s="109" t="str">
        <f>IF(' Accting USE Data Entry Form'!B32&gt;0,' Accting USE Data Entry Form'!B32,"")</f>
        <v xml:space="preserve">MOD 002: DESY Equip Service &amp; Support Costs  </v>
      </c>
      <c r="F24" s="109">
        <f>' Accting USE Data Entry Form'!A32</f>
        <v>22</v>
      </c>
      <c r="H24" s="116" t="s">
        <v>234</v>
      </c>
      <c r="I24" s="116" t="s">
        <v>229</v>
      </c>
      <c r="J24" s="116" t="s">
        <v>234</v>
      </c>
      <c r="K24" s="116" t="s">
        <v>230</v>
      </c>
      <c r="U24" s="161">
        <f t="shared" si="1"/>
        <v>0.52500000000000013</v>
      </c>
      <c r="W24" s="177">
        <v>43344</v>
      </c>
    </row>
    <row r="25" spans="1:23" ht="18" x14ac:dyDescent="0.25">
      <c r="E25" s="109" t="str">
        <f>IF(' Accting USE Data Entry Form'!B33&gt;0,' Accting USE Data Entry Form'!B33,"")</f>
        <v>MOD 003: Accel Shipment (1-16) Incentives (Max of $323,136)</v>
      </c>
      <c r="F25" s="109">
        <f>' Accting USE Data Entry Form'!A33</f>
        <v>23</v>
      </c>
      <c r="H25" s="116" t="s">
        <v>236</v>
      </c>
      <c r="I25" s="116" t="s">
        <v>237</v>
      </c>
      <c r="J25" s="116" t="s">
        <v>236</v>
      </c>
      <c r="K25" s="116" t="s">
        <v>238</v>
      </c>
      <c r="U25" s="161">
        <f t="shared" si="1"/>
        <v>0.55000000000000016</v>
      </c>
    </row>
    <row r="26" spans="1:23" ht="18" x14ac:dyDescent="0.25">
      <c r="E26" s="109" t="str">
        <f>IF(' Accting USE Data Entry Form'!B34&gt;0,' Accting USE Data Entry Form'!B34,"")</f>
        <v>MOD 004: Incentives for Accelerated Production Deliveries</v>
      </c>
      <c r="F26" s="109">
        <f>' Accting USE Data Entry Form'!A34</f>
        <v>24</v>
      </c>
      <c r="H26" s="116" t="s">
        <v>242</v>
      </c>
      <c r="I26" s="116" t="s">
        <v>237</v>
      </c>
      <c r="J26" s="116" t="s">
        <v>242</v>
      </c>
      <c r="K26" s="116" t="s">
        <v>238</v>
      </c>
      <c r="U26" s="161">
        <f t="shared" si="1"/>
        <v>0.57500000000000018</v>
      </c>
    </row>
    <row r="27" spans="1:23" ht="18" x14ac:dyDescent="0.25">
      <c r="E27" s="109" t="str">
        <f>IF(' Accting USE Data Entry Form'!B35&gt;0,' Accting USE Data Entry Form'!B35,"")</f>
        <v>MOD 005: DESY Equipment Lease ($9,200/ month)</v>
      </c>
      <c r="F27" s="109">
        <f>' Accting USE Data Entry Form'!A35</f>
        <v>25</v>
      </c>
      <c r="H27" s="116" t="s">
        <v>244</v>
      </c>
      <c r="I27" s="116" t="s">
        <v>245</v>
      </c>
      <c r="J27" s="116" t="s">
        <v>244</v>
      </c>
      <c r="K27" s="116" t="s">
        <v>246</v>
      </c>
      <c r="U27" s="161">
        <f t="shared" si="1"/>
        <v>0.6000000000000002</v>
      </c>
    </row>
    <row r="28" spans="1:23" ht="18" x14ac:dyDescent="0.25">
      <c r="E28" s="109" t="str">
        <f>IF(' Accting USE Data Entry Form'!B36&gt;0,' Accting USE Data Entry Form'!B36,"")</f>
        <v>PH III:  Deliver &amp; Accept  Cavities (53-56)</v>
      </c>
      <c r="F28" s="109">
        <f>' Accting USE Data Entry Form'!A36</f>
        <v>26</v>
      </c>
      <c r="H28" s="116" t="s">
        <v>250</v>
      </c>
      <c r="I28" s="116" t="s">
        <v>245</v>
      </c>
      <c r="J28" s="116" t="s">
        <v>250</v>
      </c>
      <c r="K28" s="116" t="s">
        <v>246</v>
      </c>
      <c r="U28" s="161">
        <f t="shared" si="1"/>
        <v>0.62500000000000022</v>
      </c>
    </row>
    <row r="29" spans="1:23" ht="18" x14ac:dyDescent="0.25">
      <c r="E29" s="109" t="str">
        <f>IF(' Accting USE Data Entry Form'!B37&gt;0,' Accting USE Data Entry Form'!B37,"")</f>
        <v>PH III:  Deliver &amp; Accept  Cavities (57-60)</v>
      </c>
      <c r="F29" s="109">
        <f>' Accting USE Data Entry Form'!A37</f>
        <v>27</v>
      </c>
      <c r="H29" s="116" t="s">
        <v>253</v>
      </c>
      <c r="I29" s="116" t="s">
        <v>254</v>
      </c>
      <c r="J29" s="116" t="s">
        <v>253</v>
      </c>
      <c r="K29" s="116" t="s">
        <v>255</v>
      </c>
      <c r="U29" s="161">
        <f t="shared" si="1"/>
        <v>0.65000000000000024</v>
      </c>
    </row>
    <row r="30" spans="1:23" ht="18" x14ac:dyDescent="0.25">
      <c r="E30" s="109" t="str">
        <f>IF(' Accting USE Data Entry Form'!B38&gt;0,' Accting USE Data Entry Form'!B38,"")</f>
        <v>PH III:  Deliver &amp; Accept  Cavities (61-64)</v>
      </c>
      <c r="F30" s="109">
        <f>' Accting USE Data Entry Form'!A38</f>
        <v>28</v>
      </c>
      <c r="H30" s="116" t="s">
        <v>257</v>
      </c>
      <c r="I30" s="116" t="s">
        <v>254</v>
      </c>
      <c r="J30" s="116" t="s">
        <v>257</v>
      </c>
      <c r="K30" s="116" t="s">
        <v>255</v>
      </c>
      <c r="U30" s="161">
        <f t="shared" si="1"/>
        <v>0.67500000000000027</v>
      </c>
    </row>
    <row r="31" spans="1:23" ht="18" x14ac:dyDescent="0.25">
      <c r="E31" s="109" t="str">
        <f>IF(' Accting USE Data Entry Form'!B39&gt;0,' Accting USE Data Entry Form'!B39,"")</f>
        <v>PH III:  Deliver &amp; Accept  Cavities (65-68)</v>
      </c>
      <c r="F31" s="109">
        <f>' Accting USE Data Entry Form'!A39</f>
        <v>29</v>
      </c>
      <c r="H31" s="116" t="s">
        <v>259</v>
      </c>
      <c r="I31" s="116" t="s">
        <v>260</v>
      </c>
      <c r="J31" s="116" t="s">
        <v>259</v>
      </c>
      <c r="K31" s="116" t="s">
        <v>261</v>
      </c>
      <c r="U31" s="161">
        <f t="shared" si="1"/>
        <v>0.70000000000000029</v>
      </c>
    </row>
    <row r="32" spans="1:23" ht="18" x14ac:dyDescent="0.25">
      <c r="E32" s="109" t="str">
        <f>IF(' Accting USE Data Entry Form'!B40&gt;0,' Accting USE Data Entry Form'!B40,"")</f>
        <v>PH III:  Deliver &amp; Accept  Cavities (69-72)</v>
      </c>
      <c r="F32" s="109">
        <f>' Accting USE Data Entry Form'!A40</f>
        <v>30</v>
      </c>
      <c r="H32" s="116" t="s">
        <v>263</v>
      </c>
      <c r="I32" s="116" t="s">
        <v>260</v>
      </c>
      <c r="J32" s="116" t="s">
        <v>263</v>
      </c>
      <c r="K32" s="116" t="s">
        <v>261</v>
      </c>
      <c r="U32" s="161">
        <f t="shared" si="1"/>
        <v>0.72500000000000031</v>
      </c>
    </row>
    <row r="33" spans="5:21" ht="18" x14ac:dyDescent="0.25">
      <c r="E33" s="109" t="str">
        <f>IF(' Accting USE Data Entry Form'!B41&gt;0,' Accting USE Data Entry Form'!B41,"")</f>
        <v>PH III:  Deliver &amp; Accept  Cavities (73-76)</v>
      </c>
      <c r="F33" s="109">
        <f>' Accting USE Data Entry Form'!A41</f>
        <v>31</v>
      </c>
      <c r="H33" s="116" t="s">
        <v>265</v>
      </c>
      <c r="I33" s="116" t="s">
        <v>266</v>
      </c>
      <c r="J33" s="116" t="s">
        <v>265</v>
      </c>
      <c r="K33" s="116" t="s">
        <v>267</v>
      </c>
      <c r="U33" s="161">
        <f t="shared" si="1"/>
        <v>0.75000000000000033</v>
      </c>
    </row>
    <row r="34" spans="5:21" ht="18" x14ac:dyDescent="0.25">
      <c r="E34" s="109" t="str">
        <f>IF(' Accting USE Data Entry Form'!B42&gt;0,' Accting USE Data Entry Form'!B42,"")</f>
        <v>PH III:  Deliver &amp; Accept  Cavities (77-80)</v>
      </c>
      <c r="F34" s="109">
        <f>' Accting USE Data Entry Form'!A42</f>
        <v>32</v>
      </c>
      <c r="H34" s="116" t="s">
        <v>269</v>
      </c>
      <c r="I34" s="116" t="s">
        <v>266</v>
      </c>
      <c r="J34" s="116" t="s">
        <v>269</v>
      </c>
      <c r="K34" s="116" t="s">
        <v>267</v>
      </c>
      <c r="U34" s="161">
        <f t="shared" si="1"/>
        <v>0.77500000000000036</v>
      </c>
    </row>
    <row r="35" spans="5:21" ht="18" x14ac:dyDescent="0.25">
      <c r="E35" s="109" t="str">
        <f>IF(' Accting USE Data Entry Form'!B43&gt;0,' Accting USE Data Entry Form'!B43,"")</f>
        <v>PH III:  Deliver &amp; Accept  Cavities (81-84)</v>
      </c>
      <c r="F35" s="109">
        <f>' Accting USE Data Entry Form'!A43</f>
        <v>33</v>
      </c>
      <c r="H35" s="116" t="s">
        <v>271</v>
      </c>
      <c r="I35" s="116" t="s">
        <v>272</v>
      </c>
      <c r="J35" s="116" t="s">
        <v>273</v>
      </c>
      <c r="K35" s="116" t="s">
        <v>272</v>
      </c>
      <c r="U35" s="161">
        <f t="shared" si="1"/>
        <v>0.80000000000000038</v>
      </c>
    </row>
    <row r="36" spans="5:21" ht="18" x14ac:dyDescent="0.25">
      <c r="E36" s="109" t="str">
        <f>IF(' Accting USE Data Entry Form'!B44&gt;0,' Accting USE Data Entry Form'!B44,"")</f>
        <v>PH III:  Deliver &amp; Accept  Cavities (85-88)</v>
      </c>
      <c r="F36" s="109">
        <f>' Accting USE Data Entry Form'!A44</f>
        <v>34</v>
      </c>
      <c r="H36" s="116" t="s">
        <v>275</v>
      </c>
      <c r="I36" s="116" t="s">
        <v>272</v>
      </c>
      <c r="J36" s="116"/>
      <c r="K36" s="116"/>
      <c r="U36" s="161">
        <f t="shared" si="1"/>
        <v>0.8250000000000004</v>
      </c>
    </row>
    <row r="37" spans="5:21" x14ac:dyDescent="0.25">
      <c r="E37" s="109" t="str">
        <f>IF(' Accting USE Data Entry Form'!B45&gt;0,' Accting USE Data Entry Form'!B45,"")</f>
        <v>PH III:  Deliver &amp; Accept  Cavities (89-92)</v>
      </c>
      <c r="F37" s="109">
        <f>' Accting USE Data Entry Form'!A45</f>
        <v>35</v>
      </c>
      <c r="U37" s="161">
        <f t="shared" si="1"/>
        <v>0.85000000000000042</v>
      </c>
    </row>
    <row r="38" spans="5:21" x14ac:dyDescent="0.25">
      <c r="E38" s="109" t="str">
        <f>IF(' Accting USE Data Entry Form'!B46&gt;0,' Accting USE Data Entry Form'!B46,"")</f>
        <v>PH III:  Deliver &amp; Accept  Cavities (93-96)</v>
      </c>
      <c r="F38" s="109">
        <f>' Accting USE Data Entry Form'!A46</f>
        <v>36</v>
      </c>
      <c r="U38" s="161">
        <f t="shared" si="1"/>
        <v>0.87500000000000044</v>
      </c>
    </row>
    <row r="39" spans="5:21" x14ac:dyDescent="0.25">
      <c r="E39" s="109" t="str">
        <f>IF(' Accting USE Data Entry Form'!B47&gt;0,' Accting USE Data Entry Form'!B47,"")</f>
        <v>PH III:  Deliver &amp; Accept  Cavities (97-100)</v>
      </c>
      <c r="F39" s="109">
        <f>' Accting USE Data Entry Form'!A47</f>
        <v>37</v>
      </c>
      <c r="U39" s="161">
        <f t="shared" si="1"/>
        <v>0.90000000000000047</v>
      </c>
    </row>
    <row r="40" spans="5:21" x14ac:dyDescent="0.25">
      <c r="E40" s="109" t="str">
        <f>IF(' Accting USE Data Entry Form'!B48&gt;0,' Accting USE Data Entry Form'!B48,"")</f>
        <v>PH III:  Deliver &amp; Accept  Cavities (101-104)</v>
      </c>
      <c r="F40" s="109">
        <f>' Accting USE Data Entry Form'!A48</f>
        <v>38</v>
      </c>
      <c r="U40" s="161">
        <f t="shared" si="1"/>
        <v>0.92500000000000049</v>
      </c>
    </row>
    <row r="41" spans="5:21" x14ac:dyDescent="0.25">
      <c r="E41" s="109" t="str">
        <f>IF(' Accting USE Data Entry Form'!B49&gt;0,' Accting USE Data Entry Form'!B49,"")</f>
        <v>PH III:  Deliver &amp; Accept  Cavities (105-108)</v>
      </c>
      <c r="F41" s="109">
        <f>' Accting USE Data Entry Form'!A49</f>
        <v>39</v>
      </c>
      <c r="U41" s="161">
        <f t="shared" si="1"/>
        <v>0.95000000000000051</v>
      </c>
    </row>
    <row r="42" spans="5:21" x14ac:dyDescent="0.25">
      <c r="E42" s="109" t="str">
        <f>IF(' Accting USE Data Entry Form'!B50&gt;0,' Accting USE Data Entry Form'!B50,"")</f>
        <v>PH III:  Deliver &amp; Accept  Cavities (109-112)</v>
      </c>
      <c r="F42" s="109">
        <f>' Accting USE Data Entry Form'!A50</f>
        <v>40</v>
      </c>
      <c r="U42" s="161">
        <f t="shared" si="1"/>
        <v>0.97500000000000053</v>
      </c>
    </row>
    <row r="43" spans="5:21" x14ac:dyDescent="0.25">
      <c r="E43" s="109" t="str">
        <f>IF(' Accting USE Data Entry Form'!B51&gt;0,' Accting USE Data Entry Form'!B51,"")</f>
        <v>PH III:  Deliver &amp; Accept  Cavities (113-116)</v>
      </c>
      <c r="F43" s="109">
        <f>' Accting USE Data Entry Form'!A51</f>
        <v>41</v>
      </c>
      <c r="U43" s="161">
        <f t="shared" si="1"/>
        <v>1.0000000000000004</v>
      </c>
    </row>
    <row r="44" spans="5:21" x14ac:dyDescent="0.25">
      <c r="E44" s="109" t="str">
        <f>IF(' Accting USE Data Entry Form'!B52&gt;0,' Accting USE Data Entry Form'!B52,"")</f>
        <v>PH III:  Deliver &amp; Accept  Cavities (117-120)</v>
      </c>
      <c r="F44" s="109">
        <f>' Accting USE Data Entry Form'!A52</f>
        <v>42</v>
      </c>
    </row>
    <row r="45" spans="5:21" x14ac:dyDescent="0.25">
      <c r="E45" s="109" t="str">
        <f>IF(' Accting USE Data Entry Form'!B53&gt;0,' Accting USE Data Entry Form'!B53,"")</f>
        <v>PH III:  Deliver &amp; Accept  Cavities (121-124)</v>
      </c>
      <c r="F45" s="109">
        <f>' Accting USE Data Entry Form'!A53</f>
        <v>43</v>
      </c>
    </row>
    <row r="46" spans="5:21" x14ac:dyDescent="0.25">
      <c r="E46" s="109" t="str">
        <f>IF(' Accting USE Data Entry Form'!B54&gt;0,' Accting USE Data Entry Form'!B54,"")</f>
        <v>PH III:  Deliver &amp; Accept  Cavities (125-128)</v>
      </c>
      <c r="F46" s="109">
        <f>' Accting USE Data Entry Form'!A54</f>
        <v>44</v>
      </c>
    </row>
    <row r="47" spans="5:21" x14ac:dyDescent="0.25">
      <c r="E47" s="109" t="str">
        <f>IF(' Accting USE Data Entry Form'!B55&gt;0,' Accting USE Data Entry Form'!B55,"")</f>
        <v>PH III:  Deliver &amp; Accept  Cavities (129-133)</v>
      </c>
      <c r="F47" s="109">
        <f>' Accting USE Data Entry Form'!A55</f>
        <v>45</v>
      </c>
    </row>
    <row r="48" spans="5:21" x14ac:dyDescent="0.25">
      <c r="E48" s="109" t="str">
        <f>IF(' Accting USE Data Entry Form'!B56&gt;0,' Accting USE Data Entry Form'!B56,"")</f>
        <v>MOD 007: LCLS-II R&amp;D Cavities (4)</v>
      </c>
      <c r="F48" s="109">
        <f>' Accting USE Data Entry Form'!A56</f>
        <v>46</v>
      </c>
    </row>
    <row r="49" spans="5:6" x14ac:dyDescent="0.25">
      <c r="E49" s="109" t="str">
        <f>IF(' Accting USE Data Entry Form'!B57&gt;0,' Accting USE Data Entry Form'!B57,"")</f>
        <v>MOD 008: CTM Spare Parts</v>
      </c>
      <c r="F49" s="109">
        <f>' Accting USE Data Entry Form'!A61</f>
        <v>51</v>
      </c>
    </row>
    <row r="50" spans="5:6" x14ac:dyDescent="0.25">
      <c r="E50" s="109" t="str">
        <f>IF(' Accting USE Data Entry Form'!B58&gt;0,' Accting USE Data Entry Form'!B58,"")</f>
        <v>MOD 009: Recipe Modification (21-133) ($4283.18/cavity)</v>
      </c>
      <c r="F50" s="109" t="str">
        <f>' Accting USE Data Entry Form'!A62</f>
        <v>Total</v>
      </c>
    </row>
    <row r="51" spans="5:6" x14ac:dyDescent="0.25">
      <c r="E51" s="109" t="str">
        <f>IF(' Accting USE Data Entry Form'!B59&gt;0,' Accting USE Data Entry Form'!B59,"")</f>
        <v xml:space="preserve">MOD 010: Niobium Caps $494.02/ea (Cavs 17-133)  </v>
      </c>
      <c r="F51" s="109">
        <f>' Accting USE Data Entry Form'!A63</f>
        <v>0</v>
      </c>
    </row>
    <row r="52" spans="5:6" x14ac:dyDescent="0.25">
      <c r="E52" s="109" t="str">
        <f>IF(' Accting USE Data Entry Form'!B61&gt;0,' Accting USE Data Entry Form'!B61,"")</f>
        <v>MOD 011: Optional Cavities 1-8</v>
      </c>
      <c r="F52" s="109" t="str">
        <f>' Accting USE Data Entry Form'!A64</f>
        <v>Procurement Entered By:  ________________________________________________________________</v>
      </c>
    </row>
    <row r="53" spans="5:6" x14ac:dyDescent="0.25">
      <c r="E53" s="109" t="str">
        <f>IF(' Accting USE Data Entry Form'!B62&gt;0,' Accting USE Data Entry Form'!B62,"")</f>
        <v/>
      </c>
      <c r="F53" s="109">
        <f>' Accting USE Data Entry Form'!A65</f>
        <v>0</v>
      </c>
    </row>
    <row r="54" spans="5:6" x14ac:dyDescent="0.25">
      <c r="E54" s="109" t="str">
        <f>IF(' Accting USE Data Entry Form'!B63&gt;0,' Accting USE Data Entry Form'!B63,"")</f>
        <v/>
      </c>
      <c r="F54" s="109">
        <f>' Accting USE Data Entry Form'!A66</f>
        <v>0</v>
      </c>
    </row>
    <row r="55" spans="5:6" x14ac:dyDescent="0.25">
      <c r="E55" s="109" t="str">
        <f>IF(' Accting USE Data Entry Form'!B64&gt;0,' Accting USE Data Entry Form'!B64,"")</f>
        <v/>
      </c>
      <c r="F55" s="109" t="str">
        <f>' Accting USE Data Entry Form'!A67</f>
        <v>Procurement Data Entry Verified By:  _______________________________________________________</v>
      </c>
    </row>
    <row r="56" spans="5:6" x14ac:dyDescent="0.25">
      <c r="E56" s="109" t="str">
        <f>IF(' Accting USE Data Entry Form'!B65&gt;0,' Accting USE Data Entry Form'!B65,"")</f>
        <v/>
      </c>
      <c r="F56" s="109">
        <f>' Accting USE Data Entry Form'!A68</f>
        <v>0</v>
      </c>
    </row>
    <row r="57" spans="5:6" x14ac:dyDescent="0.25">
      <c r="E57" s="109" t="str">
        <f>IF(' Accting USE Data Entry Form'!B66&gt;0,' Accting USE Data Entry Form'!B66,"")</f>
        <v/>
      </c>
      <c r="F57" s="109">
        <f>' Accting USE Data Entry Form'!A69</f>
        <v>0</v>
      </c>
    </row>
    <row r="58" spans="5:6" x14ac:dyDescent="0.25">
      <c r="E58" s="109" t="str">
        <f>IF(' Accting USE Data Entry Form'!B67&gt;0,' Accting USE Data Entry Form'!B67,"")</f>
        <v/>
      </c>
      <c r="F58" s="109">
        <f>' Accting USE Data Entry Form'!A70</f>
        <v>0</v>
      </c>
    </row>
    <row r="59" spans="5:6" x14ac:dyDescent="0.25">
      <c r="E59" s="109" t="str">
        <f>IF(' Accting USE Data Entry Form'!B68&gt;0,' Accting USE Data Entry Form'!B68,"")</f>
        <v/>
      </c>
      <c r="F59" s="109">
        <f>' Accting USE Data Entry Form'!A71</f>
        <v>0</v>
      </c>
    </row>
    <row r="60" spans="5:6" x14ac:dyDescent="0.25">
      <c r="E60" s="109" t="str">
        <f>IF(' Accting USE Data Entry Form'!B69&gt;0,' Accting USE Data Entry Form'!B69,"")</f>
        <v/>
      </c>
      <c r="F60" s="109">
        <f>' Accting USE Data Entry Form'!A72</f>
        <v>0</v>
      </c>
    </row>
    <row r="61" spans="5:6" x14ac:dyDescent="0.25">
      <c r="E61" s="109" t="str">
        <f>IF(' Accting USE Data Entry Form'!B70&gt;0,' Accting USE Data Entry Form'!B70,"")</f>
        <v/>
      </c>
      <c r="F61" s="109">
        <f>' Accting USE Data Entry Form'!A73</f>
        <v>0</v>
      </c>
    </row>
    <row r="62" spans="5:6" x14ac:dyDescent="0.25">
      <c r="E62" s="109" t="str">
        <f>IF(' Accting USE Data Entry Form'!B71&gt;0,' Accting USE Data Entry Form'!B71,"")</f>
        <v/>
      </c>
      <c r="F62" s="109">
        <f>' Accting USE Data Entry Form'!A74</f>
        <v>0</v>
      </c>
    </row>
    <row r="63" spans="5:6" x14ac:dyDescent="0.25">
      <c r="F63" s="109">
        <f>' Accting USE Data Entry Form'!A75</f>
        <v>0</v>
      </c>
    </row>
  </sheetData>
  <autoFilter ref="E2:F62">
    <sortState ref="E3:F62">
      <sortCondition ref="F2:F62"/>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s " > < C u s t o m C o n t e n t > < ! [ C D A T A [ < L i n k e d T a b l e s   x m l n s : x s i = " h t t p : / / w w w . w 3 . o r g / 2 0 0 1 / X M L S c h e m a - i n s t a n c e "   x m l n s : x s d = " h t t p : / / w w w . w 3 . o r g / 2 0 0 1 / X M L S c h e m a " > < L i n k e d T a b l e L i s t > < L i n k e d T a b l e I n f o > < E x c e l T a b l e N a m e > C a v i t y S t a t u s < / E x c e l T a b l e N a m e > < G e m i n i T a b l e I d > C a v i t y S t a t u s < / G e m i n i T a b l e I d > < L i n k e d C o l u m n L i s t   / > < U p d a t e N e e d e d > f a l s e < / U p d a t e N e e d e d > < R o w C o u n t > 0 < / R o w C o u n t > < / L i n k e d T a b l e I n f o > < L i n k e d T a b l e I n f o > < E x c e l T a b l e N a m e > A c c r u a l s < / E x c e l T a b l e N a m e > < G e m i n i T a b l e I d > A c c r u a l s < / G e m i n i T a b l e I d > < L i n k e d C o l u m n L i s t   / > < U p d a t e N e e d e d > f a l s e < / U p d a t e N e e d e d > < R o w C o u n t > 0 < / R o w C o u n t > < / L i n k e d T a b l e I n f o > < / L i n k e d T a b l e L i s t > < / L i n k e d T a b l e s > ] ] > < / C u s t o m C o n t e n t > < / G e m i n i > 
</file>

<file path=customXml/item10.xml>��< ? x m l   v e r s i o n = " 1 . 0 "   e n c o d i n g = " U T F - 1 6 " ? > < G e m i n i   x m l n s = " h t t p : / / g e m i n i / p i v o t c u s t o m i z a t i o n / T a b l e C o u n t I n S a n d b o x " > < C u s t o m C o n t e n t > 2 < / C u s t o m C o n t e n t > < / G e m i n i > 
</file>

<file path=customXml/item11.xml>��< ? x m l   v e r s i o n = " 1 . 0 "   e n c o d i n g = " U T F - 1 6 " ? > < G e m i n i   x m l n s = " h t t p : / / g e m i n i / p i v o t c u s t o m i z a t i o n / P o w e r P i v o t V e r s i o n " > < C u s t o m C o n t e n t > < ! [ C D A T A [ 1 1 . 0 . 9 1 6 6 . 1 5 8 ] ] > < / 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 2 0 1 6 - 1 1 - 0 7 T 1 7 : 5 4 : 2 8 . 4 6 1 3 4 3 2 - 0 5 : 0 0 < / L a s t P r o c e s s e d T i m e > < / D a t a M o d e l i n g S a n d b o x . S e r i a l i z e d S a n d b o x E r r o r C a c h e > ] ] > < / C u s t o m C o n t e n t > < / G e m i n i > 
</file>

<file path=customXml/item15.xml>��< ? x m l   v e r s i o n = " 1 . 0 "   e n c o d i n g = " U T F - 1 6 " ? > < G e m i n i   x m l n s = " h t t p : / / g e m i n i / p i v o t c u s t o m i z a t i o n / S a n d b o x N o n E m p t y " > < C u s t o m C o n t e n t > < ! [ C D A T A [ 1 ] ] > < / C u s t o m C o n t e n t > < / G e m i n i > 
</file>

<file path=customXml/item16.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A c c r u a 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 i : t y p e = " S a n d b o x E d i t o r M e a s u r e G r i d K e y " & g t ; & l t ; T a b l e N a m e & g t ; A c c r u a l s & l t ; / T a b l e N a m e & g t ; & l t ; / K e y & g t ; & l t ; M a i n t a i n e r 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 r e a d o n l y & l t ; / K e y & g t ; & l t ; / D i a g r a m O b j e c t K e y & g t ; & l t ; D i a g r a m O b j e c t K e y & g t ; & l t ; K e y & g t ; C o l u m n s \ P O   L i n e   # & l t ; / K e y & g t ; & l t ; / D i a g r a m O b j e c t K e y & g t ; & l t ; D i a g r a m O b j e c t K e y & g t ; & l t ; K e y & g t ; C o l u m n s \ D e s c r i p t i o n & l t ; / K e y & g t ; & l t ; / D i a g r a m O b j e c t K e y & g t ; & l t ; D i a g r a m O b j e c t K e y & g t ; & l t ; K e y & g t ; C o l u m n s \ E s t   D a t e & l t ; / K e y & g t ; & l t ; / D i a g r a m O b j e c t K e y & g t ; & l t ; D i a g r a m O b j e c t K e y & g t ; & l t ; K e y & g t ; C o l u m n s \ P e r c e n t   C o m p l e t e & l t ; / K e y & g t ; & l t ; / D i a g r a m O b j e c t K e y & g t ; & l t ; D i a g r a m O b j e c t K e y & g t ; & l t ; K e y & g t ; C o l u m n s \ # & l t ; / K e y & g t ; & l t ; / D i a g r a m O b j e c t K e y & g t ; & l t ; D i a g r a m O b j e c t K e y & g t ; & l t ; K e y & g t ; C o l u m n s \ P O   L i n e   T o t a l & l t ; / K e y & g t ; & l t ; / D i a g r a m O b j e c t K e y & g t ; & l t ; D i a g r a m O b j e c t K e y & g t ; & l t ; K e y & g t ; C o l u m n s \ = & l t ; / K e y & g t ; & l t ; / D i a g r a m O b j e c t K e y & g t ; & l t ; D i a g r a m O b j e c t K e y & g t ; & l t ; K e y & g t ; C o l u m n s \ C o m p l e t e d   W o r k   A m t & l t ; / K e y & g t ; & l t ; / D i a g r a m O b j e c t K e y & g t ; & l t ; D i a g r a m O b j e c t K e y & g t ; & l t ; K e y & g t ; C o l u m n s \ c & l t ; / K e y & g t ; & l t ; / D i a g r a m O b j e c t K e y & g t ; & l t ; D i a g r a m O b j e c t K e y & g t ; & l t ; K e y & g t ; C o l u m n s \ C o m p l e t e d   W o r k   A m t 2 & l t ; / K e y & g t ; & l t ; / D i a g r a m O b j e c t K e y & g t ; & l t ; D i a g r a m O b j e c t K e y & g t ; & l t ; K e y & g t ; C o l u m n s \ - & l t ; / K e y & g t ; & l t ; / D i a g r a m O b j e c t K e y & g t ; & l t ; D i a g r a m O b j e c t K e y & g t ; & l t ; K e y & g t ; C o l u m n s \ E l i g i b l e   f o r   V o u c h e r   A m t & l t ; / K e y & g t ; & l t ; / D i a g r a m O b j e c t K e y & g t ; & l t ; D i a g r a m O b j e c t K e y & g t ; & l t ; K e y & g t ; C o l u m n s \ - 3 & l t ; / K e y & g t ; & l t ; / D i a g r a m O b j e c t K e y & g t ; & l t ; D i a g r a m O b j e c t K e y & g t ; & l t ; K e y & g t ; C o l u m n s \ P r e v   V o u c h e r e d   A m o u n t & l t ; / K e y & g t ; & l t ; / D i a g r a m O b j e c t K e y & g t ; & l t ; D i a g r a m O b j e c t K e y & g t ; & l t ; K e y & g t ; C o l u m n s \ = 4 & l t ; / K e y & g t ; & l t ; / D i a g r a m O b j e c t K e y & g t ; & l t ; D i a g r a m O b j e c t K e y & g t ; & l t ; K e y & g t ; C o l u m n s \ C o m p l e t e d     W o r k   R e t e n t i o n   A m t & l t ; / K e y & g t ; & l t ; / D i a g r a m O b j e c t K e y & g t ; & l t ; D i a g r a m O b j e c t K e y & g t ; & l t ; K e y & g t ; C o l u m n s \ N o 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P e r c e n t   C o m p l e t e & l t ; / K e y & g t ; & l t ; / a : K e y & g t ; & l t ; a : V a l u e   i : t y p e = " M e a s u r e G r i d N o d e V i e w S t a t e " & g t ; & l t ; C o l u m n & g t ; 3 & l t ; / C o l u m n & g t ; & l t ; L a y e d O u t & g t ; t r u e & l t ; / L a y e d O u t & g t ; & l t ; / a : V a l u e & g t ; & l t ; / a : K e y V a l u e O f D i a g r a m O b j e c t K e y a n y T y p e z b w N T n L X & g t ; & l t ; a : K e y V a l u e O f D i a g r a m O b j e c t K e y a n y T y p e z b w N T n L X & g t ; & l t ; a : K e y & g t ; & l t ; K e y & g t ; C o l u m n s \ # & l t ; / K e y & g t ; & l t ; / a : K e y & g t ; & l t ; a : V a l u e   i : t y p e = " M e a s u r e G r i d N o d e V i e w S t a t e " & g t ; & l t ; C o l u m n & g t ; 4 & l t ; / C o l u m n & g t ; & l t ; L a y e d O u t & g t ; t r u e & l t ; / L a y e d O u t & g t ; & l t ; / a : V a l u e & g t ; & l t ; / a : K e y V a l u e O f D i a g r a m O b j e c t K e y a n y T y p e z b w N T n L X & g t ; & l t ; a : K e y V a l u e O f D i a g r a m O b j e c t K e y a n y T y p e z b w N T n L X & g t ; & l t ; a : K e y & g t ; & l t ; K e y & g t ; C o l u m n s \ P O   L i n e   T o t a l & l t ; / K e y & g t ; & l t ; / a : K e y & g t ; & l t ; a : V a l u e   i : t y p e = " M e a s u r e G r i d N o d e V i e w S t a t e " & g t ; & l t ; C o l u m n & g t ; 5 & l t ; / C o l u m n & g t ; & l t ; L a y e d O u t & g t ; t r u e & l t ; / L a y e d O u t & g t ; & l t ; / a : V a l u e & g t ; & l t ; / a : K e y V a l u e O f D i a g r a m O b j e c t K e y a n y T y p e z b w N T n L X & g t ; & l t ; a : K e y V a l u e O f D i a g r a m O b j e c t K e y a n y T y p e z b w N T n L X & g t ; & l t ; a : K e y & g t ; & l t ; K e y & g t ; C o l u m n s \ = & l t ; / K e y & g t ; & l t ; / a : K e y & g t ; & l t ; a : V a l u e   i : t y p e = " M e a s u r e G r i d N o d e V i e w S t a t e " & g t ; & l t ; C o l u m n & g t ; 6 & l t ; / C o l u m n & g t ; & l t ; L a y e d O u t & g t ; t r u e & l t ; / L a y e d O u t & g t ; & l t ; / a : V a l u e & g t ; & l t ; / a : K e y V a l u e O f D i a g r a m O b j e c t K e y a n y T y p e z b w N T n L X & g t ; & l t ; a : K e y V a l u e O f D i a g r a m O b j e c t K e y a n y T y p e z b w N T n L X & g t ; & l t ; a : K e y & g t ; & l t ; K e y & g t ; C o l u m n s \ C o m p l e t e d   W o r k   A m t & l t ; / K e y & g t ; & l t ; / a : K e y & g t ; & l t ; a : V a l u e   i : t y p e = " M e a s u r e G r i d N o d e V i e w S t a t e " & g t ; & l t ; C o l u m n & g t ; 7 & l t ; / C o l u m n & g t ; & l t ; L a y e d O u t & g t ; t r u e & l t ; / L a y e d O u t & g t ; & l t ; / a : V a l u e & g t ; & l t ; / a : K e y V a l u e O f D i a g r a m O b j e c t K e y a n y T y p e z b w N T n L X & g t ; & l t ; a : K e y V a l u e O f D i a g r a m O b j e c t K e y a n y T y p e z b w N T n L X & g t ; & l t ; a : K e y & g t ; & l t ; K e y & g t ; C o l u m n s \ c & l t ; / K e y & g t ; & l t ; / a : K e y & g t ; & l t ; a : V a l u e   i : t y p e = " M e a s u r e G r i d N o d e V i e w S t a t e " & g t ; & l t ; C o l u m n & g t ; 8 & l t ; / C o l u m n & g t ; & l t ; L a y e d O u t & g t ; t r u e & l t ; / L a y e d O u t & g t ; & l t ; / a : V a l u e & g t ; & l t ; / a : K e y V a l u e O f D i a g r a m O b j e c t K e y a n y T y p e z b w N T n L X & g t ; & l t ; a : K e y V a l u e O f D i a g r a m O b j e c t K e y a n y T y p e z b w N T n L X & g t ; & l t ; a : K e y & g t ; & l t ; K e y & g t ; C o l u m n s \ C o m p l e t e d   W o r k   A m t 2 & l t ; / K e y & g t ; & l t ; / a : K e y & g t ; & l t ; a : V a l u e   i : t y p e = " M e a s u r e G r i d N o d e V i e w S t a t e " & g t ; & l t ; C o l u m n & g t ; 9 & l t ; / C o l u m n & g t ; & l t ; L a y e d O u t & g t ; t r u e & l t ; / L a y e d O u t & g t ; & l t ; / a : V a l u e & g t ; & l t ; / a : K e y V a l u e O f D i a g r a m O b j e c t K e y a n y T y p e z b w N T n L X & g t ; & l t ; a : K e y V a l u e O f D i a g r a m O b j e c t K e y a n y T y p e z b w N T n L X & g t ; & l t ; a : K e y & g t ; & l t ; K e y & g t ; C o l u m n s \ - & l t ; / K e y & g t ; & l t ; / a : K e y & g t ; & l t ; a : V a l u e   i : t y p e = " M e a s u r e G r i d N o d e V i e w S t a t e " & g t ; & l t ; C o l u m n & g t ; 1 0 & l t ; / C o l u m n & g t ; & l t ; L a y e d O u t & g t ; t r u e & l t ; / L a y e d O u t & g t ; & l t ; / a : V a l u e & g t ; & l t ; / a : K e y V a l u e O f D i a g r a m O b j e c t K e y a n y T y p e z b w N T n L X & g t ; & l t ; a : K e y V a l u e O f D i a g r a m O b j e c t K e y a n y T y p e z b w N T n L X & g t ; & l t ; a : K e y & g t ; & l t ; K e y & g t ; C o l u m n s \ E l i g i b l e   f o r   V o u c h e r   A m t & l t ; / K e y & g t ; & l t ; / a : K e y & g t ; & l t ; a : V a l u e   i : t y p e = " M e a s u r e G r i d N o d e V i e w S t a t e " & g t ; & l t ; C o l u m n & g t ; 1 1 & l t ; / C o l u m n & g t ; & l t ; L a y e d O u t & g t ; t r u e & l t ; / L a y e d O u t & g t ; & l t ; / a : V a l u e & g t ; & l t ; / a : K e y V a l u e O f D i a g r a m O b j e c t K e y a n y T y p e z b w N T n L X & g t ; & l t ; a : K e y V a l u e O f D i a g r a m O b j e c t K e y a n y T y p e z b w N T n L X & g t ; & l t ; a : K e y & g t ; & l t ; K e y & g t ; C o l u m n s \ - 3 & l t ; / K e y & g t ; & l t ; / a : K e y & g t ; & l t ; a : V a l u e   i : t y p e = " M e a s u r e G r i d N o d e V i e w S t a t e " & g t ; & l t ; C o l u m n & g t ; 1 2 & l t ; / C o l u m n & g t ; & l t ; L a y e d O u t & g t ; t r u e & l t ; / L a y e d O u t & g t ; & l t ; / a : V a l u e & g t ; & l t ; / a : K e y V a l u e O f D i a g r a m O b j e c t K e y a n y T y p e z b w N T n L X & g t ; & l t ; a : K e y V a l u e O f D i a g r a m O b j e c t K e y a n y T y p e z b w N T n L X & g t ; & l t ; a : K e y & g t ; & l t ; K e y & g t ; C o l u m n s \ P r e v   V o u c h e r e d   A m o u n t & l t ; / K e y & g t ; & l t ; / a : K e y & g t ; & l t ; a : V a l u e   i : t y p e = " M e a s u r e G r i d N o d e V i e w S t a t e " & g t ; & l t ; C o l u m n & g t ; 1 3 & l t ; / C o l u m n & g t ; & l t ; L a y e d O u t & g t ; t r u e & l t ; / L a y e d O u t & g t ; & l t ; / a : V a l u e & g t ; & l t ; / a : K e y V a l u e O f D i a g r a m O b j e c t K e y a n y T y p e z b w N T n L X & g t ; & l t ; a : K e y V a l u e O f D i a g r a m O b j e c t K e y a n y T y p e z b w N T n L X & g t ; & l t ; a : K e y & g t ; & l t ; K e y & g t ; C o l u m n s \ = 4 & l t ; / K e y & g t ; & l t ; / a : K e y & g t ; & l t ; a : V a l u e   i : t y p e = " M e a s u r e G r i d N o d e V i e w S t a t e " & g t ; & l t ; C o l u m n & g t ; 1 4 & l t ; / C o l u m n & g t ; & l t ; L a y e d O u t & g t ; t r u e & l t ; / L a y e d O u t & g t ; & l t ; / a : V a l u e & g t ; & l t ; / a : K e y V a l u e O f D i a g r a m O b j e c t K e y a n y T y p e z b w N T n L X & g t ; & l t ; a : K e y V a l u e O f D i a g r a m O b j e c t K e y a n y T y p e z b w N T n L X & g t ; & l t ; a : K e y & g t ; & l t ; K e y & g t ; C o l u m n s \ C o m p l e t e d     W o r k   R e t e n t i o n   A m t & l t ; / K e y & g t ; & l t ; / a : K e y & g t ; & l t ; a : V a l u e   i : t y p e = " M e a s u r e G r i d N o d e V i e w S t a t e " & g t ; & l t ; C o l u m n & g t ; 1 5 & l t ; / C o l u m n & g t ; & l t ; L a y e d O u t & g t ; t r u e & l t ; / L a y e d O u t & g t ; & l t ; / a : V a l u e & g t ; & l t ; / a : K e y V a l u e O f D i a g r a m O b j e c t K e y a n y T y p e z b w N T n L X & g t ; & l t ; a : K e y V a l u e O f D i a g r a m O b j e c t K e y a n y T y p e z b w N T n L X & g t ; & l t ; a : K e y & g t ; & l t ; K e y & g t ; C o l u m n s \ N o t e & l t ; / K e y & g t ; & l t ; / a : K e y & g t ; & l t ; a : V a l u e   i : t y p e = " M e a s u r e G r i d N o d e V i e w S t a t e " & g t ; & l t ; C o l u m n & g t ; 1 6 & l t ; / C o l u m n & g t ; & l t ; L a y e d O u t & g t ; t r u e & l t ; / L a y e d O u t & g t ; & l t ; / a : V a l u e & g t ; & l t ; / a : K e y V a l u e O f D i a g r a m O b j e c t K e y a n y T y p e z b w N T n L X & g t ; & l t ; / V i e w S t a t e s & g t ; & l t ; / D i a g r a m M a n a g e r . S e r i a l i z a b l e D i a g r a m & g t ; & l t ; D i a g r a m M a n a g e r . S e r i a l i z a b l e D i a g r a m & g t ; & l t ; A d a p t e r   i : t y p e = " M e a s u r e D i a g r a m S a n d b o x A d a p t e r " & g t ; & l t ; T a b l e N a m e & g t ; C a v i t y S t a t u 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 i : t y p e = " S a n d b o x E d i t o r M e a s u r e G r i d K e y " & g t ; & l t ; T a b l e N a m e & g t ; C a v i t y S t a t u s & l t ; / T a b l e N a m e & g t ; & l t ; / K e y & g t ; & l t ; M a i n t a i n e r 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 M / S # & l t ; / K e y & g t ; & l t ; / D i a g r a m O b j e c t K e y & g t ; & l t ; D i a g r a m O b j e c t K e y & g t ; & l t ; K e y & g t ; M e a s u r e s \ S u m   o f   M / S # \ T a g I n f o \ F o r m u l a & l t ; / K e y & g t ; & l t ; / D i a g r a m O b j e c t K e y & g t ; & l t ; D i a g r a m O b j e c t K e y & g t ; & l t ; K e y & g t ; M e a s u r e s \ S u m   o f   M / S # \ T a g I n f o \ V a l u e & l t ; / K e y & g t ; & l t ; / D i a g r a m O b j e c t K e y & g t ; & l t ; D i a g r a m O b j e c t K e y & g t ; & l t ; K e y & g t ; M e a s u r e s \ C o u n t   o f   H o l d   P o i n t   1 & l t ; / K e y & g t ; & l t ; / D i a g r a m O b j e c t K e y & g t ; & l t ; D i a g r a m O b j e c t K e y & g t ; & l t ; K e y & g t ; M e a s u r e s \ C o u n t   o f   H o l d   P o i n t   1 \ T a g I n f o \ F o r m u l a & l t ; / K e y & g t ; & l t ; / D i a g r a m O b j e c t K e y & g t ; & l t ; D i a g r a m O b j e c t K e y & g t ; & l t ; K e y & g t ; M e a s u r e s \ C o u n t   o f   H o l d   P o i n t   1 \ T a g I n f o \ V a l u e & l t ; / K e y & g t ; & l t ; / D i a g r a m O b j e c t K e y & g t ; & l t ; D i a g r a m O b j e c t K e y & g t ; & l t ; K e y & g t ; M e a s u r e s \ C o u n t   o f   H o l d   P o i n t   2 & l t ; / K e y & g t ; & l t ; / D i a g r a m O b j e c t K e y & g t ; & l t ; D i a g r a m O b j e c t K e y & g t ; & l t ; K e y & g t ; M e a s u r e s \ C o u n t   o f   H o l d   P o i n t   2 \ T a g I n f o \ F o r m u l a & l t ; / K e y & g t ; & l t ; / D i a g r a m O b j e c t K e y & g t ; & l t ; D i a g r a m O b j e c t K e y & g t ; & l t ; K e y & g t ; M e a s u r e s \ C o u n t   o f   H o l d   P o i n t   2 \ T a g I n f o \ V a l u e & l t ; / K e y & g t ; & l t ; / D i a g r a m O b j e c t K e y & g t ; & l t ; D i a g r a m O b j e c t K e y & g t ; & l t ; K e y & g t ; M e a s u r e s \ C o u n t   o f   H o l d   P o i n t   3 & l t ; / K e y & g t ; & l t ; / D i a g r a m O b j e c t K e y & g t ; & l t ; D i a g r a m O b j e c t K e y & g t ; & l t ; K e y & g t ; M e a s u r e s \ C o u n t   o f   H o l d   P o i n t   3 \ T a g I n f o \ F o r m u l a & l t ; / K e y & g t ; & l t ; / D i a g r a m O b j e c t K e y & g t ; & l t ; D i a g r a m O b j e c t K e y & g t ; & l t ; K e y & g t ; M e a s u r e s \ C o u n t   o f   H o l d   P o i n t   3 \ T a g I n f o \ V a l u e & l t ; / K e y & g t ; & l t ; / D i a g r a m O b j e c t K e y & g t ; & l t ; D i a g r a m O b j e c t K e y & g t ; & l t ; K e y & g t ; M e a s u r e s \ C o u n t   o f   S h i p   D a t e & l t ; / K e y & g t ; & l t ; / D i a g r a m O b j e c t K e y & g t ; & l t ; D i a g r a m O b j e c t K e y & g t ; & l t ; K e y & g t ; M e a s u r e s \ C o u n t   o f   S h i p   D a t e \ T a g I n f o \ F o r m u l a & l t ; / K e y & g t ; & l t ; / D i a g r a m O b j e c t K e y & g t ; & l t ; D i a g r a m O b j e c t K e y & g t ; & l t ; K e y & g t ; M e a s u r e s \ C o u n t   o f   S h i p   D a t e \ T a g I n f o \ V a l u e & l t ; / K e y & g t ; & l t ; / D i a g r a m O b j e c t K e y & g t ; & l t ; D i a g r a m O b j e c t K e y & g t ; & l t ; K e y & g t ; M e a s u r e s \ C o u n t   o f   S h i p   D a t e   ( M o n t h ) & l t ; / K e y & g t ; & l t ; / D i a g r a m O b j e c t K e y & g t ; & l t ; D i a g r a m O b j e c t K e y & g t ; & l t ; K e y & g t ; M e a s u r e s \ C o u n t   o f   S h i p   D a t e   ( M o n t h ) \ T a g I n f o \ F o r m u l a & l t ; / K e y & g t ; & l t ; / D i a g r a m O b j e c t K e y & g t ; & l t ; D i a g r a m O b j e c t K e y & g t ; & l t ; K e y & g t ; M e a s u r e s \ C o u n t   o f   S h i p   D a t e   ( M o n t h ) \ T a g I n f o \ V a l u e & l t ; / K e y & g t ; & l t ; / D i a g r a m O b j e c t K e y & g t ; & l t ; D i a g r a m O b j e c t K e y & g t ; & l t ; K e y & g t ; M e a s u r e s \ C o u n t   o f   C a v i t y   S / N & l t ; / K e y & g t ; & l t ; / D i a g r a m O b j e c t K e y & g t ; & l t ; D i a g r a m O b j e c t K e y & g t ; & l t ; K e y & g t ; M e a s u r e s \ C o u n t   o f   C a v i t y   S / N \ T a g I n f o \ F o r m u l a & l t ; / K e y & g t ; & l t ; / D i a g r a m O b j e c t K e y & g t ; & l t ; D i a g r a m O b j e c t K e y & g t ; & l t ; K e y & g t ; M e a s u r e s \ C o u n t   o f   C a v i t y   S / N \ T a g I n f o \ V a l u e & l t ; / K e y & g t ; & l t ; / D i a g r a m O b j e c t K e y & g t ; & l t ; D i a g r a m O b j e c t K e y & g t ; & l t ; K e y & g t ; M e a s u r e s \ C o u n t   o f   S t a t u s & l t ; / K e y & g t ; & l t ; / D i a g r a m O b j e c t K e y & g t ; & l t ; D i a g r a m O b j e c t K e y & g t ; & l t ; K e y & g t ; M e a s u r e s \ C o u n t   o f   S t a t u s \ T a g I n f o \ F o r m u l a & l t ; / K e y & g t ; & l t ; / D i a g r a m O b j e c t K e y & g t ; & l t ; D i a g r a m O b j e c t K e y & g t ; & l t ; K e y & g t ; M e a s u r e s \ C o u n t   o f   S t a t u s \ T a g I n f o \ V a l u e & l t ; / K e y & g t ; & l t ; / D i a g r a m O b j e c t K e y & g t ; & l t ; D i a g r a m O b j e c t K e y & g t ; & l t ; K e y & g t ; C o l u m n s \ C a v i t y   S / N & l t ; / K e y & g t ; & l t ; / D i a g r a m O b j e c t K e y & g t ; & l t ; D i a g r a m O b j e c t K e y & g t ; & l t ; K e y & g t ; C o l u m n s \ M / S # & l t ; / K e y & g t ; & l t ; / D i a g r a m O b j e c t K e y & g t ; & l t ; D i a g r a m O b j e c t K e y & g t ; & l t ; K e y & g t ; C o l u m n s \ M a t e r i a l & l t ; / K e y & g t ; & l t ; / D i a g r a m O b j e c t K e y & g t ; & l t ; D i a g r a m O b j e c t K e y & g t ; & l t ; K e y & g t ; C o l u m n s \ E P & l t ; / K e y & g t ; & l t ; / D i a g r a m O b j e c t K e y & g t ; & l t ; D i a g r a m O b j e c t K e y & g t ; & l t ; K e y & g t ; C o l u m n s \ H e a t & l t ; / K e y & g t ; & l t ; / D i a g r a m O b j e c t K e y & g t ; & l t ; D i a g r a m O b j e c t K e y & g t ; & l t ; K e y & g t ; C o l u m n s \ C a p s & l t ; / K e y & g t ; & l t ; / D i a g r a m O b j e c t K e y & g t ; & l t ; D i a g r a m O b j e c t K e y & g t ; & l t ; K e y & g t ; C o l u m n s \ C o m m e n t s & l t ; / K e y & g t ; & l t ; / D i a g r a m O b j e c t K e y & g t ; & l t ; D i a g r a m O b j e c t K e y & g t ; & l t ; K e y & g t ; C o l u m n s \ H o l d   P o i n t   1 & l t ; / K e y & g t ; & l t ; / D i a g r a m O b j e c t K e y & g t ; & l t ; D i a g r a m O b j e c t K e y & g t ; & l t ; K e y & g t ; C o l u m n s \ H o l d   P o i n t   2 & l t ; / K e y & g t ; & l t ; / D i a g r a m O b j e c t K e y & g t ; & l t ; D i a g r a m O b j e c t K e y & g t ; & l t ; K e y & g t ; C o l u m n s \ H o l d   P o i n t   3 & l t ; / K e y & g t ; & l t ; / D i a g r a m O b j e c t K e y & g t ; & l t ; D i a g r a m O b j e c t K e y & g t ; & l t ; K e y & g t ; C o l u m n s \ N C R s & l t ; / K e y & g t ; & l t ; / D i a g r a m O b j e c t K e y & g t ; & l t ; D i a g r a m O b j e c t K e y & g t ; & l t ; K e y & g t ; C o l u m n s \ N C R   C o m m e n t s & l t ; / K e y & g t ; & l t ; / D i a g r a m O b j e c t K e y & g t ; & l t ; D i a g r a m O b j e c t K e y & g t ; & l t ; K e y & g t ; C o l u m n s \ S h i p p i n g   D e s t i n a t i o n & l t ; / K e y & g t ; & l t ; / D i a g r a m O b j e c t K e y & g t ; & l t ; D i a g r a m O b j e c t K e y & g t ; & l t ; K e y & g t ; C o l u m n s \ S h i p   D a t e & l t ; / K e y & g t ; & l t ; / D i a g r a m O b j e c t K e y & g t ; & l t ; D i a g r a m O b j e c t K e y & g t ; & l t ; K e y & g t ; C o l u m n s \ R e c e i p t   D a t e & l t ; / K e y & g t ; & l t ; / D i a g r a m O b j e c t K e y & g t ; & l t ; D i a g r a m O b j e c t K e y & g t ; & l t ; K e y & g t ; C o l u m n s \ Q & l t ; / K e y & g t ; & l t ; / D i a g r a m O b j e c t K e y & g t ; & l t ; D i a g r a m O b j e c t K e y & g t ; & l t ; K e y & g t ; C o l u m n s \ S t a t u s & l t ; / K e y & g t ; & l t ; / D i a g r a m O b j e c t K e y & g t ; & l t ; D i a g r a m O b j e c t K e y & g t ; & l t ; K e y & g t ; C o l u m n s \ N o t e s & l t ; / K e y & g t ; & l t ; / D i a g r a m O b j e c t K e y & g t ; & l t ; D i a g r a m O b j e c t K e y & g t ; & l t ; K e y & g t ; C o l u m n s \ S h i p   D a t e   ( M o n t h   I n d e x ) & l t ; / K e y & g t ; & l t ; / D i a g r a m O b j e c t K e y & g t ; & l t ; D i a g r a m O b j e c t K e y & g t ; & l t ; K e y & g t ; C o l u m n s \ S h i p   D a t e   ( M o n t h ) & l t ; / K e y & g t ; & l t ; / D i a g r a m O b j e c t K e y & g t ; & l t ; D i a g r a m O b j e c t K e y & g t ; & l t ; K e y & g t ; L i n k s \ & a m p ; l t ; C o l u m n s \ S u m   o f   M / S # & a m p ; g t ; - & a m p ; l t ; M e a s u r e s \ M / S # & a m p ; g t ; & l t ; / K e y & g t ; & l t ; / D i a g r a m O b j e c t K e y & g t ; & l t ; D i a g r a m O b j e c t K e y & g t ; & l t ; K e y & g t ; L i n k s \ & a m p ; l t ; C o l u m n s \ S u m   o f   M / S # & a m p ; g t ; - & a m p ; l t ; M e a s u r e s \ M / S # & a m p ; g t ; \ C O L U M N & l t ; / K e y & g t ; & l t ; / D i a g r a m O b j e c t K e y & g t ; & l t ; D i a g r a m O b j e c t K e y & g t ; & l t ; K e y & g t ; L i n k s \ & a m p ; l t ; C o l u m n s \ S u m   o f   M / S # & a m p ; g t ; - & a m p ; l t ; M e a s u r e s \ M / S # & a m p ; g t ; \ M E A S U R E & l t ; / K e y & g t ; & l t ; / D i a g r a m O b j e c t K e y & g t ; & l t ; D i a g r a m O b j e c t K e y & g t ; & l t ; K e y & g t ; L i n k s \ & a m p ; l t ; C o l u m n s \ C o u n t   o f   H o l d   P o i n t   1 & a m p ; g t ; - & a m p ; l t ; M e a s u r e s \ H o l d   P o i n t   1 & a m p ; g t ; & l t ; / K e y & g t ; & l t ; / D i a g r a m O b j e c t K e y & g t ; & l t ; D i a g r a m O b j e c t K e y & g t ; & l t ; K e y & g t ; L i n k s \ & a m p ; l t ; C o l u m n s \ C o u n t   o f   H o l d   P o i n t   1 & a m p ; g t ; - & a m p ; l t ; M e a s u r e s \ H o l d   P o i n t   1 & a m p ; g t ; \ C O L U M N & l t ; / K e y & g t ; & l t ; / D i a g r a m O b j e c t K e y & g t ; & l t ; D i a g r a m O b j e c t K e y & g t ; & l t ; K e y & g t ; L i n k s \ & a m p ; l t ; C o l u m n s \ C o u n t   o f   H o l d   P o i n t   1 & a m p ; g t ; - & a m p ; l t ; M e a s u r e s \ H o l d   P o i n t   1 & a m p ; g t ; \ M E A S U R E & l t ; / K e y & g t ; & l t ; / D i a g r a m O b j e c t K e y & g t ; & l t ; D i a g r a m O b j e c t K e y & g t ; & l t ; K e y & g t ; L i n k s \ & a m p ; l t ; C o l u m n s \ C o u n t   o f   H o l d   P o i n t   2 & a m p ; g t ; - & a m p ; l t ; M e a s u r e s \ H o l d   P o i n t   2 & a m p ; g t ; & l t ; / K e y & g t ; & l t ; / D i a g r a m O b j e c t K e y & g t ; & l t ; D i a g r a m O b j e c t K e y & g t ; & l t ; K e y & g t ; L i n k s \ & a m p ; l t ; C o l u m n s \ C o u n t   o f   H o l d   P o i n t   2 & a m p ; g t ; - & a m p ; l t ; M e a s u r e s \ H o l d   P o i n t   2 & a m p ; g t ; \ C O L U M N & l t ; / K e y & g t ; & l t ; / D i a g r a m O b j e c t K e y & g t ; & l t ; D i a g r a m O b j e c t K e y & g t ; & l t ; K e y & g t ; L i n k s \ & a m p ; l t ; C o l u m n s \ C o u n t   o f   H o l d   P o i n t   2 & a m p ; g t ; - & a m p ; l t ; M e a s u r e s \ H o l d   P o i n t   2 & a m p ; g t ; \ M E A S U R E & l t ; / K e y & g t ; & l t ; / D i a g r a m O b j e c t K e y & g t ; & l t ; D i a g r a m O b j e c t K e y & g t ; & l t ; K e y & g t ; L i n k s \ & a m p ; l t ; C o l u m n s \ C o u n t   o f   H o l d   P o i n t   3 & a m p ; g t ; - & a m p ; l t ; M e a s u r e s \ H o l d   P o i n t   3 & a m p ; g t ; & l t ; / K e y & g t ; & l t ; / D i a g r a m O b j e c t K e y & g t ; & l t ; D i a g r a m O b j e c t K e y & g t ; & l t ; K e y & g t ; L i n k s \ & a m p ; l t ; C o l u m n s \ C o u n t   o f   H o l d   P o i n t   3 & a m p ; g t ; - & a m p ; l t ; M e a s u r e s \ H o l d   P o i n t   3 & a m p ; g t ; \ C O L U M N & l t ; / K e y & g t ; & l t ; / D i a g r a m O b j e c t K e y & g t ; & l t ; D i a g r a m O b j e c t K e y & g t ; & l t ; K e y & g t ; L i n k s \ & a m p ; l t ; C o l u m n s \ C o u n t   o f   H o l d   P o i n t   3 & a m p ; g t ; - & a m p ; l t ; M e a s u r e s \ H o l d   P o i n t   3 & a m p ; g t ; \ M E A S U R E & l t ; / K e y & g t ; & l t ; / D i a g r a m O b j e c t K e y & g t ; & l t ; D i a g r a m O b j e c t K e y & g t ; & l t ; K e y & g t ; L i n k s \ & a m p ; l t ; C o l u m n s \ C o u n t   o f   S h i p   D a t e & a m p ; g t ; - & a m p ; l t ; M e a s u r e s \ S h i p   D a t e & a m p ; g t ; & l t ; / K e y & g t ; & l t ; / D i a g r a m O b j e c t K e y & g t ; & l t ; D i a g r a m O b j e c t K e y & g t ; & l t ; K e y & g t ; L i n k s \ & a m p ; l t ; C o l u m n s \ C o u n t   o f   S h i p   D a t e & a m p ; g t ; - & a m p ; l t ; M e a s u r e s \ S h i p   D a t e & a m p ; g t ; \ C O L U M N & l t ; / K e y & g t ; & l t ; / D i a g r a m O b j e c t K e y & g t ; & l t ; D i a g r a m O b j e c t K e y & g t ; & l t ; K e y & g t ; L i n k s \ & a m p ; l t ; C o l u m n s \ C o u n t   o f   S h i p   D a t e & a m p ; g t ; - & a m p ; l t ; M e a s u r e s \ S h i p   D a t e & a m p ; g t ; \ M E A S U R E & l t ; / K e y & g t ; & l t ; / D i a g r a m O b j e c t K e y & g t ; & l t ; D i a g r a m O b j e c t K e y & g t ; & l t ; K e y & g t ; L i n k s \ & a m p ; l t ; C o l u m n s \ C o u n t   o f   S h i p   D a t e   ( M o n t h ) & a m p ; g t ; - & a m p ; l t ; M e a s u r e s \ S h i p   D a t e   ( M o n t h ) & a m p ; g t ; & l t ; / K e y & g t ; & l t ; / D i a g r a m O b j e c t K e y & g t ; & l t ; D i a g r a m O b j e c t K e y & g t ; & l t ; K e y & g t ; L i n k s \ & a m p ; l t ; C o l u m n s \ C o u n t   o f   S h i p   D a t e   ( M o n t h ) & a m p ; g t ; - & a m p ; l t ; M e a s u r e s \ S h i p   D a t e   ( M o n t h ) & a m p ; g t ; \ C O L U M N & l t ; / K e y & g t ; & l t ; / D i a g r a m O b j e c t K e y & g t ; & l t ; D i a g r a m O b j e c t K e y & g t ; & l t ; K e y & g t ; L i n k s \ & a m p ; l t ; C o l u m n s \ C o u n t   o f   S h i p   D a t e   ( M o n t h ) & a m p ; g t ; - & a m p ; l t ; M e a s u r e s \ S h i p   D a t e   ( M o n t h ) & a m p ; g t ; \ M E A S U R E & l t ; / K e y & g t ; & l t ; / D i a g r a m O b j e c t K e y & g t ; & l t ; D i a g r a m O b j e c t K e y & g t ; & l t ; K e y & g t ; L i n k s \ & a m p ; l t ; C o l u m n s \ C o u n t   o f   C a v i t y   S / N & a m p ; g t ; - & a m p ; l t ; M e a s u r e s \ C a v i t y   S / N & a m p ; g t ; & l t ; / K e y & g t ; & l t ; / D i a g r a m O b j e c t K e y & g t ; & l t ; D i a g r a m O b j e c t K e y & g t ; & l t ; K e y & g t ; L i n k s \ & a m p ; l t ; C o l u m n s \ C o u n t   o f   C a v i t y   S / N & a m p ; g t ; - & a m p ; l t ; M e a s u r e s \ C a v i t y   S / N & a m p ; g t ; \ C O L U M N & l t ; / K e y & g t ; & l t ; / D i a g r a m O b j e c t K e y & g t ; & l t ; D i a g r a m O b j e c t K e y & g t ; & l t ; K e y & g t ; L i n k s \ & a m p ; l t ; C o l u m n s \ C o u n t   o f   C a v i t y   S / N & a m p ; g t ; - & a m p ; l t ; M e a s u r e s \ C a v i t y   S / N & a m p ; g t ; \ M E A S U R E & l t ; / K e y & g t ; & l t ; / D i a g r a m O b j e c t K e y & g t ; & l t ; D i a g r a m O b j e c t K e y & g t ; & l t ; K e y & g t ; L i n k s \ & a m p ; l t ; C o l u m n s \ C o u n t   o f   S t a t u s & a m p ; g t ; - & a m p ; l t ; M e a s u r e s \ S t a t u s & a m p ; g t ; & l t ; / K e y & g t ; & l t ; / D i a g r a m O b j e c t K e y & g t ; & l t ; D i a g r a m O b j e c t K e y & g t ; & l t ; K e y & g t ; L i n k s \ & a m p ; l t ; C o l u m n s \ C o u n t   o f   S t a t u s & a m p ; g t ; - & a m p ; l t ; M e a s u r e s \ S t a t u s & a m p ; g t ; \ C O L U M N & l t ; / K e y & g t ; & l t ; / D i a g r a m O b j e c t K e y & g t ; & l t ; D i a g r a m O b j e c t K e y & g t ; & l t ; K e y & g t ; L i n k s \ & a m p ; l t ; C o l u m n s \ C o u n t   o f   S t a t u s & a m p ; g t ; - & a m p ; l t ; M e a s u r e s \ S t a t u 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 M / S # & l t ; / K e y & g t ; & l t ; / a : K e y & g t ; & l t ; a : V a l u e   i : t y p e = " M e a s u r e G r i d N o d e V i e w S t a t e " & g t ; & l t ; C o l u m n & g t ; 1 & l t ; / C o l u m n & g t ; & l t ; L a y e d O u t & g t ; t r u e & l t ; / L a y e d O u t & g t ; & l t ; W a s U I I n v i s i b l e & g t ; t r u e & l t ; / W a s U I I n v i s i b l e & g t ; & l t ; / a : V a l u e & g t ; & l t ; / a : K e y V a l u e O f D i a g r a m O b j e c t K e y a n y T y p e z b w N T n L X & g t ; & l t ; a : K e y V a l u e O f D i a g r a m O b j e c t K e y a n y T y p e z b w N T n L X & g t ; & l t ; a : K e y & g t ; & l t ; K e y & g t ; M e a s u r e s \ S u m   o f   M / S # \ T a g I n f o \ F o r m u l a & l t ; / K e y & g t ; & l t ; / a : K e y & g t ; & l t ; a : V a l u e   i : t y p e = " M e a s u r e G r i d V i e w S t a t e I D i a g r a m T a g A d d i t i o n a l I n f o " / & g t ; & l t ; / a : K e y V a l u e O f D i a g r a m O b j e c t K e y a n y T y p e z b w N T n L X & g t ; & l t ; a : K e y V a l u e O f D i a g r a m O b j e c t K e y a n y T y p e z b w N T n L X & g t ; & l t ; a : K e y & g t ; & l t ; K e y & g t ; M e a s u r e s \ S u m   o f   M / S # \ T a g I n f o \ V a l u e & l t ; / K e y & g t ; & l t ; / a : K e y & g t ; & l t ; a : V a l u e   i : t y p e = " M e a s u r e G r i d V i e w S t a t e I D i a g r a m T a g A d d i t i o n a l I n f o " / & g t ; & l t ; / a : K e y V a l u e O f D i a g r a m O b j e c t K e y a n y T y p e z b w N T n L X & g t ; & l t ; a : K e y V a l u e O f D i a g r a m O b j e c t K e y a n y T y p e z b w N T n L X & g t ; & l t ; a : K e y & g t ; & l t ; K e y & g t ; M e a s u r e s \ C o u n t   o f   H o l d   P o i n t   1 & l t ; / K e y & g t ; & l t ; / a : K e y & g t ; & l t ; a : V a l u e   i : t y p e = " M e a s u r e G r i d N o d e V i e w S t a t e " & g t ; & l t ; C o l u m n & g t ; 7 & l t ; / C o l u m n & g t ; & l t ; L a y e d O u t & g t ; t r u e & l t ; / L a y e d O u t & g t ; & l t ; W a s U I I n v i s i b l e & g t ; t r u e & l t ; / W a s U I I n v i s i b l e & g t ; & l t ; / a : V a l u e & g t ; & l t ; / a : K e y V a l u e O f D i a g r a m O b j e c t K e y a n y T y p e z b w N T n L X & g t ; & l t ; a : K e y V a l u e O f D i a g r a m O b j e c t K e y a n y T y p e z b w N T n L X & g t ; & l t ; a : K e y & g t ; & l t ; K e y & g t ; M e a s u r e s \ C o u n t   o f   H o l d   P o i n t   1 \ T a g I n f o \ F o r m u l a & l t ; / K e y & g t ; & l t ; / a : K e y & g t ; & l t ; a : V a l u e   i : t y p e = " M e a s u r e G r i d V i e w S t a t e I D i a g r a m T a g A d d i t i o n a l I n f o " / & g t ; & l t ; / a : K e y V a l u e O f D i a g r a m O b j e c t K e y a n y T y p e z b w N T n L X & g t ; & l t ; a : K e y V a l u e O f D i a g r a m O b j e c t K e y a n y T y p e z b w N T n L X & g t ; & l t ; a : K e y & g t ; & l t ; K e y & g t ; M e a s u r e s \ C o u n t   o f   H o l d   P o i n t   1 \ T a g I n f o \ V a l u e & l t ; / K e y & g t ; & l t ; / a : K e y & g t ; & l t ; a : V a l u e   i : t y p e = " M e a s u r e G r i d V i e w S t a t e I D i a g r a m T a g A d d i t i o n a l I n f o " / & g t ; & l t ; / a : K e y V a l u e O f D i a g r a m O b j e c t K e y a n y T y p e z b w N T n L X & g t ; & l t ; a : K e y V a l u e O f D i a g r a m O b j e c t K e y a n y T y p e z b w N T n L X & g t ; & l t ; a : K e y & g t ; & l t ; K e y & g t ; M e a s u r e s \ C o u n t   o f   H o l d   P o i n t   2 & l t ; / K e y & g t ; & l t ; / a : K e y & g t ; & l t ; a : V a l u e   i : t y p e = " M e a s u r e G r i d N o d e V i e w S t a t e " & g t ; & l t ; C o l u m n & g t ; 8 & l t ; / C o l u m n & g t ; & l t ; L a y e d O u t & g t ; t r u e & l t ; / L a y e d O u t & g t ; & l t ; W a s U I I n v i s i b l e & g t ; t r u e & l t ; / W a s U I I n v i s i b l e & g t ; & l t ; / a : V a l u e & g t ; & l t ; / a : K e y V a l u e O f D i a g r a m O b j e c t K e y a n y T y p e z b w N T n L X & g t ; & l t ; a : K e y V a l u e O f D i a g r a m O b j e c t K e y a n y T y p e z b w N T n L X & g t ; & l t ; a : K e y & g t ; & l t ; K e y & g t ; M e a s u r e s \ C o u n t   o f   H o l d   P o i n t   2 \ T a g I n f o \ F o r m u l a & l t ; / K e y & g t ; & l t ; / a : K e y & g t ; & l t ; a : V a l u e   i : t y p e = " M e a s u r e G r i d V i e w S t a t e I D i a g r a m T a g A d d i t i o n a l I n f o " / & g t ; & l t ; / a : K e y V a l u e O f D i a g r a m O b j e c t K e y a n y T y p e z b w N T n L X & g t ; & l t ; a : K e y V a l u e O f D i a g r a m O b j e c t K e y a n y T y p e z b w N T n L X & g t ; & l t ; a : K e y & g t ; & l t ; K e y & g t ; M e a s u r e s \ C o u n t   o f   H o l d   P o i n t   2 \ T a g I n f o \ V a l u e & l t ; / K e y & g t ; & l t ; / a : K e y & g t ; & l t ; a : V a l u e   i : t y p e = " M e a s u r e G r i d V i e w S t a t e I D i a g r a m T a g A d d i t i o n a l I n f o " / & g t ; & l t ; / a : K e y V a l u e O f D i a g r a m O b j e c t K e y a n y T y p e z b w N T n L X & g t ; & l t ; a : K e y V a l u e O f D i a g r a m O b j e c t K e y a n y T y p e z b w N T n L X & g t ; & l t ; a : K e y & g t ; & l t ; K e y & g t ; M e a s u r e s \ C o u n t   o f   H o l d   P o i n t   3 & l t ; / K e y & g t ; & l t ; / a : K e y & g t ; & l t ; a : V a l u e   i : t y p e = " M e a s u r e G r i d N o d e V i e w S t a t e " & g t ; & l t ; C o l u m n & g t ; 9 & l t ; / C o l u m n & g t ; & l t ; L a y e d O u t & g t ; t r u e & l t ; / L a y e d O u t & g t ; & l t ; W a s U I I n v i s i b l e & g t ; t r u e & l t ; / W a s U I I n v i s i b l e & g t ; & l t ; / a : V a l u e & g t ; & l t ; / a : K e y V a l u e O f D i a g r a m O b j e c t K e y a n y T y p e z b w N T n L X & g t ; & l t ; a : K e y V a l u e O f D i a g r a m O b j e c t K e y a n y T y p e z b w N T n L X & g t ; & l t ; a : K e y & g t ; & l t ; K e y & g t ; M e a s u r e s \ C o u n t   o f   H o l d   P o i n t   3 \ T a g I n f o \ F o r m u l a & l t ; / K e y & g t ; & l t ; / a : K e y & g t ; & l t ; a : V a l u e   i : t y p e = " M e a s u r e G r i d V i e w S t a t e I D i a g r a m T a g A d d i t i o n a l I n f o " / & g t ; & l t ; / a : K e y V a l u e O f D i a g r a m O b j e c t K e y a n y T y p e z b w N T n L X & g t ; & l t ; a : K e y V a l u e O f D i a g r a m O b j e c t K e y a n y T y p e z b w N T n L X & g t ; & l t ; a : K e y & g t ; & l t ; K e y & g t ; M e a s u r e s \ C o u n t   o f   H o l d   P o i n t   3 \ T a g I n f o \ V a l u e & l t ; / K e y & g t ; & l t ; / a : K e y & g t ; & l t ; a : V a l u e   i : t y p e = " M e a s u r e G r i d V i e w S t a t e I D i a g r a m T a g A d d i t i o n a l I n f o " / & g t ; & l t ; / a : K e y V a l u e O f D i a g r a m O b j e c t K e y a n y T y p e z b w N T n L X & g t ; & l t ; a : K e y V a l u e O f D i a g r a m O b j e c t K e y a n y T y p e z b w N T n L X & g t ; & l t ; a : K e y & g t ; & l t ; K e y & g t ; M e a s u r e s \ C o u n t   o f   S h i p   D a t e & l t ; / K e y & g t ; & l t ; / a : K e y & g t ; & l t ; a : V a l u e   i : t y p e = " M e a s u r e G r i d N o d e V i e w S t a t e " & g t ; & l t ; C o l u m n & g t ; 1 3 & l t ; / C o l u m n & g t ; & l t ; L a y e d O u t & g t ; t r u e & l t ; / L a y e d O u t & g t ; & l t ; W a s U I I n v i s i b l e & g t ; t r u e & l t ; / W a s U I I n v i s i b l e & g t ; & l t ; / a : V a l u e & g t ; & l t ; / a : K e y V a l u e O f D i a g r a m O b j e c t K e y a n y T y p e z b w N T n L X & g t ; & l t ; a : K e y V a l u e O f D i a g r a m O b j e c t K e y a n y T y p e z b w N T n L X & g t ; & l t ; a : K e y & g t ; & l t ; K e y & g t ; M e a s u r e s \ C o u n t   o f   S h i p   D a t e \ T a g I n f o \ F o r m u l a & l t ; / K e y & g t ; & l t ; / a : K e y & g t ; & l t ; a : V a l u e   i : t y p e = " M e a s u r e G r i d V i e w S t a t e I D i a g r a m T a g A d d i t i o n a l I n f o " / & g t ; & l t ; / a : K e y V a l u e O f D i a g r a m O b j e c t K e y a n y T y p e z b w N T n L X & g t ; & l t ; a : K e y V a l u e O f D i a g r a m O b j e c t K e y a n y T y p e z b w N T n L X & g t ; & l t ; a : K e y & g t ; & l t ; K e y & g t ; M e a s u r e s \ C o u n t   o f   S h i p   D a t e \ T a g I n f o \ V a l u e & l t ; / K e y & g t ; & l t ; / a : K e y & g t ; & l t ; a : V a l u e   i : t y p e = " M e a s u r e G r i d V i e w S t a t e I D i a g r a m T a g A d d i t i o n a l I n f o " / & g t ; & l t ; / a : K e y V a l u e O f D i a g r a m O b j e c t K e y a n y T y p e z b w N T n L X & g t ; & l t ; a : K e y V a l u e O f D i a g r a m O b j e c t K e y a n y T y p e z b w N T n L X & g t ; & l t ; a : K e y & g t ; & l t ; K e y & g t ; M e a s u r e s \ C o u n t   o f   S h i p   D a t e   ( M o n t h ) & l t ; / K e y & g t ; & l t ; / a : K e y & g t ; & l t ; a : V a l u e   i : t y p e = " M e a s u r e G r i d N o d e V i e w S t a t e " & g t ; & l t ; C o l u m n & g t ; 1 9 & l t ; / C o l u m n & g t ; & l t ; L a y e d O u t & g t ; t r u e & l t ; / L a y e d O u t & g t ; & l t ; W a s U I I n v i s i b l e & g t ; t r u e & l t ; / W a s U I I n v i s i b l e & g t ; & l t ; / a : V a l u e & g t ; & l t ; / a : K e y V a l u e O f D i a g r a m O b j e c t K e y a n y T y p e z b w N T n L X & g t ; & l t ; a : K e y V a l u e O f D i a g r a m O b j e c t K e y a n y T y p e z b w N T n L X & g t ; & l t ; a : K e y & g t ; & l t ; K e y & g t ; M e a s u r e s \ C o u n t   o f   S h i p   D a t e   ( M o n t h ) \ T a g I n f o \ F o r m u l a & l t ; / K e y & g t ; & l t ; / a : K e y & g t ; & l t ; a : V a l u e   i : t y p e = " M e a s u r e G r i d V i e w S t a t e I D i a g r a m T a g A d d i t i o n a l I n f o " / & g t ; & l t ; / a : K e y V a l u e O f D i a g r a m O b j e c t K e y a n y T y p e z b w N T n L X & g t ; & l t ; a : K e y V a l u e O f D i a g r a m O b j e c t K e y a n y T y p e z b w N T n L X & g t ; & l t ; a : K e y & g t ; & l t ; K e y & g t ; M e a s u r e s \ C o u n t   o f   S h i p   D a t e   ( M o n t h ) \ T a g I n f o \ V a l u e & l t ; / K e y & g t ; & l t ; / a : K e y & g t ; & l t ; a : V a l u e   i : t y p e = " M e a s u r e G r i d V i e w S t a t e I D i a g r a m T a g A d d i t i o n a l I n f o " / & g t ; & l t ; / a : K e y V a l u e O f D i a g r a m O b j e c t K e y a n y T y p e z b w N T n L X & g t ; & l t ; a : K e y V a l u e O f D i a g r a m O b j e c t K e y a n y T y p e z b w N T n L X & g t ; & l t ; a : K e y & g t ; & l t ; K e y & g t ; M e a s u r e s \ C o u n t   o f   C a v i t y   S / N & l t ; / K e y & g t ; & l t ; / a : K e y & g t ; & l t ; a : V a l u e   i : t y p e = " M e a s u r e G r i d N o d e V i e w S t a t e " & g t ; & l t ; L a y e d O u t & g t ; t r u e & l t ; / L a y e d O u t & g t ; & l t ; W a s U I I n v i s i b l e & g t ; t r u e & l t ; / W a s U I I n v i s i b l e & g t ; & l t ; / a : V a l u e & g t ; & l t ; / a : K e y V a l u e O f D i a g r a m O b j e c t K e y a n y T y p e z b w N T n L X & g t ; & l t ; a : K e y V a l u e O f D i a g r a m O b j e c t K e y a n y T y p e z b w N T n L X & g t ; & l t ; a : K e y & g t ; & l t ; K e y & g t ; M e a s u r e s \ C o u n t   o f   C a v i t y   S / N \ T a g I n f o \ F o r m u l a & l t ; / K e y & g t ; & l t ; / a : K e y & g t ; & l t ; a : V a l u e   i : t y p e = " M e a s u r e G r i d V i e w S t a t e I D i a g r a m T a g A d d i t i o n a l I n f o " / & g t ; & l t ; / a : K e y V a l u e O f D i a g r a m O b j e c t K e y a n y T y p e z b w N T n L X & g t ; & l t ; a : K e y V a l u e O f D i a g r a m O b j e c t K e y a n y T y p e z b w N T n L X & g t ; & l t ; a : K e y & g t ; & l t ; K e y & g t ; M e a s u r e s \ C o u n t   o f   C a v i t y   S / N \ T a g I n f o \ V a l u e & l t ; / K e y & g t ; & l t ; / a : K e y & g t ; & l t ; a : V a l u e   i : t y p e = " M e a s u r e G r i d V i e w S t a t e I D i a g r a m T a g A d d i t i o n a l I n f o " / & g t ; & l t ; / a : K e y V a l u e O f D i a g r a m O b j e c t K e y a n y T y p e z b w N T n L X & g t ; & l t ; a : K e y V a l u e O f D i a g r a m O b j e c t K e y a n y T y p e z b w N T n L X & g t ; & l t ; a : K e y & g t ; & l t ; K e y & g t ; M e a s u r e s \ C o u n t   o f   S t a t u s & l t ; / K e y & g t ; & l t ; / a : K e y & g t ; & l t ; a : V a l u e   i : t y p e = " M e a s u r e G r i d N o d e V i e w S t a t e " & g t ; & l t ; C o l u m n & g t ; 1 6 & l t ; / C o l u m n & g t ; & l t ; L a y e d O u t & g t ; t r u e & l t ; / L a y e d O u t & g t ; & l t ; W a s U I I n v i s i b l e & g t ; t r u e & l t ; / W a s U I I n v i s i b l e & g t ; & l t ; / a : V a l u e & g t ; & l t ; / a : K e y V a l u e O f D i a g r a m O b j e c t K e y a n y T y p e z b w N T n L X & g t ; & l t ; a : K e y V a l u e O f D i a g r a m O b j e c t K e y a n y T y p e z b w N T n L X & g t ; & l t ; a : K e y & g t ; & l t ; K e y & g t ; M e a s u r e s \ C o u n t   o f   S t a t u s \ T a g I n f o \ F o r m u l a & l t ; / K e y & g t ; & l t ; / a : K e y & g t ; & l t ; a : V a l u e   i : t y p e = " M e a s u r e G r i d V i e w S t a t e I D i a g r a m T a g A d d i t i o n a l I n f o " / & g t ; & l t ; / a : K e y V a l u e O f D i a g r a m O b j e c t K e y a n y T y p e z b w N T n L X & g t ; & l t ; a : K e y V a l u e O f D i a g r a m O b j e c t K e y a n y T y p e z b w N T n L X & g t ; & l t ; a : K e y & g t ; & l t ; K e y & g t ; M e a s u r e s \ C o u n t   o f   S t a t u s \ T a g I n f o \ V a l u e & l t ; / K e y & g t ; & l t ; / a : K e y & g t ; & l t ; a : V a l u e   i : t y p e = " M e a s u r e G r i d V i e w S t a t e I D i a g r a m T a g A d d i t i o n a l I n f o " / & g t ; & l t ; / a : K e y V a l u e O f D i a g r a m O b j e c t K e y a n y T y p e z b w N T n L X & g t ; & l t ; a : K e y V a l u e O f D i a g r a m O b j e c t K e y a n y T y p e z b w N T n L X & g t ; & l t ; a : K e y & g t ; & l t ; K e y & g t ; C o l u m n s \ C a v i t y   S / N & l t ; / K e y & g t ; & l t ; / a : K e y & g t ; & l t ; a : V a l u e   i : t y p e = " M e a s u r e G r i d N o d e V i e w S t a t e " & g t ; & l t ; L a y e d O u t & g t ; t r u e & l t ; / L a y e d O u t & g t ; & l t ; / a : V a l u e & g t ; & l t ; / a : K e y V a l u e O f D i a g r a m O b j e c t K e y a n y T y p e z b w N T n L X & g t ; & l t ; a : K e y V a l u e O f D i a g r a m O b j e c t K e y a n y T y p e z b w N T n L X & g t ; & l t ; a : K e y & g t ; & l t ; K e y & g t ; C o l u m n s \ M / S # & l t ; / K e y & g t ; & l t ; / a : K e y & g t ; & l t ; a : V a l u e   i : t y p e = " M e a s u r e G r i d N o d e V i e w S t a t e " & g t ; & l t ; C o l u m n & g t ; 1 & l t ; / C o l u m n & g t ; & l t ; L a y e d O u t & g t ; t r u e & l t ; / L a y e d O u t & g t ; & l t ; / a : V a l u e & g t ; & l t ; / a : K e y V a l u e O f D i a g r a m O b j e c t K e y a n y T y p e z b w N T n L X & g t ; & l t ; a : K e y V a l u e O f D i a g r a m O b j e c t K e y a n y T y p e z b w N T n L X & g t ; & l t ; a : K e y & g t ; & l t ; K e y & g t ; C o l u m n s \ M a t e r i a l & l t ; / K e y & g t ; & l t ; / a : K e y & g t ; & l t ; a : V a l u e   i : t y p e = " M e a s u r e G r i d N o d e V i e w S t a t e " & g t ; & l t ; C o l u m n & g t ; 2 & l t ; / C o l u m n & g t ; & l t ; L a y e d O u t & g t ; t r u e & l t ; / L a y e d O u t & g t ; & l t ; / a : V a l u e & g t ; & l t ; / a : K e y V a l u e O f D i a g r a m O b j e c t K e y a n y T y p e z b w N T n L X & g t ; & l t ; a : K e y V a l u e O f D i a g r a m O b j e c t K e y a n y T y p e z b w N T n L X & g t ; & l t ; a : K e y & g t ; & l t ; K e y & g t ; C o l u m n s \ E P & l t ; / K e y & g t ; & l t ; / a : K e y & g t ; & l t ; a : V a l u e   i : t y p e = " M e a s u r e G r i d N o d e V i e w S t a t e " & g t ; & l t ; C o l u m n & g t ; 3 & l t ; / C o l u m n & g t ; & l t ; L a y e d O u t & g t ; t r u e & l t ; / L a y e d O u t & g t ; & l t ; / a : V a l u e & g t ; & l t ; / a : K e y V a l u e O f D i a g r a m O b j e c t K e y a n y T y p e z b w N T n L X & g t ; & l t ; a : K e y V a l u e O f D i a g r a m O b j e c t K e y a n y T y p e z b w N T n L X & g t ; & l t ; a : K e y & g t ; & l t ; K e y & g t ; C o l u m n s \ H e a t & l t ; / K e y & g t ; & l t ; / a : K e y & g t ; & l t ; a : V a l u e   i : t y p e = " M e a s u r e G r i d N o d e V i e w S t a t e " & g t ; & l t ; C o l u m n & g t ; 4 & l t ; / C o l u m n & g t ; & l t ; L a y e d O u t & g t ; t r u e & l t ; / L a y e d O u t & g t ; & l t ; / a : V a l u e & g t ; & l t ; / a : K e y V a l u e O f D i a g r a m O b j e c t K e y a n y T y p e z b w N T n L X & g t ; & l t ; a : K e y V a l u e O f D i a g r a m O b j e c t K e y a n y T y p e z b w N T n L X & g t ; & l t ; a : K e y & g t ; & l t ; K e y & g t ; C o l u m n s \ C a p s & 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H o l d   P o i n t   1 & l t ; / K e y & g t ; & l t ; / a : K e y & g t ; & l t ; a : V a l u e   i : t y p e = " M e a s u r e G r i d N o d e V i e w S t a t e " & g t ; & l t ; C o l u m n & g t ; 7 & l t ; / C o l u m n & g t ; & l t ; L a y e d O u t & g t ; t r u e & l t ; / L a y e d O u t & g t ; & l t ; / a : V a l u e & g t ; & l t ; / a : K e y V a l u e O f D i a g r a m O b j e c t K e y a n y T y p e z b w N T n L X & g t ; & l t ; a : K e y V a l u e O f D i a g r a m O b j e c t K e y a n y T y p e z b w N T n L X & g t ; & l t ; a : K e y & g t ; & l t ; K e y & g t ; C o l u m n s \ H o l d   P o i n t   2 & l t ; / K e y & g t ; & l t ; / a : K e y & g t ; & l t ; a : V a l u e   i : t y p e = " M e a s u r e G r i d N o d e V i e w S t a t e " & g t ; & l t ; C o l u m n & g t ; 8 & l t ; / C o l u m n & g t ; & l t ; L a y e d O u t & g t ; t r u e & l t ; / L a y e d O u t & g t ; & l t ; / a : V a l u e & g t ; & l t ; / a : K e y V a l u e O f D i a g r a m O b j e c t K e y a n y T y p e z b w N T n L X & g t ; & l t ; a : K e y V a l u e O f D i a g r a m O b j e c t K e y a n y T y p e z b w N T n L X & g t ; & l t ; a : K e y & g t ; & l t ; K e y & g t ; C o l u m n s \ H o l d   P o i n t   3 & l t ; / K e y & g t ; & l t ; / a : K e y & g t ; & l t ; a : V a l u e   i : t y p e = " M e a s u r e G r i d N o d e V i e w S t a t e " & g t ; & l t ; C o l u m n & g t ; 9 & l t ; / C o l u m n & g t ; & l t ; L a y e d O u t & g t ; t r u e & l t ; / L a y e d O u t & g t ; & l t ; / a : V a l u e & g t ; & l t ; / a : K e y V a l u e O f D i a g r a m O b j e c t K e y a n y T y p e z b w N T n L X & g t ; & l t ; a : K e y V a l u e O f D i a g r a m O b j e c t K e y a n y T y p e z b w N T n L X & g t ; & l t ; a : K e y & g t ; & l t ; K e y & g t ; C o l u m n s \ N C R s & l t ; / K e y & g t ; & l t ; / a : K e y & g t ; & l t ; a : V a l u e   i : t y p e = " M e a s u r e G r i d N o d e V i e w S t a t e " & g t ; & l t ; C o l u m n & g t ; 1 0 & l t ; / C o l u m n & g t ; & l t ; L a y e d O u t & g t ; t r u e & l t ; / L a y e d O u t & g t ; & l t ; / a : V a l u e & g t ; & l t ; / a : K e y V a l u e O f D i a g r a m O b j e c t K e y a n y T y p e z b w N T n L X & g t ; & l t ; a : K e y V a l u e O f D i a g r a m O b j e c t K e y a n y T y p e z b w N T n L X & g t ; & l t ; a : K e y & g t ; & l t ; K e y & g t ; C o l u m n s \ N C R   C o m m e n t s & l t ; / K e y & g t ; & l t ; / a : K e y & g t ; & l t ; a : V a l u e   i : t y p e = " M e a s u r e G r i d N o d e V i e w S t a t e " & g t ; & l t ; C o l u m n & g t ; 1 1 & l t ; / C o l u m n & g t ; & l t ; L a y e d O u t & g t ; t r u e & l t ; / L a y e d O u t & g t ; & l t ; / a : V a l u e & g t ; & l t ; / a : K e y V a l u e O f D i a g r a m O b j e c t K e y a n y T y p e z b w N T n L X & g t ; & l t ; a : K e y V a l u e O f D i a g r a m O b j e c t K e y a n y T y p e z b w N T n L X & g t ; & l t ; a : K e y & g t ; & l t ; K e y & g t ; C o l u m n s \ S h i p p i n g   D e s t i n a t i o n & l t ; / K e y & g t ; & l t ; / a : K e y & g t ; & l t ; a : V a l u e   i : t y p e = " M e a s u r e G r i d N o d e V i e w S t a t e " & g t ; & l t ; C o l u m n & g t ; 1 2 & l t ; / C o l u m n & g t ; & l t ; L a y e d O u t & g t ; t r u e & l t ; / L a y e d O u t & g t ; & l t ; / a : V a l u e & g t ; & l t ; / a : K e y V a l u e O f D i a g r a m O b j e c t K e y a n y T y p e z b w N T n L X & g t ; & l t ; a : K e y V a l u e O f D i a g r a m O b j e c t K e y a n y T y p e z b w N T n L X & g t ; & l t ; a : K e y & g t ; & l t ; K e y & g t ; C o l u m n s \ S h i p   D a t e & l t ; / K e y & g t ; & l t ; / a : K e y & g t ; & l t ; a : V a l u e   i : t y p e = " M e a s u r e G r i d N o d e V i e w S t a t e " & g t ; & l t ; C o l u m n & g t ; 1 3 & l t ; / C o l u m n & g t ; & l t ; L a y e d O u t & g t ; t r u e & l t ; / L a y e d O u t & g t ; & l t ; / a : V a l u e & g t ; & l t ; / a : K e y V a l u e O f D i a g r a m O b j e c t K e y a n y T y p e z b w N T n L X & g t ; & l t ; a : K e y V a l u e O f D i a g r a m O b j e c t K e y a n y T y p e z b w N T n L X & g t ; & l t ; a : K e y & g t ; & l t ; K e y & g t ; C o l u m n s \ R e c e i p t   D a t e & l t ; / K e y & g t ; & l t ; / a : K e y & g t ; & l t ; a : V a l u e   i : t y p e = " M e a s u r e G r i d N o d e V i e w S t a t e " & g t ; & l t ; C o l u m n & g t ; 1 4 & l t ; / C o l u m n & g t ; & l t ; L a y e d O u t & g t ; t r u e & l t ; / L a y e d O u t & g t ; & l t ; / a : V a l u e & g t ; & l t ; / a : K e y V a l u e O f D i a g r a m O b j e c t K e y a n y T y p e z b w N T n L X & g t ; & l t ; a : K e y V a l u e O f D i a g r a m O b j e c t K e y a n y T y p e z b w N T n L X & g t ; & l t ; a : K e y & g t ; & l t ; K e y & g t ; C o l u m n s \ Q & l t ; / K e y & g t ; & l t ; / a : K e y & g t ; & l t ; a : V a l u e   i : t y p e = " M e a s u r e G r i d N o d e V i e w S t a t e " & g t ; & l t ; C o l u m n & g t ; 1 5 & l t ; / C o l u m n & g t ; & l t ; L a y e d O u t & g t ; t r u e & l t ; / L a y e d O u t & g t ; & l t ; / a : V a l u e & g t ; & l t ; / a : K e y V a l u e O f D i a g r a m O b j e c t K e y a n y T y p e z b w N T n L X & g t ; & l t ; a : K e y V a l u e O f D i a g r a m O b j e c t K e y a n y T y p e z b w N T n L X & g t ; & l t ; a : K e y & g t ; & l t ; K e y & g t ; C o l u m n s \ S t a t u s & l t ; / K e y & g t ; & l t ; / a : K e y & g t ; & l t ; a : V a l u e   i : t y p e = " M e a s u r e G r i d N o d e V i e w S t a t e " & g t ; & l t ; C o l u m n & g t ; 1 6 & l t ; / C o l u m n & g t ; & l t ; L a y e d O u t & g t ; t r u e & l t ; / L a y e d O u t & g t ; & l t ; / a : V a l u e & g t ; & l t ; / a : K e y V a l u e O f D i a g r a m O b j e c t K e y a n y T y p e z b w N T n L X & g t ; & l t ; a : K e y V a l u e O f D i a g r a m O b j e c t K e y a n y T y p e z b w N T n L X & g t ; & l t ; a : K e y & g t ; & l t ; K e y & g t ; C o l u m n s \ N o t e s & l t ; / K e y & g t ; & l t ; / a : K e y & g t ; & l t ; a : V a l u e   i : t y p e = " M e a s u r e G r i d N o d e V i e w S t a t e " & g t ; & l t ; C o l u m n & g t ; 1 7 & l t ; / C o l u m n & g t ; & l t ; L a y e d O u t & g t ; t r u e & l t ; / L a y e d O u t & g t ; & l t ; / a : V a l u e & g t ; & l t ; / a : K e y V a l u e O f D i a g r a m O b j e c t K e y a n y T y p e z b w N T n L X & g t ; & l t ; a : K e y V a l u e O f D i a g r a m O b j e c t K e y a n y T y p e z b w N T n L X & g t ; & l t ; a : K e y & g t ; & l t ; K e y & g t ; C o l u m n s \ S h i p   D a t e   ( M o n t h   I n d e x ) & l t ; / K e y & g t ; & l t ; / a : K e y & g t ; & l t ; a : V a l u e   i : t y p e = " M e a s u r e G r i d N o d e V i e w S t a t e " & g t ; & l t ; C o l u m n & g t ; 1 8 & l t ; / C o l u m n & g t ; & l t ; L a y e d O u t & g t ; t r u e & l t ; / L a y e d O u t & g t ; & l t ; / a : V a l u e & g t ; & l t ; / a : K e y V a l u e O f D i a g r a m O b j e c t K e y a n y T y p e z b w N T n L X & g t ; & l t ; a : K e y V a l u e O f D i a g r a m O b j e c t K e y a n y T y p e z b w N T n L X & g t ; & l t ; a : K e y & g t ; & l t ; K e y & g t ; C o l u m n s \ S h i p   D a t e   ( M o n t h ) & l t ; / K e y & g t ; & l t ; / a : K e y & g t ; & l t ; a : V a l u e   i : t y p e = " M e a s u r e G r i d N o d e V i e w S t a t e " & g t ; & l t ; C o l u m n & g t ; 1 9 & l t ; / C o l u m n & g t ; & l t ; L a y e d O u t & g t ; t r u e & l t ; / L a y e d O u t & g t ; & l t ; / a : V a l u e & g t ; & l t ; / a : K e y V a l u e O f D i a g r a m O b j e c t K e y a n y T y p e z b w N T n L X & g t ; & l t ; a : K e y V a l u e O f D i a g r a m O b j e c t K e y a n y T y p e z b w N T n L X & g t ; & l t ; a : K e y & g t ; & l t ; K e y & g t ; L i n k s \ & a m p ; l t ; C o l u m n s \ S u m   o f   M / S # & a m p ; g t ; - & a m p ; l t ; M e a s u r e s \ M / S # & a m p ; g t ; & l t ; / K e y & g t ; & l t ; / a : K e y & g t ; & l t ; a : V a l u e   i : t y p e = " M e a s u r e G r i d V i e w S t a t e I D i a g r a m L i n k " / & g t ; & l t ; / a : K e y V a l u e O f D i a g r a m O b j e c t K e y a n y T y p e z b w N T n L X & g t ; & l t ; a : K e y V a l u e O f D i a g r a m O b j e c t K e y a n y T y p e z b w N T n L X & g t ; & l t ; a : K e y & g t ; & l t ; K e y & g t ; L i n k s \ & a m p ; l t ; C o l u m n s \ S u m   o f   M / S # & a m p ; g t ; - & a m p ; l t ; M e a s u r e s \ M / S # & a m p ; g t ; \ C O L U M N & l t ; / K e y & g t ; & l t ; / a : K e y & g t ; & l t ; a : V a l u e   i : t y p e = " M e a s u r e G r i d V i e w S t a t e I D i a g r a m L i n k E n d p o i n t " / & g t ; & l t ; / a : K e y V a l u e O f D i a g r a m O b j e c t K e y a n y T y p e z b w N T n L X & g t ; & l t ; a : K e y V a l u e O f D i a g r a m O b j e c t K e y a n y T y p e z b w N T n L X & g t ; & l t ; a : K e y & g t ; & l t ; K e y & g t ; L i n k s \ & a m p ; l t ; C o l u m n s \ S u m   o f   M / S # & a m p ; g t ; - & a m p ; l t ; M e a s u r e s \ M / S # & a m p ; g t ; \ M E A S U R E & l t ; / K e y & g t ; & l t ; / a : K e y & g t ; & l t ; a : V a l u e   i : t y p e = " M e a s u r e G r i d V i e w S t a t e I D i a g r a m L i n k E n d p o i n t " / & g t ; & l t ; / a : K e y V a l u e O f D i a g r a m O b j e c t K e y a n y T y p e z b w N T n L X & g t ; & l t ; a : K e y V a l u e O f D i a g r a m O b j e c t K e y a n y T y p e z b w N T n L X & g t ; & l t ; a : K e y & g t ; & l t ; K e y & g t ; L i n k s \ & a m p ; l t ; C o l u m n s \ C o u n t   o f   H o l d   P o i n t   1 & a m p ; g t ; - & a m p ; l t ; M e a s u r e s \ H o l d   P o i n t   1 & a m p ; g t ; & l t ; / K e y & g t ; & l t ; / a : K e y & g t ; & l t ; a : V a l u e   i : t y p e = " M e a s u r e G r i d V i e w S t a t e I D i a g r a m L i n k " / & g t ; & l t ; / a : K e y V a l u e O f D i a g r a m O b j e c t K e y a n y T y p e z b w N T n L X & g t ; & l t ; a : K e y V a l u e O f D i a g r a m O b j e c t K e y a n y T y p e z b w N T n L X & g t ; & l t ; a : K e y & g t ; & l t ; K e y & g t ; L i n k s \ & a m p ; l t ; C o l u m n s \ C o u n t   o f   H o l d   P o i n t   1 & a m p ; g t ; - & a m p ; l t ; M e a s u r e s \ H o l d   P o i n t   1 & a m p ; g t ; \ C O L U M N & l t ; / K e y & g t ; & l t ; / a : K e y & g t ; & l t ; a : V a l u e   i : t y p e = " M e a s u r e G r i d V i e w S t a t e I D i a g r a m L i n k E n d p o i n t " / & g t ; & l t ; / a : K e y V a l u e O f D i a g r a m O b j e c t K e y a n y T y p e z b w N T n L X & g t ; & l t ; a : K e y V a l u e O f D i a g r a m O b j e c t K e y a n y T y p e z b w N T n L X & g t ; & l t ; a : K e y & g t ; & l t ; K e y & g t ; L i n k s \ & a m p ; l t ; C o l u m n s \ C o u n t   o f   H o l d   P o i n t   1 & a m p ; g t ; - & a m p ; l t ; M e a s u r e s \ H o l d   P o i n t   1 & a m p ; g t ; \ M E A S U R E & l t ; / K e y & g t ; & l t ; / a : K e y & g t ; & l t ; a : V a l u e   i : t y p e = " M e a s u r e G r i d V i e w S t a t e I D i a g r a m L i n k E n d p o i n t " / & g t ; & l t ; / a : K e y V a l u e O f D i a g r a m O b j e c t K e y a n y T y p e z b w N T n L X & g t ; & l t ; a : K e y V a l u e O f D i a g r a m O b j e c t K e y a n y T y p e z b w N T n L X & g t ; & l t ; a : K e y & g t ; & l t ; K e y & g t ; L i n k s \ & a m p ; l t ; C o l u m n s \ C o u n t   o f   H o l d   P o i n t   2 & a m p ; g t ; - & a m p ; l t ; M e a s u r e s \ H o l d   P o i n t   2 & a m p ; g t ; & l t ; / K e y & g t ; & l t ; / a : K e y & g t ; & l t ; a : V a l u e   i : t y p e = " M e a s u r e G r i d V i e w S t a t e I D i a g r a m L i n k " / & g t ; & l t ; / a : K e y V a l u e O f D i a g r a m O b j e c t K e y a n y T y p e z b w N T n L X & g t ; & l t ; a : K e y V a l u e O f D i a g r a m O b j e c t K e y a n y T y p e z b w N T n L X & g t ; & l t ; a : K e y & g t ; & l t ; K e y & g t ; L i n k s \ & a m p ; l t ; C o l u m n s \ C o u n t   o f   H o l d   P o i n t   2 & a m p ; g t ; - & a m p ; l t ; M e a s u r e s \ H o l d   P o i n t   2 & a m p ; g t ; \ C O L U M N & l t ; / K e y & g t ; & l t ; / a : K e y & g t ; & l t ; a : V a l u e   i : t y p e = " M e a s u r e G r i d V i e w S t a t e I D i a g r a m L i n k E n d p o i n t " / & g t ; & l t ; / a : K e y V a l u e O f D i a g r a m O b j e c t K e y a n y T y p e z b w N T n L X & g t ; & l t ; a : K e y V a l u e O f D i a g r a m O b j e c t K e y a n y T y p e z b w N T n L X & g t ; & l t ; a : K e y & g t ; & l t ; K e y & g t ; L i n k s \ & a m p ; l t ; C o l u m n s \ C o u n t   o f   H o l d   P o i n t   2 & a m p ; g t ; - & a m p ; l t ; M e a s u r e s \ H o l d   P o i n t   2 & a m p ; g t ; \ M E A S U R E & l t ; / K e y & g t ; & l t ; / a : K e y & g t ; & l t ; a : V a l u e   i : t y p e = " M e a s u r e G r i d V i e w S t a t e I D i a g r a m L i n k E n d p o i n t " / & g t ; & l t ; / a : K e y V a l u e O f D i a g r a m O b j e c t K e y a n y T y p e z b w N T n L X & g t ; & l t ; a : K e y V a l u e O f D i a g r a m O b j e c t K e y a n y T y p e z b w N T n L X & g t ; & l t ; a : K e y & g t ; & l t ; K e y & g t ; L i n k s \ & a m p ; l t ; C o l u m n s \ C o u n t   o f   H o l d   P o i n t   3 & a m p ; g t ; - & a m p ; l t ; M e a s u r e s \ H o l d   P o i n t   3 & a m p ; g t ; & l t ; / K e y & g t ; & l t ; / a : K e y & g t ; & l t ; a : V a l u e   i : t y p e = " M e a s u r e G r i d V i e w S t a t e I D i a g r a m L i n k " / & g t ; & l t ; / a : K e y V a l u e O f D i a g r a m O b j e c t K e y a n y T y p e z b w N T n L X & g t ; & l t ; a : K e y V a l u e O f D i a g r a m O b j e c t K e y a n y T y p e z b w N T n L X & g t ; & l t ; a : K e y & g t ; & l t ; K e y & g t ; L i n k s \ & a m p ; l t ; C o l u m n s \ C o u n t   o f   H o l d   P o i n t   3 & a m p ; g t ; - & a m p ; l t ; M e a s u r e s \ H o l d   P o i n t   3 & a m p ; g t ; \ C O L U M N & l t ; / K e y & g t ; & l t ; / a : K e y & g t ; & l t ; a : V a l u e   i : t y p e = " M e a s u r e G r i d V i e w S t a t e I D i a g r a m L i n k E n d p o i n t " / & g t ; & l t ; / a : K e y V a l u e O f D i a g r a m O b j e c t K e y a n y T y p e z b w N T n L X & g t ; & l t ; a : K e y V a l u e O f D i a g r a m O b j e c t K e y a n y T y p e z b w N T n L X & g t ; & l t ; a : K e y & g t ; & l t ; K e y & g t ; L i n k s \ & a m p ; l t ; C o l u m n s \ C o u n t   o f   H o l d   P o i n t   3 & a m p ; g t ; - & a m p ; l t ; M e a s u r e s \ H o l d   P o i n t   3 & a m p ; g t ; \ M E A S U R E & l t ; / K e y & g t ; & l t ; / a : K e y & g t ; & l t ; a : V a l u e   i : t y p e = " M e a s u r e G r i d V i e w S t a t e I D i a g r a m L i n k E n d p o i n t " / & g t ; & l t ; / a : K e y V a l u e O f D i a g r a m O b j e c t K e y a n y T y p e z b w N T n L X & g t ; & l t ; a : K e y V a l u e O f D i a g r a m O b j e c t K e y a n y T y p e z b w N T n L X & g t ; & l t ; a : K e y & g t ; & l t ; K e y & g t ; L i n k s \ & a m p ; l t ; C o l u m n s \ C o u n t   o f   S h i p   D a t e & a m p ; g t ; - & a m p ; l t ; M e a s u r e s \ S h i p   D a t e & a m p ; g t ; & l t ; / K e y & g t ; & l t ; / a : K e y & g t ; & l t ; a : V a l u e   i : t y p e = " M e a s u r e G r i d V i e w S t a t e I D i a g r a m L i n k " / & g t ; & l t ; / a : K e y V a l u e O f D i a g r a m O b j e c t K e y a n y T y p e z b w N T n L X & g t ; & l t ; a : K e y V a l u e O f D i a g r a m O b j e c t K e y a n y T y p e z b w N T n L X & g t ; & l t ; a : K e y & g t ; & l t ; K e y & g t ; L i n k s \ & a m p ; l t ; C o l u m n s \ C o u n t   o f   S h i p   D a t e & a m p ; g t ; - & a m p ; l t ; M e a s u r e s \ S h i p   D a t e & a m p ; g t ; \ C O L U M N & l t ; / K e y & g t ; & l t ; / a : K e y & g t ; & l t ; a : V a l u e   i : t y p e = " M e a s u r e G r i d V i e w S t a t e I D i a g r a m L i n k E n d p o i n t " / & g t ; & l t ; / a : K e y V a l u e O f D i a g r a m O b j e c t K e y a n y T y p e z b w N T n L X & g t ; & l t ; a : K e y V a l u e O f D i a g r a m O b j e c t K e y a n y T y p e z b w N T n L X & g t ; & l t ; a : K e y & g t ; & l t ; K e y & g t ; L i n k s \ & a m p ; l t ; C o l u m n s \ C o u n t   o f   S h i p   D a t e & a m p ; g t ; - & a m p ; l t ; M e a s u r e s \ S h i p   D a t e & a m p ; g t ; \ M E A S U R E & l t ; / K e y & g t ; & l t ; / a : K e y & g t ; & l t ; a : V a l u e   i : t y p e = " M e a s u r e G r i d V i e w S t a t e I D i a g r a m L i n k E n d p o i n t " / & g t ; & l t ; / a : K e y V a l u e O f D i a g r a m O b j e c t K e y a n y T y p e z b w N T n L X & g t ; & l t ; a : K e y V a l u e O f D i a g r a m O b j e c t K e y a n y T y p e z b w N T n L X & g t ; & l t ; a : K e y & g t ; & l t ; K e y & g t ; L i n k s \ & a m p ; l t ; C o l u m n s \ C o u n t   o f   S h i p   D a t e   ( M o n t h ) & a m p ; g t ; - & a m p ; l t ; M e a s u r e s \ S h i p   D a t e   ( M o n t h ) & a m p ; g t ; & l t ; / K e y & g t ; & l t ; / a : K e y & g t ; & l t ; a : V a l u e   i : t y p e = " M e a s u r e G r i d V i e w S t a t e I D i a g r a m L i n k " / & g t ; & l t ; / a : K e y V a l u e O f D i a g r a m O b j e c t K e y a n y T y p e z b w N T n L X & g t ; & l t ; a : K e y V a l u e O f D i a g r a m O b j e c t K e y a n y T y p e z b w N T n L X & g t ; & l t ; a : K e y & g t ; & l t ; K e y & g t ; L i n k s \ & a m p ; l t ; C o l u m n s \ C o u n t   o f   S h i p   D a t e   ( M o n t h ) & a m p ; g t ; - & a m p ; l t ; M e a s u r e s \ S h i p   D a t e   ( M o n t h ) & a m p ; g t ; \ C O L U M N & l t ; / K e y & g t ; & l t ; / a : K e y & g t ; & l t ; a : V a l u e   i : t y p e = " M e a s u r e G r i d V i e w S t a t e I D i a g r a m L i n k E n d p o i n t " / & g t ; & l t ; / a : K e y V a l u e O f D i a g r a m O b j e c t K e y a n y T y p e z b w N T n L X & g t ; & l t ; a : K e y V a l u e O f D i a g r a m O b j e c t K e y a n y T y p e z b w N T n L X & g t ; & l t ; a : K e y & g t ; & l t ; K e y & g t ; L i n k s \ & a m p ; l t ; C o l u m n s \ C o u n t   o f   S h i p   D a t e   ( M o n t h ) & a m p ; g t ; - & a m p ; l t ; M e a s u r e s \ S h i p   D a t e   ( M o n t h ) & a m p ; g t ; \ M E A S U R E & l t ; / K e y & g t ; & l t ; / a : K e y & g t ; & l t ; a : V a l u e   i : t y p e = " M e a s u r e G r i d V i e w S t a t e I D i a g r a m L i n k E n d p o i n t " / & g t ; & l t ; / a : K e y V a l u e O f D i a g r a m O b j e c t K e y a n y T y p e z b w N T n L X & g t ; & l t ; a : K e y V a l u e O f D i a g r a m O b j e c t K e y a n y T y p e z b w N T n L X & g t ; & l t ; a : K e y & g t ; & l t ; K e y & g t ; L i n k s \ & a m p ; l t ; C o l u m n s \ C o u n t   o f   C a v i t y   S / N & a m p ; g t ; - & a m p ; l t ; M e a s u r e s \ C a v i t y   S / N & a m p ; g t ; & l t ; / K e y & g t ; & l t ; / a : K e y & g t ; & l t ; a : V a l u e   i : t y p e = " M e a s u r e G r i d V i e w S t a t e I D i a g r a m L i n k " / & g t ; & l t ; / a : K e y V a l u e O f D i a g r a m O b j e c t K e y a n y T y p e z b w N T n L X & g t ; & l t ; a : K e y V a l u e O f D i a g r a m O b j e c t K e y a n y T y p e z b w N T n L X & g t ; & l t ; a : K e y & g t ; & l t ; K e y & g t ; L i n k s \ & a m p ; l t ; C o l u m n s \ C o u n t   o f   C a v i t y   S / N & a m p ; g t ; - & a m p ; l t ; M e a s u r e s \ C a v i t y   S / N & a m p ; g t ; \ C O L U M N & l t ; / K e y & g t ; & l t ; / a : K e y & g t ; & l t ; a : V a l u e   i : t y p e = " M e a s u r e G r i d V i e w S t a t e I D i a g r a m L i n k E n d p o i n t " / & g t ; & l t ; / a : K e y V a l u e O f D i a g r a m O b j e c t K e y a n y T y p e z b w N T n L X & g t ; & l t ; a : K e y V a l u e O f D i a g r a m O b j e c t K e y a n y T y p e z b w N T n L X & g t ; & l t ; a : K e y & g t ; & l t ; K e y & g t ; L i n k s \ & a m p ; l t ; C o l u m n s \ C o u n t   o f   C a v i t y   S / N & a m p ; g t ; - & a m p ; l t ; M e a s u r e s \ C a v i t y   S / N & a m p ; g t ; \ M E A S U R E & l t ; / K e y & g t ; & l t ; / a : K e y & g t ; & l t ; a : V a l u e   i : t y p e = " M e a s u r e G r i d V i e w S t a t e I D i a g r a m L i n k E n d p o i n t " / & g t ; & l t ; / a : K e y V a l u e O f D i a g r a m O b j e c t K e y a n y T y p e z b w N T n L X & g t ; & l t ; a : K e y V a l u e O f D i a g r a m O b j e c t K e y a n y T y p e z b w N T n L X & g t ; & l t ; a : K e y & g t ; & l t ; K e y & g t ; L i n k s \ & a m p ; l t ; C o l u m n s \ C o u n t   o f   S t a t u s & a m p ; g t ; - & a m p ; l t ; M e a s u r e s \ S t a t u s & a m p ; g t ; & l t ; / K e y & g t ; & l t ; / a : K e y & g t ; & l t ; a : V a l u e   i : t y p e = " M e a s u r e G r i d V i e w S t a t e I D i a g r a m L i n k " / & g t ; & l t ; / a : K e y V a l u e O f D i a g r a m O b j e c t K e y a n y T y p e z b w N T n L X & g t ; & l t ; a : K e y V a l u e O f D i a g r a m O b j e c t K e y a n y T y p e z b w N T n L X & g t ; & l t ; a : K e y & g t ; & l t ; K e y & g t ; L i n k s \ & a m p ; l t ; C o l u m n s \ C o u n t   o f   S t a t u s & a m p ; g t ; - & a m p ; l t ; M e a s u r e s \ S t a t u s & a m p ; g t ; \ C O L U M N & l t ; / K e y & g t ; & l t ; / a : K e y & g t ; & l t ; a : V a l u e   i : t y p e = " M e a s u r e G r i d V i e w S t a t e I D i a g r a m L i n k E n d p o i n t " / & g t ; & l t ; / a : K e y V a l u e O f D i a g r a m O b j e c t K e y a n y T y p e z b w N T n L X & g t ; & l t ; a : K e y V a l u e O f D i a g r a m O b j e c t K e y a n y T y p e z b w N T n L X & g t ; & l t ; a : K e y & g t ; & l t ; K e y & g t ; L i n k s \ & a m p ; l t ; C o l u m n s \ C o u n t   o f   S t a t u s & a m p ; g t ; - & a m p ; l t ; M e a s u r e s \ S t a t u s & a m p ; g t ; \ M E A S U R E & l t ; / K e y & g t ; & l t ; / a : K e y & g t ; & l t ; a : V a l u e   i : t y p e = " M e a s u r e G r i d V i e w S t a t e I D i a g r a m L i n k E n d p o i n t " / & g t ; & l t ; / a : K e y V a l u e O f D i a g r a m O b j e c t K e y a n y T y p e z b w N T n L X & g t ; & l t ; / V i e w S t a t e s & g t ; & l t ; / D i a g r a m M a n a g e r . S e r i a l i z a b l e D i a g r a m & g t ; & l t ; / A r r a y O f D i a g r a m M a n a g e r . S e r i a l i z a b l e D i a g r a m & g t ; < / C u s t o m C o n t e n t > < / G e m i n i > 
</file>

<file path=customXml/item17.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A c c r u a 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 i : t y p e = " S a n d b o x E d i t o r T a b l e W i d g e t V i e w M o d e l K e y " & g t ; & l t ; T a b l e N a m e & g t ; A c c r u a l s & l t ; / T a b l e N a m e & g t ; & l t ; / K e y & g t ; & l t ; M a i n t a i n e r 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P e r c e n t   C o m p l e t e & l t ; / K e y & g t ; & l t ; / a : K e y & g t ; & l t ; a : V a l u e 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P O   L i n e   T o t a l & l t ; / K e y & g t ; & l t ; / a : K e y & g t ; & l t ; a : V a l u e 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C o m p l e t e d   W o r k   A m t & l t ; / K e y & g t ; & l t ; / a : K e y & g t ; & l t ; a : V a l u e   i : t y p e = " T a b l e W i d g e t B a s e V i e w S t a t e " / & g t ; & l t ; / a : K e y V a l u e O f D i a g r a m O b j e c t K e y a n y T y p e z b w N T n L X & g t ; & l t ; a : K e y V a l u e O f D i a g r a m O b j e c t K e y a n y T y p e z b w N T n L X & g t ; & l t ; a : K e y & g t ; & l t ; K e y & g t ; C o l u m n s \ c & l t ; / K e y & g t ; & l t ; / a : K e y & g t ; & l t ; a : V a l u e   i : t y p e = " T a b l e W i d g e t B a s e V i e w S t a t e " / & g t ; & l t ; / a : K e y V a l u e O f D i a g r a m O b j e c t K e y a n y T y p e z b w N T n L X & g t ; & l t ; a : K e y V a l u e O f D i a g r a m O b j e c t K e y a n y T y p e z b w N T n L X & g t ; & l t ; a : K e y & g t ; & l t ; K e y & g t ; C o l u m n s \ C o m p l e t e d   W o r k   A m t 2 & l t ; / K e y & g t ; & l t ; / a : K e y & g t ; & l t ; a : V a l u e 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E l i g i b l e   f o r   V o u c h e r   A m t & l t ; / K e y & g t ; & l t ; / a : K e y & g t ; & l t ; a : V a l u e   i : t y p e = " T a b l e W i d g e t B a s e V i e w S t a t e " / & g t ; & l t ; / a : K e y V a l u e O f D i a g r a m O b j e c t K e y a n y T y p e z b w N T n L X & g t ; & l t ; a : K e y V a l u e O f D i a g r a m O b j e c t K e y a n y T y p e z b w N T n L X & g t ; & l t ; a : K e y & g t ; & l t ; K e y & g t ; C o l u m n s \ - 3 & l t ; / K e y & g t ; & l t ; / a : K e y & g t ; & l t ; a : V a l u e   i : t y p e = " T a b l e W i d g e t B a s e V i e w S t a t e " / & g t ; & l t ; / a : K e y V a l u e O f D i a g r a m O b j e c t K e y a n y T y p e z b w N T n L X & g t ; & l t ; a : K e y V a l u e O f D i a g r a m O b j e c t K e y a n y T y p e z b w N T n L X & g t ; & l t ; a : K e y & g t ; & l t ; K e y & g t ; C o l u m n s \ P r e v   V o u c h e r e d   A m o u n t & l t ; / K e y & g t ; & l t ; / a : K e y & g t ; & l t ; a : V a l u e   i : t y p e = " T a b l e W i d g e t B a s e V i e w S t a t e " / & g t ; & l t ; / a : K e y V a l u e O f D i a g r a m O b j e c t K e y a n y T y p e z b w N T n L X & g t ; & l t ; a : K e y V a l u e O f D i a g r a m O b j e c t K e y a n y T y p e z b w N T n L X & g t ; & l t ; a : K e y & g t ; & l t ; K e y & g t ; C o l u m n s \ = 4 & l t ; / K e y & g t ; & l t ; / a : K e y & g t ; & l t ; a : V a l u e   i : t y p e = " T a b l e W i d g e t B a s e V i e w S t a t e " / & g t ; & l t ; / a : K e y V a l u e O f D i a g r a m O b j e c t K e y a n y T y p e z b w N T n L X & g t ; & l t ; a : K e y V a l u e O f D i a g r a m O b j e c t K e y a n y T y p e z b w N T n L X & g t ; & l t ; a : K e y & g t ; & l t ; K e y & g t ; C o l u m n s \ C o m p l e t e d     W o r k   R e t e n t i o n   A m t & l t ; / K e y & g t ; & l t ; / a : K e y & g t ; & l t ; a : V a l u e 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v i t y S t a t u 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 i : t y p e = " S a n d b o x E d i t o r T a b l e W i d g e t V i e w M o d e l K e y " & g t ; & l t ; T a b l e N a m e & g t ; C a v i t y S t a t u s & l t ; / T a b l e N a m e & g t ; & l t ; / K e y & g t ; & l t ; M a i n t a i n e r 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a v i t y   S / N & l t ; / K e y & g t ; & l t ; / a : K e y & g t ; & l t ; a : V a l u e   i : t y p e = " T a b l e W i d g e t B a s e V i e w S t a t e " / & g t ; & l t ; / a : K e y V a l u e O f D i a g r a m O b j e c t K e y a n y T y p e z b w N T n L X & g t ; & l t ; a : K e y V a l u e O f D i a g r a m O b j e c t K e y a n y T y p e z b w N T n L X & g t ; & l t ; a : K e y & g t ; & l t ; K e y & g t ; C o l u m n s \ M / S # & l t ; / K e y & g t ; & l t ; / a : K e y & g t ; & l t ; a : V a l u e   i : t y p e = " T a b l e W i d g e t B a s e V i e w S t a t e " / & g t ; & l t ; / a : K e y V a l u e O f D i a g r a m O b j e c t K e y a n y T y p e z b w N T n L X & g t ; & l t ; a : K e y V a l u e O f D i a g r a m O b j e c t K e y a n y T y p e z b w N T n L X & g t ; & l t ; a : K e y & g t ; & l t ; K e y & g t ; C o l u m n s \ M a t e r i a l & l t ; / K e y & g t ; & l t ; / a : K e y & g t ; & l t ; a : V a l u e   i : t y p e = " T a b l e W i d g e t B a s e V i e w S t a t e " / & g t ; & l t ; / a : K e y V a l u e O f D i a g r a m O b j e c t K e y a n y T y p e z b w N T n L X & g t ; & l t ; a : K e y V a l u e O f D i a g r a m O b j e c t K e y a n y T y p e z b w N T n L X & g t ; & l t ; a : K e y & g t ; & l t ; K e y & g t ; C o l u m n s \ E P & l t ; / K e y & g t ; & l t ; / a : K e y & g t ; & l t ; a : V a l u e   i : t y p e = " T a b l e W i d g e t B a s e V i e w S t a t e " / & g t ; & l t ; / a : K e y V a l u e O f D i a g r a m O b j e c t K e y a n y T y p e z b w N T n L X & g t ; & l t ; a : K e y V a l u e O f D i a g r a m O b j e c t K e y a n y T y p e z b w N T n L X & g t ; & l t ; a : K e y & g t ; & l t ; K e y & g t ; C o l u m n s \ H e a t & l t ; / K e y & g t ; & l t ; / a : K e y & g t ; & l t ; a : V a l u e   i : t y p e = " T a b l e W i d g e t B a s e V i e w S t a t e " / & g t ; & l t ; / a : K e y V a l u e O f D i a g r a m O b j e c t K e y a n y T y p e z b w N T n L X & g t ; & l t ; a : K e y V a l u e O f D i a g r a m O b j e c t K e y a n y T y p e z b w N T n L X & g t ; & l t ; a : K e y & g t ; & l t ; K e y & g t ; C o l u m n s \ C a p s & l t ; / K e y & g t ; & l t ; / a : K e y & g t ; & l t ; a : V a l u e   i : t y p e = " T a b l e W i d g e t B a s e V i e w S t a t e " / & g t ; & l t ; / a : K e y V a l u e O f D i a g r a m O b j e c t K e y a n y T y p e z b w N T n L X & g t ; & l t ; a : K e y V a l u e O f D i a g r a m O b j e c t K e y a n y T y p e z b w N T n L X & g t ; & l t ; a : K e y & g t ; & l t ; K e y & g t ; C o l u m n s \ C o m m e n t s & l t ; / K e y & g t ; & l t ; / a : K e y & g t ; & l t ; a : V a l u e   i : t y p e = " T a b l e W i d g e t B a s e V i e w S t a t e " / & g t ; & l t ; / a : K e y V a l u e O f D i a g r a m O b j e c t K e y a n y T y p e z b w N T n L X & g t ; & l t ; a : K e y V a l u e O f D i a g r a m O b j e c t K e y a n y T y p e z b w N T n L X & g t ; & l t ; a : K e y & g t ; & l t ; K e y & g t ; C o l u m n s \ H o l d   P o i n t   1 & l t ; / K e y & g t ; & l t ; / a : K e y & g t ; & l t ; a : V a l u e   i : t y p e = " T a b l e W i d g e t B a s e V i e w S t a t e " / & g t ; & l t ; / a : K e y V a l u e O f D i a g r a m O b j e c t K e y a n y T y p e z b w N T n L X & g t ; & l t ; a : K e y V a l u e O f D i a g r a m O b j e c t K e y a n y T y p e z b w N T n L X & g t ; & l t ; a : K e y & g t ; & l t ; K e y & g t ; C o l u m n s \ H o l d   P o i n t   2 & l t ; / K e y & g t ; & l t ; / a : K e y & g t ; & l t ; a : V a l u e   i : t y p e = " T a b l e W i d g e t B a s e V i e w S t a t e " / & g t ; & l t ; / a : K e y V a l u e O f D i a g r a m O b j e c t K e y a n y T y p e z b w N T n L X & g t ; & l t ; a : K e y V a l u e O f D i a g r a m O b j e c t K e y a n y T y p e z b w N T n L X & g t ; & l t ; a : K e y & g t ; & l t ; K e y & g t ; C o l u m n s \ H o l d   P o i n t   3 & l t ; / K e y & g t ; & l t ; / a : K e y & g t ; & l t ; a : V a l u e   i : t y p e = " T a b l e W i d g e t B a s e V i e w S t a t e " / & g t ; & l t ; / a : K e y V a l u e O f D i a g r a m O b j e c t K e y a n y T y p e z b w N T n L X & g t ; & l t ; a : K e y V a l u e O f D i a g r a m O b j e c t K e y a n y T y p e z b w N T n L X & g t ; & l t ; a : K e y & g t ; & l t ; K e y & g t ; C o l u m n s \ N C R s & l t ; / K e y & g t ; & l t ; / a : K e y & g t ; & l t ; a : V a l u e   i : t y p e = " T a b l e W i d g e t B a s e V i e w S t a t e " / & g t ; & l t ; / a : K e y V a l u e O f D i a g r a m O b j e c t K e y a n y T y p e z b w N T n L X & g t ; & l t ; a : K e y V a l u e O f D i a g r a m O b j e c t K e y a n y T y p e z b w N T n L X & g t ; & l t ; a : K e y & g t ; & l t ; K e y & g t ; C o l u m n s \ N C R   C o m m e n t s & l t ; / K e y & g t ; & l t ; / a : K e y & g t ; & l t ; a : V a l u e   i : t y p e = " T a b l e W i d g e t B a s e V i e w S t a t e " / & g t ; & l t ; / a : K e y V a l u e O f D i a g r a m O b j e c t K e y a n y T y p e z b w N T n L X & g t ; & l t ; a : K e y V a l u e O f D i a g r a m O b j e c t K e y a n y T y p e z b w N T n L X & g t ; & l t ; a : K e y & g t ; & l t ; K e y & g t ; C o l u m n s \ S h i p p i n g   D e s t i n a t i o n & l t ; / K e y & g t ; & l t ; / a : K e y & g t ; & l t ; a : V a l u e   i : t y p e = " T a b l e W i d g e t B a s e V i e w S t a t e " / & g t ; & l t ; / a : K e y V a l u e O f D i a g r a m O b j e c t K e y a n y T y p e z b w N T n L X & g t ; & l t ; a : K e y V a l u e O f D i a g r a m O b j e c t K e y a n y T y p e z b w N T n L X & g t ; & l t ; a : K e y & g t ; & l t ; K e y & g t ; C o l u m n s \ S h i p   D a t e & l t ; / K e y & g t ; & l t ; / a : K e y & g t ; & l t ; a : V a l u e   i : t y p e = " T a b l e W i d g e t B a s e V i e w S t a t e " / & g t ; & l t ; / a : K e y V a l u e O f D i a g r a m O b j e c t K e y a n y T y p e z b w N T n L X & g t ; & l t ; a : K e y V a l u e O f D i a g r a m O b j e c t K e y a n y T y p e z b w N T n L X & g t ; & l t ; a : K e y & g t ; & l t ; K e y & g t ; C o l u m n s \ R e c e i p t   D a t e & l t ; / K e y & g t ; & l t ; / a : K e y & g t ; & l t ; a : V a l u e   i : t y p e = " T a b l e W i d g e t B a s e V i e w S t a t e " / & g t ; & l t ; / a : K e y V a l u e O f D i a g r a m O b j e c t K e y a n y T y p e z b w N T n L X & g t ; & l t ; a : K e y V a l u e O f D i a g r a m O b j e c t K e y a n y T y p e z b w N T n L X & g t ; & l t ; a : K e y & g t ; & l t ; K e y & g t ; C o l u m n s \ Q & 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S h i p   D a t e   ( M o n t h   I n d e x ) & l t ; / K e y & g t ; & l t ; / a : K e y & g t ; & l t ; a : V a l u e   i : t y p e = " T a b l e W i d g e t B a s e V i e w S t a t e " / & g t ; & l t ; / a : K e y V a l u e O f D i a g r a m O b j e c t K e y a n y T y p e z b w N T n L X & g t ; & l t ; a : K e y V a l u e O f D i a g r a m O b j e c t K e y a n y T y p e z b w N T n L X & g t ; & l t ; a : K e y & g t ; & l t ; K e y & g t ; C o l u m n s \ S h i p   D a t e   ( M o n t h ) & l t ; / K e y & g t ; & l t ; / a : K e y & g t ; & l t ; a : V a l u e   i : t y p e = " T a b l e W i d g e t B a s e V i e w S t a t e " / & g t ; & l t ; / a : K e y V a l u e O f D i a g r a m O b j e c t K e y a n y T y p e z b w N T n L X & g t ; & l t ; a : K e y V a l u e O f D i a g r a m O b j e c t K e y a n y T y p e z b w N T n L X & g t ; & l t ; a : K e y & g t ; & l t ; K e y & g t ; C o l u m n s \ S t a t u s & l t ; / K e y & g t ; & l t ; / a : K e y & g t ; & l t ; a : V a l u e   i : t y p e = " T a b l e W i d g e t B a s e V i e w S t a t e " / & g t ; & l t ; / a : K e y V a l u e O f D i a g r a m O b j e c t K e y a n y T y p e z b w N T n L X & g t ; & l t ; / V i e w S t a t e s & g t ; & l t ; / D i a g r a m M a n a g e r . S e r i a l i z a b l e D i a g r a m & g t ; & l t ; / A r r a y O f D i a g r a m M a n a g e r . S e r i a l i z a b l e D i a g r a m & g t ; < / C u s t o m C o n t e n t > < / G e m i n i > 
</file>

<file path=customXml/item18.xml>��< ? x m l   v e r s i o n = " 1 . 0 "   e n c o d i n g = " U T F - 1 6 " ? > < G e m i n i   x m l n s = " h t t p : / / g e m i n i / p i v o t c u s t o m i z a t i o n / T a b l e X M L _ C a v i t y S t a t u 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 / & g t ; & l t ; C o l u m n W i d t h s & g t ; & l t ; i t e m & g t ; & l t ; k e y & g t ; & l t ; s t r i n g & g t ; C a v i t y   S / N & l t ; / s t r i n g & g t ; & l t ; / k e y & g t ; & l t ; v a l u e & g t ; & l t ; i n t & g t ; 1 2 2 & l t ; / i n t & g t ; & l t ; / v a l u e & g t ; & l t ; / i t e m & g t ; & l t ; i t e m & g t ; & l t ; k e y & g t ; & l t ; s t r i n g & g t ; M / S # & l t ; / s t r i n g & g t ; & l t ; / k e y & g t ; & l t ; v a l u e & g t ; & l t ; i n t & g t ; 8 4 & l t ; / i n t & g t ; & l t ; / v a l u e & g t ; & l t ; / i t e m & g t ; & l t ; i t e m & g t ; & l t ; k e y & g t ; & l t ; s t r i n g & g t ; M a t e r i a l & l t ; / s t r i n g & g t ; & l t ; / k e y & g t ; & l t ; v a l u e & g t ; & l t ; i n t & g t ; 1 0 7 & l t ; / i n t & g t ; & l t ; / v a l u e & g t ; & l t ; / i t e m & g t ; & l t ; i t e m & g t ; & l t ; k e y & g t ; & l t ; s t r i n g & g t ; E P & l t ; / s t r i n g & g t ; & l t ; / k e y & g t ; & l t ; v a l u e & g t ; & l t ; i n t & g t ; 6 2 & l t ; / i n t & g t ; & l t ; / v a l u e & g t ; & l t ; / i t e m & g t ; & l t ; i t e m & g t ; & l t ; k e y & g t ; & l t ; s t r i n g & g t ; H e a t & l t ; / s t r i n g & g t ; & l t ; / k e y & g t ; & l t ; v a l u e & g t ; & l t ; i n t & g t ; 7 9 & l t ; / i n t & g t ; & l t ; / v a l u e & g t ; & l t ; / i t e m & g t ; & l t ; i t e m & g t ; & l t ; k e y & g t ; & l t ; s t r i n g & g t ; C a p s & l t ; / s t r i n g & g t ; & l t ; / k e y & g t ; & l t ; v a l u e & g t ; & l t ; i n t & g t ; 8 0 & l t ; / i n t & g t ; & l t ; / v a l u e & g t ; & l t ; / i t e m & g t ; & l t ; i t e m & g t ; & l t ; k e y & g t ; & l t ; s t r i n g & g t ; C o m m e n t s & l t ; / s t r i n g & g t ; & l t ; / k e y & g t ; & l t ; v a l u e & g t ; & l t ; i n t & g t ; 1 2 6 & l t ; / i n t & g t ; & l t ; / v a l u e & g t ; & l t ; / i t e m & g t ; & l t ; i t e m & g t ; & l t ; k e y & g t ; & l t ; s t r i n g & g t ; H o l d   P o i n t   1 & l t ; / s t r i n g & g t ; & l t ; / k e y & g t ; & l t ; v a l u e & g t ; & l t ; i n t & g t ; 1 3 7 & l t ; / i n t & g t ; & l t ; / v a l u e & g t ; & l t ; / i t e m & g t ; & l t ; i t e m & g t ; & l t ; k e y & g t ; & l t ; s t r i n g & g t ; H o l d   P o i n t   2 & l t ; / s t r i n g & g t ; & l t ; / k e y & g t ; & l t ; v a l u e & g t ; & l t ; i n t & g t ; 1 3 7 & l t ; / i n t & g t ; & l t ; / v a l u e & g t ; & l t ; / i t e m & g t ; & l t ; i t e m & g t ; & l t ; k e y & g t ; & l t ; s t r i n g & g t ; H o l d   P o i n t   3 & l t ; / s t r i n g & g t ; & l t ; / k e y & g t ; & l t ; v a l u e & g t ; & l t ; i n t & g t ; 1 3 7 & l t ; / i n t & g t ; & l t ; / v a l u e & g t ; & l t ; / i t e m & g t ; & l t ; i t e m & g t ; & l t ; k e y & g t ; & l t ; s t r i n g & g t ; N C R s & l t ; / s t r i n g & g t ; & l t ; / k e y & g t ; & l t ; v a l u e & g t ; & l t ; i n t & g t ; 8 3 & l t ; / i n t & g t ; & l t ; / v a l u e & g t ; & l t ; / i t e m & g t ; & l t ; i t e m & g t ; & l t ; k e y & g t ; & l t ; s t r i n g & g t ; N C R   C o m m e n t s & l t ; / s t r i n g & g t ; & l t ; / k e y & g t ; & l t ; v a l u e & g t ; & l t ; i n t & g t ; 1 6 2 & l t ; / i n t & g t ; & l t ; / v a l u e & g t ; & l t ; / i t e m & g t ; & l t ; i t e m & g t ; & l t ; k e y & g t ; & l t ; s t r i n g & g t ; S h i p p i n g   D e s t i n a t i o n & l t ; / s t r i n g & g t ; & l t ; / k e y & g t ; & l t ; v a l u e & g t ; & l t ; i n t & g t ; 2 0 3 & l t ; / i n t & g t ; & l t ; / v a l u e & g t ; & l t ; / i t e m & g t ; & l t ; i t e m & g t ; & l t ; k e y & g t ; & l t ; s t r i n g & g t ; S h i p   D a t e & l t ; / s t r i n g & g t ; & l t ; / k e y & g t ; & l t ; v a l u e & g t ; & l t ; i n t & g t ; 1 1 6 & l t ; / i n t & g t ; & l t ; / v a l u e & g t ; & l t ; / i t e m & g t ; & l t ; i t e m & g t ; & l t ; k e y & g t ; & l t ; s t r i n g & g t ; R e c e i p t   D a t e & l t ; / s t r i n g & g t ; & l t ; / k e y & g t ; & l t ; v a l u e & g t ; & l t ; i n t & g t ; 1 3 9 & l t ; / i n t & g t ; & l t ; / v a l u e & g t ; & l t ; / i t e m & g t ; & l t ; i t e m & g t ; & l t ; k e y & g t ; & l t ; s t r i n g & g t ; Q & l t ; / s t r i n g & g t ; & l t ; / k e y & g t ; & l t ; v a l u e & g t ; & l t ; i n t & g t ; 5 6 & l t ; / i n t & g t ; & l t ; / v a l u e & g t ; & l t ; / i t e m & g t ; & l t ; i t e m & g t ; & l t ; k e y & g t ; & l t ; s t r i n g & g t ; N o t e s & l t ; / s t r i n g & g t ; & l t ; / k e y & g t ; & l t ; v a l u e & g t ; & l t ; i n t & g t ; 8 8 & l t ; / i n t & g t ; & l t ; / v a l u e & g t ; & l t ; / i t e m & g t ; & l t ; i t e m & g t ; & l t ; k e y & g t ; & l t ; s t r i n g & g t ; S h i p   D a t e   ( M o n t h   I n d e x ) & l t ; / s t r i n g & g t ; & l t ; / k e y & g t ; & l t ; v a l u e & g t ; & l t ; i n t & g t ; 2 3 1 & l t ; / i n t & g t ; & l t ; / v a l u e & g t ; & l t ; / i t e m & g t ; & l t ; i t e m & g t ; & l t ; k e y & g t ; & l t ; s t r i n g & g t ; S h i p   D a t e   ( M o n t h ) & l t ; / s t r i n g & g t ; & l t ; / k e y & g t ; & l t ; v a l u e & g t ; & l t ; i n t & g t ; 1 8 4 & l t ; / i n t & g t ; & l t ; / v a l u e & g t ; & l t ; / i t e m & g t ; & l t ; i t e m & g t ; & l t ; k e y & g t ; & l t ; s t r i n g & g t ; S t a t u s & l t ; / s t r i n g & g t ; & l t ; / k e y & g t ; & l t ; v a l u e & g t ; & l t ; i n t & g t ; 9 1 & l t ; / i n t & g t ; & l t ; / v a l u e & g t ; & l t ; / i t e m & g t ; & l t ; / C o l u m n W i d t h s & g t ; & l t ; C o l u m n D i s p l a y I n d e x & g t ; & l t ; i t e m & g t ; & l t ; k e y & g t ; & l t ; s t r i n g & g t ; C a v i t y   S / N & l t ; / s t r i n g & g t ; & l t ; / k e y & g t ; & l t ; v a l u e & g t ; & l t ; i n t & g t ; 0 & l t ; / i n t & g t ; & l t ; / v a l u e & g t ; & l t ; / i t e m & g t ; & l t ; i t e m & g t ; & l t ; k e y & g t ; & l t ; s t r i n g & g t ; M / S # & l t ; / s t r i n g & g t ; & l t ; / k e y & g t ; & l t ; v a l u e & g t ; & l t ; i n t & g t ; 1 & l t ; / i n t & g t ; & l t ; / v a l u e & g t ; & l t ; / i t e m & g t ; & l t ; i t e m & g t ; & l t ; k e y & g t ; & l t ; s t r i n g & g t ; M a t e r i a l & l t ; / s t r i n g & g t ; & l t ; / k e y & g t ; & l t ; v a l u e & g t ; & l t ; i n t & g t ; 2 & l t ; / i n t & g t ; & l t ; / v a l u e & g t ; & l t ; / i t e m & g t ; & l t ; i t e m & g t ; & l t ; k e y & g t ; & l t ; s t r i n g & g t ; E P & l t ; / s t r i n g & g t ; & l t ; / k e y & g t ; & l t ; v a l u e & g t ; & l t ; i n t & g t ; 3 & l t ; / i n t & g t ; & l t ; / v a l u e & g t ; & l t ; / i t e m & g t ; & l t ; i t e m & g t ; & l t ; k e y & g t ; & l t ; s t r i n g & g t ; H e a t & l t ; / s t r i n g & g t ; & l t ; / k e y & g t ; & l t ; v a l u e & g t ; & l t ; i n t & g t ; 4 & l t ; / i n t & g t ; & l t ; / v a l u e & g t ; & l t ; / i t e m & g t ; & l t ; i t e m & g t ; & l t ; k e y & g t ; & l t ; s t r i n g & g t ; C a p s & l t ; / s t r i n g & g t ; & l t ; / k e y & g t ; & l t ; v a l u e & g t ; & l t ; i n t & g t ; 5 & l t ; / i n t & g t ; & l t ; / v a l u e & g t ; & l t ; / i t e m & g t ; & l t ; i t e m & g t ; & l t ; k e y & g t ; & l t ; s t r i n g & g t ; C o m m e n t s & l t ; / s t r i n g & g t ; & l t ; / k e y & g t ; & l t ; v a l u e & g t ; & l t ; i n t & g t ; 6 & l t ; / i n t & g t ; & l t ; / v a l u e & g t ; & l t ; / i t e m & g t ; & l t ; i t e m & g t ; & l t ; k e y & g t ; & l t ; s t r i n g & g t ; H o l d   P o i n t   1 & l t ; / s t r i n g & g t ; & l t ; / k e y & g t ; & l t ; v a l u e & g t ; & l t ; i n t & g t ; 7 & l t ; / i n t & g t ; & l t ; / v a l u e & g t ; & l t ; / i t e m & g t ; & l t ; i t e m & g t ; & l t ; k e y & g t ; & l t ; s t r i n g & g t ; H o l d   P o i n t   2 & l t ; / s t r i n g & g t ; & l t ; / k e y & g t ; & l t ; v a l u e & g t ; & l t ; i n t & g t ; 8 & l t ; / i n t & g t ; & l t ; / v a l u e & g t ; & l t ; / i t e m & g t ; & l t ; i t e m & g t ; & l t ; k e y & g t ; & l t ; s t r i n g & g t ; H o l d   P o i n t   3 & l t ; / s t r i n g & g t ; & l t ; / k e y & g t ; & l t ; v a l u e & g t ; & l t ; i n t & g t ; 9 & l t ; / i n t & g t ; & l t ; / v a l u e & g t ; & l t ; / i t e m & g t ; & l t ; i t e m & g t ; & l t ; k e y & g t ; & l t ; s t r i n g & g t ; N C R s & l t ; / s t r i n g & g t ; & l t ; / k e y & g t ; & l t ; v a l u e & g t ; & l t ; i n t & g t ; 1 0 & l t ; / i n t & g t ; & l t ; / v a l u e & g t ; & l t ; / i t e m & g t ; & l t ; i t e m & g t ; & l t ; k e y & g t ; & l t ; s t r i n g & g t ; N C R   C o m m e n t s & l t ; / s t r i n g & g t ; & l t ; / k e y & g t ; & l t ; v a l u e & g t ; & l t ; i n t & g t ; 1 1 & l t ; / i n t & g t ; & l t ; / v a l u e & g t ; & l t ; / i t e m & g t ; & l t ; i t e m & g t ; & l t ; k e y & g t ; & l t ; s t r i n g & g t ; S h i p p i n g   D e s t i n a t i o n & l t ; / s t r i n g & g t ; & l t ; / k e y & g t ; & l t ; v a l u e & g t ; & l t ; i n t & g t ; 1 2 & l t ; / i n t & g t ; & l t ; / v a l u e & g t ; & l t ; / i t e m & g t ; & l t ; i t e m & g t ; & l t ; k e y & g t ; & l t ; s t r i n g & g t ; S h i p   D a t e & l t ; / s t r i n g & g t ; & l t ; / k e y & g t ; & l t ; v a l u e & g t ; & l t ; i n t & g t ; 1 3 & l t ; / i n t & g t ; & l t ; / v a l u e & g t ; & l t ; / i t e m & g t ; & l t ; i t e m & g t ; & l t ; k e y & g t ; & l t ; s t r i n g & g t ; R e c e i p t   D a t e & l t ; / s t r i n g & g t ; & l t ; / k e y & g t ; & l t ; v a l u e & g t ; & l t ; i n t & g t ; 1 4 & l t ; / i n t & g t ; & l t ; / v a l u e & g t ; & l t ; / i t e m & g t ; & l t ; i t e m & g t ; & l t ; k e y & g t ; & l t ; s t r i n g & g t ; Q & l t ; / s t r i n g & g t ; & l t ; / k e y & g t ; & l t ; v a l u e & g t ; & l t ; i n t & g t ; 1 5 & l t ; / i n t & g t ; & l t ; / v a l u e & g t ; & l t ; / i t e m & g t ; & l t ; i t e m & g t ; & l t ; k e y & g t ; & l t ; s t r i n g & g t ; N o t e s & l t ; / s t r i n g & g t ; & l t ; / k e y & g t ; & l t ; v a l u e & g t ; & l t ; i n t & g t ; 1 7 & l t ; / i n t & g t ; & l t ; / v a l u e & g t ; & l t ; / i t e m & g t ; & l t ; i t e m & g t ; & l t ; k e y & g t ; & l t ; s t r i n g & g t ; S h i p   D a t e   ( M o n t h   I n d e x ) & l t ; / s t r i n g & g t ; & l t ; / k e y & g t ; & l t ; v a l u e & g t ; & l t ; i n t & g t ; 1 8 & l t ; / i n t & g t ; & l t ; / v a l u e & g t ; & l t ; / i t e m & g t ; & l t ; i t e m & g t ; & l t ; k e y & g t ; & l t ; s t r i n g & g t ; S h i p   D a t e   ( M o n t h ) & l t ; / s t r i n g & g t ; & l t ; / k e y & g t ; & l t ; v a l u e & g t ; & l t ; i n t & g t ; 1 9 & l t ; / i n t & g t ; & l t ; / v a l u e & g t ; & l t ; / i t e m & g t ; & l t ; i t e m & g t ; & l t ; k e y & g t ; & l t ; s t r i n g & g t ; S t a t u s & 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2.xml>��< ? x m l   v e r s i o n = " 1 . 0 "   e n c o d i n g = " U T F - 1 6 " ? > < G e m i n i   x m l n s = " h t t p : / / g e m i n i / p i v o t c u s t o m i z a t i o n / T a b l e O r d e r " > < C u s t o m C o n t e n t > C a v i t y S t a t u s , A c c r u a l s < / C u s t o m C o n t e n t > < / G e m i n i > 
</file>

<file path=customXml/item3.xml>��< ? x m l   v e r s i o n = " 1 . 0 "   e n c o d i n g = " U T F - 1 6 " ? > < G e m i n i   x m l n s = " h t t p : / / g e m i n i / p i v o t c u s t o m i z a t i o n / T a b l e X M L _ A c c r u a l s " > < 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 P e r c e n t   C o m p l e t e < / s t r i n g > < / k e y > < v a l u e > < i n t > 1 7 9 < / i n t > < / v a l u e > < / i t e m > < i t e m > < k e y > < s t r i n g > # < / s t r i n g > < / k e y > < v a l u e > < i n t > 5 2 < / i n t > < / v a l u e > < / i t e m > < i t e m > < k e y > < s t r i n g > P O   L i n e   T o t a l < / s t r i n g > < / k e y > < v a l u e > < i n t > 1 4 1 < / i n t > < / v a l u e > < / i t e m > < i t e m > < k e y > < s t r i n g > = < / s t r i n g > < / k e y > < v a l u e > < i n t > 5 2 < / i n t > < / v a l u e > < / i t e m > < i t e m > < k e y > < s t r i n g > C o m p l e t e d   W o r k   A m t < / s t r i n g > < / k e y > < v a l u e > < i n t > 2 0 8 < / i n t > < / v a l u e > < / i t e m > < i t e m > < k e y > < s t r i n g > c < / s t r i n g > < / k e y > < v a l u e > < i n t > 5 1 < / i n t > < / v a l u e > < / i t e m > < i t e m > < k e y > < s t r i n g > C o m p l e t e d   W o r k   A m t 2 < / s t r i n g > < / k e y > < v a l u e > < i n t > 2 1 8 < / i n t > < / v a l u e > < / i t e m > < i t e m > < k e y > < s t r i n g > - < / s t r i n g > < / k e y > < v a l u e > < i n t > 4 9 < / i n t > < / v a l u e > < / i t e m > < i t e m > < k e y > < s t r i n g > E l i g i b l e   f o r   V o u c h e r   A m t < / s t r i n g > < / k e y > < v a l u e > < i n t > 2 2 7 < / i n t > < / v a l u e > < / i t e m > < i t e m > < k e y > < s t r i n g > - 3 < / s t r i n g > < / k e y > < v a l u e > < i n t > 5 9 < / i n t > < / v a l u e > < / i t e m > < i t e m > < k e y > < s t r i n g > P r e v   V o u c h e r e d   A m o u n t < / s t r i n g > < / k e y > < v a l u e > < i n t > 2 3 1 < / i n t > < / v a l u e > < / i t e m > < i t e m > < k e y > < s t r i n g > = 4 < / s t r i n g > < / k e y > < v a l u e > < i n t > 6 2 < / i n t > < / v a l u e > < / i t e m > < i t e m > < k e y > < s t r i n g > C o m p l e t e d     W o r k   R e t e n t i o n   A m t < / s t r i n g > < / k e y > < v a l u e > < i n t > 2 9 1 < / i n t > < / v a l u e > < / i t e m > < i t e m > < k e y > < s t r i n g > N o t e < / s t r i n g > < / k e y > < v a l u e > < i n t > 8 0 < / i n t > < / v a l u e > < / i t e m > < / C o l u m n W i d t h s > < C o l u m n D i s p l a y I n d e x > < i t e m > < k e y > < s t r i n g > P O   L i n e   # < / s t r i n g > < / k e y > < v a l u e > < i n t > 0 < / i n t > < / v a l u e > < / i t e m > < i t e m > < k e y > < s t r i n g > D e s c r i p t i o n < / s t r i n g > < / k e y > < v a l u e > < i n t > 1 < / i n t > < / v a l u e > < / i t e m > < i t e m > < k e y > < s t r i n g > E s t   D a t e < / s t r i n g > < / k e y > < v a l u e > < i n t > 2 < / i n t > < / v a l u e > < / i t e m > < i t e m > < k e y > < s t r i n g > P e r c e n t   C o m p l e t e < / s t r i n g > < / k e y > < v a l u e > < i n t > 3 < / i n t > < / v a l u e > < / i t e m > < i t e m > < k e y > < s t r i n g > # < / s t r i n g > < / k e y > < v a l u e > < i n t > 4 < / i n t > < / v a l u e > < / i t e m > < i t e m > < k e y > < s t r i n g > P O   L i n e   T o t a l < / s t r i n g > < / k e y > < v a l u e > < i n t > 5 < / i n t > < / v a l u e > < / i t e m > < i t e m > < k e y > < s t r i n g > = < / s t r i n g > < / k e y > < v a l u e > < i n t > 6 < / i n t > < / v a l u e > < / i t e m > < i t e m > < k e y > < s t r i n g > C o m p l e t e d   W o r k   A m t < / s t r i n g > < / k e y > < v a l u e > < i n t > 7 < / i n t > < / v a l u e > < / i t e m > < i t e m > < k e y > < s t r i n g > c < / s t r i n g > < / k e y > < v a l u e > < i n t > 8 < / i n t > < / v a l u e > < / i t e m > < i t e m > < k e y > < s t r i n g > C o m p l e t e d   W o r k   A m t 2 < / s t r i n g > < / k e y > < v a l u e > < i n t > 9 < / i n t > < / v a l u e > < / i t e m > < i t e m > < k e y > < s t r i n g > - < / s t r i n g > < / k e y > < v a l u e > < i n t > 1 0 < / i n t > < / v a l u e > < / i t e m > < i t e m > < k e y > < s t r i n g > E l i g i b l e   f o r   V o u c h e r   A m t < / s t r i n g > < / k e y > < v a l u e > < i n t > 1 1 < / i n t > < / v a l u e > < / i t e m > < i t e m > < k e y > < s t r i n g > - 3 < / s t r i n g > < / k e y > < v a l u e > < i n t > 1 2 < / i n t > < / v a l u e > < / i t e m > < i t e m > < k e y > < s t r i n g > P r e v   V o u c h e r e d   A m o u n t < / s t r i n g > < / k e y > < v a l u e > < i n t > 1 3 < / i n t > < / v a l u e > < / i t e m > < i t e m > < k e y > < s t r i n g > = 4 < / s t r i n g > < / k e y > < v a l u e > < i n t > 1 4 < / i n t > < / v a l u e > < / i t e m > < i t e m > < k e y > < s t r i n g > C o m p l e t e d     W o r k   R e t e n t i o n   A m t < / s t r i n g > < / k e y > < v a l u e > < i n t > 1 5 < / i n t > < / v a l u e > < / i t e m > < i t e m > < k e y > < s t r i n g > N o t e < / s t r i n g > < / k e y > < v a l u e > < i n t > 1 6 < / 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h o w I m p l i c i t M e a s u r e s " > < C u s t o m C o n t e n t > < ! [ C D A T A [ F a l s e ] ] > < / C u s t o m C o n t e n t > < / G e m i n i > 
</file>

<file path=customXml/item5.xml>��< ? x m l   v e r s i o n = " 1 . 0 "   e n c o d i n g = " U T F - 1 6 " ? > < G e m i n i   x m l n s = " h t t p : / / g e m i n i / p i v o t c u s t o m i z a t i o n / I s S a n d b o x E m b e d d e d " > < C u s t o m C o n t e n t > < ! [ C D A T A [ y e s ] ] > < / C u s t o m C o n t e n t > < / G e m i n i > 
</file>

<file path=customXml/item6.xml>��< ? x m l   v e r s i o n = " 1 . 0 "   e n c o d i n g = " U T F - 1 6 " ? > < G e m i n i   x m l n s = " h t t p : / / g e m i n i / p i v o t c u s t o m i z a t i o n / C l i e n t W i n d o w X M L " > < C u s t o m C o n t e n t > < ! [ C D A T A [ C a v i t y S t a t u s ] ] > < / C u s t o m C o n t e n t > < / G e m i n i > 
</file>

<file path=customXml/item7.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v i t y S t a t u s & l t ; / K e y & g t ; & l t ; V a l u e   x m l n s : a = " h t t p : / / s c h e m a s . d a t a c o n t r a c t . o r g / 2 0 0 4 / 0 7 / M i c r o s o f t . A n a l y s i s S e r v i c e s . C o m m o n " & g t ; & l t ; a : H a s F o c u s & g t ; t r u e & l t ; / a : H a s F o c u s & g t ; & l t ; a : S i z e A t D p i 9 6 & g t ; 1 3 0 & l t ; / a : S i z e A t D p i 9 6 & g t ; & l t ; a : V i s i b l e & g t ; t r u e & l t ; / a : V i s i b l e & g t ; & l t ; / V a l u e & g t ; & l t ; / K e y V a l u e O f s t r i n g S a n d b o x E d i t o r . M e a s u r e G r i d S t a t e S c d E 3 5 R y & g t ; & l t ; K e y V a l u e O f s t r i n g S a n d b o x E d i t o r . M e a s u r e G r i d S t a t e S c d E 3 5 R y & g t ; & l t ; K e y & g t ; A c c r u a l s & l t ; / K e y & g t ; & l t ; V a l u e   x m l n s : a = " h t t p : / / s c h e m a s . d a t a c o n t r a c t . o r g / 2 0 0 4 / 0 7 / M i c r o s o f t . A n a l y s i s S e r v i c e s . C o m m o n " & g t ; & l t ; a : H a s F o c u s & g t ; t r u e & l t ; / a : H a s F o c u s & g t ; & l t ; a : S i z e A t D p i 9 6 & g t ; 1 2 4 & l t ; / a : S i z e A t D p i 9 6 & g t ; & l t ; a : V i s i b l e & g t ; t r u e & l t ; / a : V i s i b l e & g t ; & l t ; / V a l u e & g t ; & l t ; / K e y V a l u e O f s t r i n g S a n d b o x E d i t o r . M e a s u r e G r i d S t a t e S c d E 3 5 R y & g t ; & l t ; / A r r a y O f K e y V a l u e O f s t r i n g S a n d b o x E d i t o r . M e a s u r e G r i d S t a t e S c d E 3 5 R y & g t ; < / C u s t o m C o n t e n t > < / G e m i n i > 
</file>

<file path=customXml/item8.xml>��< ? x m l   v e r s i o n = " 1 . 0 "   e n c o d i n g = " U T F - 1 6 " ? > < G e m i n i   x m l n s = " h t t p : / / g e m i n i / p i v o t c u s t o m i z a t i o n / S h o w H i d d e n " > < C u s t o m C o n t e n t > < ! [ C D A T A [ T r u e ] ] > < / 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308A2BEA-A1CA-4113-BF8D-9CF8E3F0DC55}">
  <ds:schemaRefs/>
</ds:datastoreItem>
</file>

<file path=customXml/itemProps10.xml><?xml version="1.0" encoding="utf-8"?>
<ds:datastoreItem xmlns:ds="http://schemas.openxmlformats.org/officeDocument/2006/customXml" ds:itemID="{5D4B0DCA-5934-43E5-8FFD-72EE27B27756}">
  <ds:schemaRefs/>
</ds:datastoreItem>
</file>

<file path=customXml/itemProps11.xml><?xml version="1.0" encoding="utf-8"?>
<ds:datastoreItem xmlns:ds="http://schemas.openxmlformats.org/officeDocument/2006/customXml" ds:itemID="{23AE241C-8312-418E-8DE9-9099AA39A41B}">
  <ds:schemaRefs/>
</ds:datastoreItem>
</file>

<file path=customXml/itemProps12.xml><?xml version="1.0" encoding="utf-8"?>
<ds:datastoreItem xmlns:ds="http://schemas.openxmlformats.org/officeDocument/2006/customXml" ds:itemID="{829E1F48-5437-4FA0-9BC7-6C671ED32989}">
  <ds:schemaRefs/>
</ds:datastoreItem>
</file>

<file path=customXml/itemProps13.xml><?xml version="1.0" encoding="utf-8"?>
<ds:datastoreItem xmlns:ds="http://schemas.openxmlformats.org/officeDocument/2006/customXml" ds:itemID="{1A201BD1-D404-4F2D-AA95-68479F95CA28}">
  <ds:schemaRefs/>
</ds:datastoreItem>
</file>

<file path=customXml/itemProps14.xml><?xml version="1.0" encoding="utf-8"?>
<ds:datastoreItem xmlns:ds="http://schemas.openxmlformats.org/officeDocument/2006/customXml" ds:itemID="{F21940E7-EC6A-465F-BA37-A3CAA07719CD}">
  <ds:schemaRefs/>
</ds:datastoreItem>
</file>

<file path=customXml/itemProps15.xml><?xml version="1.0" encoding="utf-8"?>
<ds:datastoreItem xmlns:ds="http://schemas.openxmlformats.org/officeDocument/2006/customXml" ds:itemID="{0621F163-4643-42E6-8C97-D89F8447F949}">
  <ds:schemaRefs/>
</ds:datastoreItem>
</file>

<file path=customXml/itemProps16.xml><?xml version="1.0" encoding="utf-8"?>
<ds:datastoreItem xmlns:ds="http://schemas.openxmlformats.org/officeDocument/2006/customXml" ds:itemID="{F3ADA0BA-8286-4D01-89AB-937806D58052}">
  <ds:schemaRefs/>
</ds:datastoreItem>
</file>

<file path=customXml/itemProps17.xml><?xml version="1.0" encoding="utf-8"?>
<ds:datastoreItem xmlns:ds="http://schemas.openxmlformats.org/officeDocument/2006/customXml" ds:itemID="{9464F929-709F-4BEC-90E6-AD65C2A93FB5}">
  <ds:schemaRefs/>
</ds:datastoreItem>
</file>

<file path=customXml/itemProps18.xml><?xml version="1.0" encoding="utf-8"?>
<ds:datastoreItem xmlns:ds="http://schemas.openxmlformats.org/officeDocument/2006/customXml" ds:itemID="{104FE832-A27E-4430-BDF8-9BE65D16A4FE}">
  <ds:schemaRefs/>
</ds:datastoreItem>
</file>

<file path=customXml/itemProps19.xml><?xml version="1.0" encoding="utf-8"?>
<ds:datastoreItem xmlns:ds="http://schemas.openxmlformats.org/officeDocument/2006/customXml" ds:itemID="{DBC45318-2BCA-4ECE-BAE9-467F599FA01B}">
  <ds:schemaRefs/>
</ds:datastoreItem>
</file>

<file path=customXml/itemProps2.xml><?xml version="1.0" encoding="utf-8"?>
<ds:datastoreItem xmlns:ds="http://schemas.openxmlformats.org/officeDocument/2006/customXml" ds:itemID="{C5759F49-E357-47D8-A33E-84DEB770A91D}">
  <ds:schemaRefs/>
</ds:datastoreItem>
</file>

<file path=customXml/itemProps3.xml><?xml version="1.0" encoding="utf-8"?>
<ds:datastoreItem xmlns:ds="http://schemas.openxmlformats.org/officeDocument/2006/customXml" ds:itemID="{1F0BAA02-7DB9-49E5-B473-C751C6AB17FC}">
  <ds:schemaRefs/>
</ds:datastoreItem>
</file>

<file path=customXml/itemProps4.xml><?xml version="1.0" encoding="utf-8"?>
<ds:datastoreItem xmlns:ds="http://schemas.openxmlformats.org/officeDocument/2006/customXml" ds:itemID="{383A9B03-2599-4D31-A54B-D58421C3CE62}">
  <ds:schemaRefs/>
</ds:datastoreItem>
</file>

<file path=customXml/itemProps5.xml><?xml version="1.0" encoding="utf-8"?>
<ds:datastoreItem xmlns:ds="http://schemas.openxmlformats.org/officeDocument/2006/customXml" ds:itemID="{1ED25CF4-D4EC-47BA-A3D0-1EA8F36EE2BB}">
  <ds:schemaRefs/>
</ds:datastoreItem>
</file>

<file path=customXml/itemProps6.xml><?xml version="1.0" encoding="utf-8"?>
<ds:datastoreItem xmlns:ds="http://schemas.openxmlformats.org/officeDocument/2006/customXml" ds:itemID="{835FD945-A2A3-4603-B7F9-7EC55525F852}">
  <ds:schemaRefs/>
</ds:datastoreItem>
</file>

<file path=customXml/itemProps7.xml><?xml version="1.0" encoding="utf-8"?>
<ds:datastoreItem xmlns:ds="http://schemas.openxmlformats.org/officeDocument/2006/customXml" ds:itemID="{31B9F0FA-471B-4456-A149-D1D4A29096E7}">
  <ds:schemaRefs/>
</ds:datastoreItem>
</file>

<file path=customXml/itemProps8.xml><?xml version="1.0" encoding="utf-8"?>
<ds:datastoreItem xmlns:ds="http://schemas.openxmlformats.org/officeDocument/2006/customXml" ds:itemID="{77AEADC9-0304-4847-ADB2-7BE3685E21C1}">
  <ds:schemaRefs/>
</ds:datastoreItem>
</file>

<file path=customXml/itemProps9.xml><?xml version="1.0" encoding="utf-8"?>
<ds:datastoreItem xmlns:ds="http://schemas.openxmlformats.org/officeDocument/2006/customXml" ds:itemID="{C40B6D35-CBFC-4081-98C4-51444092CA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Form</vt:lpstr>
      <vt:lpstr>Process</vt:lpstr>
      <vt:lpstr> Accting USE Data Entry Form</vt:lpstr>
      <vt:lpstr>Accrual Details</vt:lpstr>
      <vt:lpstr>Invoices</vt:lpstr>
      <vt:lpstr>Sheet1</vt:lpstr>
      <vt:lpstr>Cavity Status</vt:lpstr>
      <vt:lpstr>List</vt:lpstr>
      <vt:lpstr>RICavMilestoneVal</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2016-02-03T19:47:28Z</cp:lastPrinted>
  <dcterms:created xsi:type="dcterms:W3CDTF">2007-10-19T12:34:40Z</dcterms:created>
  <dcterms:modified xsi:type="dcterms:W3CDTF">2017-03-01T17:04:19Z</dcterms:modified>
</cp:coreProperties>
</file>