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CUREMENT ELECTRONIC FILES\SUBCONTRACTS\0 FY 15 open subcontracts\15-C0753 - Fitzpatrick - Cavities 2 - Zanon\F. CONTRACT ADMINISTRATION\Accruals\"/>
    </mc:Choice>
  </mc:AlternateContent>
  <bookViews>
    <workbookView xWindow="480" yWindow="168" windowWidth="11352" windowHeight="8328"/>
  </bookViews>
  <sheets>
    <sheet name="Form" sheetId="1" r:id="rId1"/>
    <sheet name="Process" sheetId="4" r:id="rId2"/>
    <sheet name=" Accting USE Data Entry Form" sheetId="3" r:id="rId3"/>
    <sheet name="PO Line" sheetId="9" r:id="rId4"/>
    <sheet name="Invoices" sheetId="6" r:id="rId5"/>
    <sheet name="List" sheetId="5" r:id="rId6"/>
  </sheets>
  <externalReferences>
    <externalReference r:id="rId7"/>
  </externalReferences>
  <definedNames>
    <definedName name="_xlcn.LinkedTable_InvoiceTable1" hidden="1">Invoices!$A$1:$J$18</definedName>
    <definedName name="_xlcn.LinkedTable_POLineTable1" hidden="1">POLineTable[]</definedName>
    <definedName name="FNALDESPH3">[1]Details!$F$6</definedName>
  </definedNames>
  <calcPr calcId="162913"/>
  <extLst>
    <ext xmlns:x15="http://schemas.microsoft.com/office/spreadsheetml/2010/11/main" uri="{FCE2AD5D-F65C-4FA6-A056-5C36A1767C68}">
      <x15:dataModel>
        <x15:modelTables>
          <x15:modelTable id="POLineTable" name="POLineTable" connection="LinkedTable_POLineTable"/>
          <x15:modelTable id="InvoiceTable" name="InvoiceTable" connection="LinkedTable_InvoiceTable"/>
        </x15:modelTables>
      </x15:dataModel>
    </ext>
  </extLst>
</workbook>
</file>

<file path=xl/calcChain.xml><?xml version="1.0" encoding="utf-8"?>
<calcChain xmlns="http://schemas.openxmlformats.org/spreadsheetml/2006/main">
  <c r="E48" i="9" l="1"/>
  <c r="F48" i="9" s="1"/>
  <c r="E49" i="9"/>
  <c r="F49" i="9" s="1"/>
  <c r="E50" i="9"/>
  <c r="F50" i="9" s="1"/>
  <c r="E51" i="9"/>
  <c r="F51" i="9" s="1"/>
  <c r="E52" i="9"/>
  <c r="F52" i="9" s="1"/>
  <c r="E53" i="9"/>
  <c r="F53" i="9" s="1"/>
  <c r="E2" i="9"/>
  <c r="F2" i="9" s="1"/>
  <c r="E46" i="9"/>
  <c r="F46" i="9" s="1"/>
  <c r="E47" i="9"/>
  <c r="F47" i="9" s="1"/>
  <c r="E3" i="9"/>
  <c r="F3" i="9" s="1"/>
  <c r="G28" i="6" l="1"/>
  <c r="J28" i="6"/>
  <c r="H33" i="3" l="1"/>
  <c r="C27" i="6" l="1"/>
  <c r="G26" i="6"/>
  <c r="H26" i="6" s="1"/>
  <c r="H25" i="6"/>
  <c r="G25" i="6"/>
  <c r="G24" i="6"/>
  <c r="H24" i="6" s="1"/>
  <c r="H23" i="6"/>
  <c r="G23" i="6"/>
  <c r="G22" i="6"/>
  <c r="E13" i="9" s="1"/>
  <c r="F13" i="9" s="1"/>
  <c r="H21" i="6"/>
  <c r="G21" i="6"/>
  <c r="G20" i="6"/>
  <c r="E25" i="9" s="1"/>
  <c r="F25" i="9" s="1"/>
  <c r="H19" i="6"/>
  <c r="G19" i="6"/>
  <c r="G18" i="6"/>
  <c r="H18" i="6" s="1"/>
  <c r="H17" i="6"/>
  <c r="G17" i="6"/>
  <c r="G16" i="6"/>
  <c r="H16" i="6" s="1"/>
  <c r="H15" i="6"/>
  <c r="G15" i="6"/>
  <c r="G14" i="6"/>
  <c r="H14" i="6" s="1"/>
  <c r="H13" i="6"/>
  <c r="G13" i="6"/>
  <c r="G12" i="6"/>
  <c r="H12" i="6" s="1"/>
  <c r="H11" i="6"/>
  <c r="G11" i="6"/>
  <c r="G10" i="6"/>
  <c r="E9" i="9" s="1"/>
  <c r="F9" i="9" s="1"/>
  <c r="H9" i="6"/>
  <c r="G9" i="6"/>
  <c r="G8" i="6"/>
  <c r="E24" i="9" s="1"/>
  <c r="F24" i="9" s="1"/>
  <c r="H7" i="6"/>
  <c r="G7" i="6"/>
  <c r="G6" i="6"/>
  <c r="H6" i="6" s="1"/>
  <c r="H5" i="6"/>
  <c r="G5" i="6"/>
  <c r="G4" i="6"/>
  <c r="E4" i="9" s="1"/>
  <c r="F4" i="9" s="1"/>
  <c r="H3" i="6"/>
  <c r="G3" i="6"/>
  <c r="G2" i="6"/>
  <c r="H2" i="6" s="1"/>
  <c r="E45" i="9"/>
  <c r="F45" i="9" s="1"/>
  <c r="E44" i="9"/>
  <c r="F44" i="9" s="1"/>
  <c r="E43" i="9"/>
  <c r="F43" i="9" s="1"/>
  <c r="E42" i="9"/>
  <c r="F42" i="9" s="1"/>
  <c r="E41" i="9"/>
  <c r="F41" i="9" s="1"/>
  <c r="E40" i="9"/>
  <c r="F40" i="9" s="1"/>
  <c r="E39" i="9"/>
  <c r="F39" i="9" s="1"/>
  <c r="E38" i="9"/>
  <c r="F38" i="9" s="1"/>
  <c r="E37" i="9"/>
  <c r="F37" i="9" s="1"/>
  <c r="E36" i="9"/>
  <c r="F36" i="9" s="1"/>
  <c r="E35" i="9"/>
  <c r="F35" i="9" s="1"/>
  <c r="E34" i="9"/>
  <c r="F34" i="9" s="1"/>
  <c r="E33" i="9"/>
  <c r="F33" i="9" s="1"/>
  <c r="E32" i="9"/>
  <c r="F32" i="9" s="1"/>
  <c r="E30" i="9"/>
  <c r="F30" i="9" s="1"/>
  <c r="E29" i="9"/>
  <c r="F29" i="9" s="1"/>
  <c r="E28" i="9"/>
  <c r="F28" i="9" s="1"/>
  <c r="E27" i="9"/>
  <c r="F27" i="9" s="1"/>
  <c r="E26" i="9"/>
  <c r="F26" i="9" s="1"/>
  <c r="E23" i="9"/>
  <c r="F23" i="9" s="1"/>
  <c r="E22" i="9"/>
  <c r="F22" i="9" s="1"/>
  <c r="E21" i="9"/>
  <c r="F21" i="9" s="1"/>
  <c r="E20" i="9"/>
  <c r="F20" i="9" s="1"/>
  <c r="E19" i="9"/>
  <c r="F19" i="9" s="1"/>
  <c r="E18" i="9"/>
  <c r="F18" i="9" s="1"/>
  <c r="E17" i="9"/>
  <c r="F17" i="9" s="1"/>
  <c r="E16" i="9"/>
  <c r="F16" i="9" s="1"/>
  <c r="E14" i="9"/>
  <c r="F14" i="9" s="1"/>
  <c r="E12" i="9"/>
  <c r="F12" i="9" s="1"/>
  <c r="E11" i="9"/>
  <c r="F11" i="9" s="1"/>
  <c r="E10" i="9"/>
  <c r="F10" i="9" s="1"/>
  <c r="E8" i="9"/>
  <c r="F8" i="9" s="1"/>
  <c r="E7" i="9"/>
  <c r="F7" i="9" s="1"/>
  <c r="E6" i="9"/>
  <c r="F6" i="9" s="1"/>
  <c r="E5" i="9"/>
  <c r="F5" i="9" s="1"/>
  <c r="B74" i="3"/>
  <c r="B73" i="3"/>
  <c r="S65" i="3"/>
  <c r="K62" i="3"/>
  <c r="S61" i="3"/>
  <c r="Q61" i="3"/>
  <c r="U61" i="3" s="1"/>
  <c r="O61" i="3"/>
  <c r="M61" i="3"/>
  <c r="S60" i="3"/>
  <c r="Q60" i="3" s="1"/>
  <c r="U60" i="3" s="1"/>
  <c r="O60" i="3"/>
  <c r="M60" i="3"/>
  <c r="S59" i="3"/>
  <c r="Q59" i="3" s="1"/>
  <c r="U59" i="3" s="1"/>
  <c r="O59" i="3"/>
  <c r="M59" i="3"/>
  <c r="U58" i="3"/>
  <c r="S58" i="3"/>
  <c r="Q58" i="3"/>
  <c r="O58" i="3"/>
  <c r="M58" i="3"/>
  <c r="S57" i="3"/>
  <c r="Q57" i="3"/>
  <c r="U57" i="3" s="1"/>
  <c r="O57" i="3"/>
  <c r="M57" i="3"/>
  <c r="S56" i="3"/>
  <c r="Q56" i="3" s="1"/>
  <c r="U56" i="3" s="1"/>
  <c r="O56" i="3"/>
  <c r="M56" i="3"/>
  <c r="I56" i="3"/>
  <c r="S55" i="3"/>
  <c r="Q55" i="3" s="1"/>
  <c r="U55" i="3" s="1"/>
  <c r="O55" i="3"/>
  <c r="M55" i="3"/>
  <c r="I55" i="3"/>
  <c r="S54" i="3"/>
  <c r="Q54" i="3" s="1"/>
  <c r="U54" i="3" s="1"/>
  <c r="O54" i="3"/>
  <c r="M54" i="3"/>
  <c r="I54" i="3"/>
  <c r="S53" i="3"/>
  <c r="Q53" i="3" s="1"/>
  <c r="U53" i="3" s="1"/>
  <c r="O53" i="3"/>
  <c r="M53" i="3"/>
  <c r="I53" i="3"/>
  <c r="S52" i="3"/>
  <c r="Q52" i="3" s="1"/>
  <c r="U52" i="3" s="1"/>
  <c r="O52" i="3"/>
  <c r="M52" i="3"/>
  <c r="I52" i="3"/>
  <c r="S51" i="3"/>
  <c r="Q51" i="3" s="1"/>
  <c r="U51" i="3" s="1"/>
  <c r="O51" i="3"/>
  <c r="M51" i="3"/>
  <c r="I51" i="3"/>
  <c r="S50" i="3"/>
  <c r="Q50" i="3" s="1"/>
  <c r="U50" i="3" s="1"/>
  <c r="O50" i="3"/>
  <c r="M50" i="3"/>
  <c r="I50" i="3"/>
  <c r="S49" i="3"/>
  <c r="Q49" i="3" s="1"/>
  <c r="U49" i="3" s="1"/>
  <c r="O49" i="3"/>
  <c r="M49" i="3"/>
  <c r="I49" i="3"/>
  <c r="S48" i="3"/>
  <c r="Q48" i="3" s="1"/>
  <c r="U48" i="3" s="1"/>
  <c r="O48" i="3"/>
  <c r="M48" i="3"/>
  <c r="I48" i="3"/>
  <c r="S47" i="3"/>
  <c r="Q47" i="3" s="1"/>
  <c r="U47" i="3" s="1"/>
  <c r="O47" i="3"/>
  <c r="M47" i="3"/>
  <c r="I47" i="3"/>
  <c r="S46" i="3"/>
  <c r="Q46" i="3" s="1"/>
  <c r="U46" i="3" s="1"/>
  <c r="O46" i="3"/>
  <c r="M46" i="3"/>
  <c r="I46" i="3"/>
  <c r="S45" i="3"/>
  <c r="Q45" i="3" s="1"/>
  <c r="U45" i="3" s="1"/>
  <c r="O45" i="3"/>
  <c r="M45" i="3"/>
  <c r="I45" i="3"/>
  <c r="S44" i="3"/>
  <c r="Q44" i="3" s="1"/>
  <c r="U44" i="3" s="1"/>
  <c r="O44" i="3"/>
  <c r="M44" i="3"/>
  <c r="I44" i="3"/>
  <c r="S43" i="3"/>
  <c r="Q43" i="3" s="1"/>
  <c r="U43" i="3" s="1"/>
  <c r="O43" i="3"/>
  <c r="M43" i="3"/>
  <c r="I43" i="3"/>
  <c r="S42" i="3"/>
  <c r="Q42" i="3" s="1"/>
  <c r="U42" i="3" s="1"/>
  <c r="O42" i="3"/>
  <c r="M42" i="3"/>
  <c r="I42" i="3"/>
  <c r="S41" i="3"/>
  <c r="Q41" i="3" s="1"/>
  <c r="U41" i="3" s="1"/>
  <c r="O41" i="3"/>
  <c r="M41" i="3"/>
  <c r="I41" i="3"/>
  <c r="S40" i="3"/>
  <c r="Q40" i="3" s="1"/>
  <c r="U40" i="3" s="1"/>
  <c r="O40" i="3"/>
  <c r="M40" i="3"/>
  <c r="I40" i="3"/>
  <c r="H40" i="3"/>
  <c r="O39" i="3"/>
  <c r="M39" i="3"/>
  <c r="I39" i="3"/>
  <c r="S38" i="3"/>
  <c r="Q38" i="3" s="1"/>
  <c r="U38" i="3" s="1"/>
  <c r="O38" i="3"/>
  <c r="M38" i="3"/>
  <c r="I38" i="3"/>
  <c r="S37" i="3"/>
  <c r="Q37" i="3"/>
  <c r="U37" i="3" s="1"/>
  <c r="O37" i="3"/>
  <c r="M37" i="3"/>
  <c r="I37" i="3"/>
  <c r="S36" i="3"/>
  <c r="Q36" i="3" s="1"/>
  <c r="U36" i="3" s="1"/>
  <c r="O36" i="3"/>
  <c r="M36" i="3"/>
  <c r="I36" i="3"/>
  <c r="O35" i="3"/>
  <c r="M35" i="3"/>
  <c r="I35" i="3"/>
  <c r="S34" i="3"/>
  <c r="Q34" i="3" s="1"/>
  <c r="U34" i="3" s="1"/>
  <c r="O34" i="3"/>
  <c r="M34" i="3"/>
  <c r="I34" i="3"/>
  <c r="W33" i="3"/>
  <c r="I33" i="3"/>
  <c r="M33" i="3" s="1"/>
  <c r="S32" i="3"/>
  <c r="Q32" i="3" s="1"/>
  <c r="U32" i="3" s="1"/>
  <c r="O32" i="3"/>
  <c r="M32" i="3"/>
  <c r="I32" i="3"/>
  <c r="S31" i="3"/>
  <c r="Q31" i="3"/>
  <c r="U31" i="3" s="1"/>
  <c r="O31" i="3"/>
  <c r="M31" i="3"/>
  <c r="I31" i="3"/>
  <c r="S30" i="3"/>
  <c r="Q30" i="3" s="1"/>
  <c r="U30" i="3" s="1"/>
  <c r="O30" i="3"/>
  <c r="M30" i="3"/>
  <c r="I30" i="3"/>
  <c r="S29" i="3"/>
  <c r="Q29" i="3"/>
  <c r="U29" i="3" s="1"/>
  <c r="O29" i="3"/>
  <c r="M29" i="3"/>
  <c r="I29" i="3"/>
  <c r="S28" i="3"/>
  <c r="O28" i="3"/>
  <c r="M28" i="3"/>
  <c r="I28" i="3"/>
  <c r="S27" i="3"/>
  <c r="M27" i="3"/>
  <c r="O27" i="3" s="1"/>
  <c r="Q27" i="3" s="1"/>
  <c r="U27" i="3" s="1"/>
  <c r="I27" i="3"/>
  <c r="S26" i="3"/>
  <c r="M26" i="3"/>
  <c r="O26" i="3" s="1"/>
  <c r="I26" i="3"/>
  <c r="S25" i="3"/>
  <c r="O25" i="3"/>
  <c r="Q25" i="3" s="1"/>
  <c r="U25" i="3" s="1"/>
  <c r="M25" i="3"/>
  <c r="I25" i="3"/>
  <c r="H24" i="3"/>
  <c r="I24" i="3" s="1"/>
  <c r="S23" i="3"/>
  <c r="O23" i="3"/>
  <c r="M23" i="3"/>
  <c r="I23" i="3"/>
  <c r="S22" i="3"/>
  <c r="M22" i="3"/>
  <c r="O22" i="3" s="1"/>
  <c r="Q22" i="3" s="1"/>
  <c r="U22" i="3" s="1"/>
  <c r="I22" i="3"/>
  <c r="S21" i="3"/>
  <c r="M21" i="3"/>
  <c r="O21" i="3" s="1"/>
  <c r="I21" i="3"/>
  <c r="S20" i="3"/>
  <c r="O20" i="3"/>
  <c r="Q20" i="3" s="1"/>
  <c r="U20" i="3" s="1"/>
  <c r="M20" i="3"/>
  <c r="I20" i="3"/>
  <c r="S19" i="3"/>
  <c r="M19" i="3"/>
  <c r="O19" i="3" s="1"/>
  <c r="I19" i="3"/>
  <c r="S18" i="3"/>
  <c r="Q18" i="3"/>
  <c r="U18" i="3" s="1"/>
  <c r="O18" i="3"/>
  <c r="M18" i="3"/>
  <c r="I18" i="3"/>
  <c r="S17" i="3"/>
  <c r="Q17" i="3" s="1"/>
  <c r="U17" i="3" s="1"/>
  <c r="O17" i="3"/>
  <c r="M17" i="3"/>
  <c r="I17" i="3"/>
  <c r="S16" i="3"/>
  <c r="Q16" i="3" s="1"/>
  <c r="O16" i="3"/>
  <c r="M16" i="3"/>
  <c r="I16" i="3"/>
  <c r="S15" i="3"/>
  <c r="Q15" i="3"/>
  <c r="U15" i="3" s="1"/>
  <c r="O15" i="3"/>
  <c r="M15" i="3"/>
  <c r="I15" i="3"/>
  <c r="S14" i="3"/>
  <c r="Q14" i="3" s="1"/>
  <c r="U14" i="3" s="1"/>
  <c r="O14" i="3"/>
  <c r="M14" i="3"/>
  <c r="I14" i="3"/>
  <c r="S13" i="3"/>
  <c r="Q13" i="3"/>
  <c r="U13" i="3" s="1"/>
  <c r="O13" i="3"/>
  <c r="M13" i="3"/>
  <c r="I13" i="3"/>
  <c r="S12" i="3"/>
  <c r="Q12" i="3" s="1"/>
  <c r="U12" i="3" s="1"/>
  <c r="O12" i="3"/>
  <c r="M12" i="3"/>
  <c r="I12" i="3"/>
  <c r="S11" i="3"/>
  <c r="Q11" i="3"/>
  <c r="U11" i="3" s="1"/>
  <c r="O11" i="3"/>
  <c r="M11" i="3"/>
  <c r="I11" i="3"/>
  <c r="G59" i="1"/>
  <c r="E59" i="1"/>
  <c r="C59" i="1"/>
  <c r="G58" i="1"/>
  <c r="E58" i="1"/>
  <c r="C58" i="1"/>
  <c r="G57" i="1"/>
  <c r="C57" i="1"/>
  <c r="G56" i="1"/>
  <c r="C56" i="1"/>
  <c r="G55" i="1"/>
  <c r="C55" i="1"/>
  <c r="G54" i="1"/>
  <c r="C54" i="1"/>
  <c r="G53" i="1"/>
  <c r="C53" i="1"/>
  <c r="G52" i="1"/>
  <c r="C52" i="1"/>
  <c r="G51" i="1"/>
  <c r="C51" i="1"/>
  <c r="G50" i="1"/>
  <c r="C50" i="1"/>
  <c r="G49" i="1"/>
  <c r="C49" i="1"/>
  <c r="G48" i="1"/>
  <c r="C48" i="1"/>
  <c r="G47" i="1"/>
  <c r="C47" i="1"/>
  <c r="G46" i="1"/>
  <c r="C46" i="1"/>
  <c r="G45" i="1"/>
  <c r="C45" i="1"/>
  <c r="G44" i="1"/>
  <c r="C44" i="1"/>
  <c r="G43" i="1"/>
  <c r="C43" i="1"/>
  <c r="G42" i="1"/>
  <c r="C42" i="1"/>
  <c r="G41" i="1"/>
  <c r="C41" i="1"/>
  <c r="G40" i="1"/>
  <c r="E40" i="1"/>
  <c r="C40" i="1"/>
  <c r="G39" i="1"/>
  <c r="C39" i="1"/>
  <c r="G38" i="1"/>
  <c r="C38" i="1"/>
  <c r="G37" i="1"/>
  <c r="C37" i="1"/>
  <c r="G36" i="1"/>
  <c r="C36" i="1"/>
  <c r="G35" i="1"/>
  <c r="C35" i="1"/>
  <c r="G34" i="1"/>
  <c r="C34" i="1"/>
  <c r="G33" i="1"/>
  <c r="C33" i="1"/>
  <c r="G32" i="1"/>
  <c r="G31" i="1"/>
  <c r="C31" i="1"/>
  <c r="G30" i="1"/>
  <c r="C30" i="1"/>
  <c r="G29" i="1"/>
  <c r="C29" i="1"/>
  <c r="G28" i="1"/>
  <c r="C28" i="1"/>
  <c r="G27" i="1"/>
  <c r="C27" i="1"/>
  <c r="G26" i="1"/>
  <c r="C26" i="1"/>
  <c r="G25" i="1"/>
  <c r="C25" i="1"/>
  <c r="G24" i="1"/>
  <c r="C24" i="1"/>
  <c r="G23" i="1"/>
  <c r="G22" i="1"/>
  <c r="C22" i="1"/>
  <c r="G21" i="1"/>
  <c r="C21" i="1"/>
  <c r="G20" i="1"/>
  <c r="C20" i="1"/>
  <c r="G19" i="1"/>
  <c r="C19" i="1"/>
  <c r="G18" i="1"/>
  <c r="C18" i="1"/>
  <c r="G17" i="1"/>
  <c r="C17" i="1"/>
  <c r="G16" i="1"/>
  <c r="C16" i="1"/>
  <c r="G15" i="1"/>
  <c r="C15" i="1"/>
  <c r="G14" i="1"/>
  <c r="C14" i="1"/>
  <c r="G13" i="1"/>
  <c r="C13" i="1"/>
  <c r="G12" i="1"/>
  <c r="E12" i="1"/>
  <c r="C12" i="1"/>
  <c r="G11" i="1"/>
  <c r="E11" i="1"/>
  <c r="C11" i="1"/>
  <c r="G10" i="1"/>
  <c r="E10" i="1"/>
  <c r="C10" i="1"/>
  <c r="K7" i="1"/>
  <c r="H7" i="1"/>
  <c r="C7" i="1"/>
  <c r="C5" i="1"/>
  <c r="C23" i="1" l="1"/>
  <c r="M24" i="3"/>
  <c r="O24" i="3" s="1"/>
  <c r="Q23" i="3"/>
  <c r="U23" i="3" s="1"/>
  <c r="Q21" i="3"/>
  <c r="U21" i="3" s="1"/>
  <c r="Q26" i="3"/>
  <c r="U26" i="3" s="1"/>
  <c r="Q28" i="3"/>
  <c r="U28" i="3" s="1"/>
  <c r="Q19" i="3"/>
  <c r="U19" i="3" s="1"/>
  <c r="S33" i="3"/>
  <c r="S35" i="3"/>
  <c r="Q35" i="3" s="1"/>
  <c r="U35" i="3" s="1"/>
  <c r="S39" i="3"/>
  <c r="Q39" i="3" s="1"/>
  <c r="U39" i="3" s="1"/>
  <c r="E31" i="9"/>
  <c r="F31" i="9" s="1"/>
  <c r="H4" i="6"/>
  <c r="H8" i="6"/>
  <c r="H10" i="6"/>
  <c r="H20" i="6"/>
  <c r="H22" i="6"/>
  <c r="G27" i="6"/>
  <c r="H27" i="6" s="1"/>
  <c r="M62" i="3"/>
  <c r="I62" i="3" s="1"/>
  <c r="O33" i="3"/>
  <c r="C32" i="1"/>
  <c r="S24" i="3" l="1"/>
  <c r="E15" i="9"/>
  <c r="F15" i="9" s="1"/>
  <c r="Q33" i="3"/>
  <c r="O62" i="3"/>
  <c r="Q62" i="3" l="1"/>
  <c r="Q24" i="3"/>
  <c r="U24" i="3" s="1"/>
  <c r="S62" i="3"/>
  <c r="U33" i="3"/>
  <c r="U62" i="3" s="1"/>
</calcChain>
</file>

<file path=xl/connections.xml><?xml version="1.0" encoding="utf-8"?>
<connections xmlns="http://schemas.openxmlformats.org/spreadsheetml/2006/main">
  <connection id="1" name="LinkedTable_InvoiceTable" type="102" refreshedVersion="6" minRefreshableVersion="5">
    <extLst>
      <ext xmlns:x15="http://schemas.microsoft.com/office/spreadsheetml/2010/11/main" uri="{DE250136-89BD-433C-8126-D09CA5730AF9}">
        <x15:connection id="InvoiceTable">
          <x15:rangePr sourceName="_xlcn.LinkedTable_InvoiceTable1"/>
        </x15:connection>
      </ext>
    </extLst>
  </connection>
  <connection id="2" name="LinkedTable_POLineTable" type="102" refreshedVersion="6" minRefreshableVersion="5">
    <extLst>
      <ext xmlns:x15="http://schemas.microsoft.com/office/spreadsheetml/2010/11/main" uri="{DE250136-89BD-433C-8126-D09CA5730AF9}">
        <x15:connection id="POLineTable">
          <x15:rangePr sourceName="_xlcn.LinkedTable_POLineTable1"/>
        </x15:connection>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<sst xmlns="http://schemas.openxmlformats.org/spreadsheetml/2006/main" count="472" uniqueCount="118">
  <si>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</si>
  <si>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</si>
  <si>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</si>
  <si>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</si>
  <si>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</si>
  <si>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</si>
  <si>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</si>
  <si>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</si>
  <si>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</si>
  <si>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</si>
  <si>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</si>
  <si>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</si>
  <si>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</si>
  <si>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</si>
  <si>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</si>
  <si>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</si>
  <si>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</si>
  <si>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</si>
  <si>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</si>
  <si>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</si>
  <si>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</si>
  <si>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</si>
  <si>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</si>
  <si>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</si>
  <si>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</si>
  <si>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</si>
  <si>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</si>
  <si>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</si>
  <si>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</si>
  <si>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</si>
  <si>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</si>
  <si>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</si>
  <si>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</si>
  <si>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</si>
  <si>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</si>
  <si>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</si>
  <si>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</si>
  <si>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</si>
  <si>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</si>
  <si>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</si>
  <si>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</si>
  <si>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</si>
  <si>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</si>
  <si>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</si>
  <si>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</si>
  <si>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</si>
  <si>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</si>
  <si>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</si>
  <si>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</si>
  <si>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</si>
  <si>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</si>
  <si>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</si>
  <si>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</si>
  <si>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</si>
  <si>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</si>
  <si>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</si>
  <si>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</si>
  <si>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</si>
  <si>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</si>
  <si>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</si>
  <si>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</si>
  <si>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</si>
  <si>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</si>
  <si>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</si>
  <si>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</si>
  <si>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</si>
  <si>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</si>
  <si>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</si>
  <si>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</si>
  <si>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</si>
  <si>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</si>
  <si>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</si>
  <si>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</si>
  <si>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</si>
  <si>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</si>
  <si>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</si>
  <si>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</si>
  <si>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</si>
  <si>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</si>
  <si>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</si>
  <si>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</si>
  <si>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</si>
  <si>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</si>
  <si>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</si>
  <si>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</si>
  <si>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</si>
  <si>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</si>
  <si>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</si>
  <si>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</si>
  <si>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</si>
  <si>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</si>
  <si>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</si>
  <si>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</si>
  <si>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</si>
  <si>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</si>
  <si>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</si>
  <si>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t>
  </si>
  <si>
    <t>Invoice Date</t>
  </si>
  <si>
    <t>Invoice Amount</t>
  </si>
  <si>
    <t>MOD 006: Recipe Modification (Cavities 9-16)</t>
  </si>
  <si>
    <t/>
  </si>
  <si>
    <t>Fitzpatrick</t>
  </si>
  <si>
    <t>Act Complete Date</t>
  </si>
  <si>
    <t>Invoice Approval Date</t>
  </si>
  <si>
    <t>NOTES</t>
  </si>
  <si>
    <t>Amount Approved</t>
  </si>
  <si>
    <t>Dollar Approved</t>
  </si>
  <si>
    <t>Approval Date</t>
  </si>
  <si>
    <t>Notes</t>
  </si>
  <si>
    <t>Cavities 200-203</t>
  </si>
  <si>
    <t>Cavities 204-207</t>
  </si>
  <si>
    <t>Payments</t>
  </si>
  <si>
    <t>Balance</t>
  </si>
  <si>
    <t>MOD 007: Recipe Mod (Cavs 17-133) $3547.1/ea</t>
  </si>
  <si>
    <t>MOD 002: Support of DESY EQUIPMENT (7,621/mo)</t>
  </si>
  <si>
    <t>MOD 008: Right Angle Valves</t>
  </si>
  <si>
    <t>FEBRUARY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</si>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</sst>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m/d/yyyy;@"/>
    <numFmt numFmtId="165" formatCode="0.0%"/>
    <numFmt numFmtId="166" formatCode="m/d/yy;@"/>
    <numFmt numFmtId="167" formatCode="0.00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sz val="10"/>
      <color theme="1"/>
      <name val="Arial"/>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patternFill patternType="solid">
        <fgColor theme="0" tint="-0.14999847407452621"/>
        <bgColor theme="0" tint="-0.1499984740745262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5" xfId="0" applyFont="1" applyBorder="1" applyAlignment="1">
      <alignment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10" fontId="8" fillId="0" borderId="1" xfId="1" applyNumberFormat="1" applyFont="1" applyFill="1" applyBorder="1" applyAlignment="1" applyProtection="1">
      <alignment horizontal="center"/>
      <protection locked="0"/>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8" fillId="0" borderId="5" xfId="2" quotePrefix="1" applyFont="1" applyFill="1" applyBorder="1" applyAlignment="1">
      <alignment vertical="center" wrapText="1"/>
    </xf>
    <xf numFmtId="0" fontId="0" fillId="0" borderId="0" xfId="0" applyAlignment="1">
      <alignment horizontal="center"/>
    </xf>
    <xf numFmtId="10" fontId="8" fillId="0" borderId="2" xfId="1" applyNumberFormat="1" applyFont="1" applyBorder="1" applyAlignment="1" applyProtection="1">
      <alignment horizontal="center"/>
      <protection locked="0"/>
    </xf>
    <xf numFmtId="0" fontId="8" fillId="0" borderId="7" xfId="0" applyFont="1" applyBorder="1" applyProtection="1">
      <protection locked="0"/>
    </xf>
    <xf numFmtId="4" fontId="8" fillId="0" borderId="2" xfId="0" applyNumberFormat="1" applyFont="1" applyBorder="1" applyProtection="1">
      <protection locked="0"/>
    </xf>
    <xf numFmtId="10" fontId="8" fillId="0" borderId="1" xfId="1" applyNumberFormat="1" applyFont="1" applyBorder="1" applyAlignment="1" applyProtection="1">
      <alignment horizontal="center"/>
      <protection locked="0"/>
    </xf>
    <xf numFmtId="4" fontId="8" fillId="0" borderId="1" xfId="0" applyNumberFormat="1" applyFont="1" applyBorder="1" applyProtection="1">
      <protection locked="0"/>
    </xf>
    <xf numFmtId="44" fontId="8" fillId="0" borderId="2" xfId="14" applyFont="1" applyFill="1" applyBorder="1" applyAlignment="1">
      <alignment vertical="center" wrapText="1"/>
    </xf>
    <xf numFmtId="10" fontId="8" fillId="0" borderId="2" xfId="1" applyNumberFormat="1" applyFont="1" applyFill="1" applyBorder="1" applyAlignment="1" applyProtection="1">
      <alignment horizontal="center"/>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166" fontId="8" fillId="0" borderId="9" xfId="2" applyNumberFormat="1" applyFont="1" applyFill="1" applyBorder="1" applyAlignment="1">
      <alignment horizontal="center" vertical="center" wrapText="1"/>
    </xf>
    <xf numFmtId="166" fontId="8" fillId="0" borderId="9" xfId="0" applyNumberFormat="1" applyFont="1" applyBorder="1" applyAlignment="1">
      <alignment horizontal="center" wrapText="1"/>
    </xf>
    <xf numFmtId="4" fontId="0" fillId="0" borderId="0" xfId="0" applyNumberFormat="1"/>
    <xf numFmtId="44" fontId="0" fillId="0" borderId="0" xfId="0" applyNumberFormat="1"/>
    <xf numFmtId="0" fontId="0" fillId="0" borderId="0" xfId="0" applyAlignment="1">
      <alignment horizontal="center"/>
    </xf>
    <xf numFmtId="9" fontId="8" fillId="0" borderId="2" xfId="1" applyFont="1" applyFill="1" applyBorder="1" applyAlignment="1">
      <alignment horizontal="center" wrapText="1"/>
    </xf>
    <xf numFmtId="9" fontId="8" fillId="0" borderId="1" xfId="1" applyFont="1" applyFill="1" applyBorder="1" applyAlignment="1">
      <alignment horizontal="center" wrapText="1"/>
    </xf>
    <xf numFmtId="9" fontId="8" fillId="0" borderId="1" xfId="1" applyFont="1" applyFill="1" applyBorder="1" applyAlignment="1">
      <alignment horizontal="center" vertical="center" wrapText="1"/>
    </xf>
    <xf numFmtId="9" fontId="8" fillId="0" borderId="2" xfId="1" applyFont="1" applyFill="1" applyBorder="1" applyAlignment="1">
      <alignment horizontal="center" vertical="center" wrapText="1"/>
    </xf>
    <xf numFmtId="9" fontId="8" fillId="0" borderId="1" xfId="1" applyFont="1" applyBorder="1" applyAlignment="1">
      <alignment horizontal="center" wrapText="1"/>
    </xf>
    <xf numFmtId="10" fontId="8" fillId="9" borderId="1" xfId="1" applyNumberFormat="1" applyFont="1" applyFill="1" applyBorder="1" applyAlignment="1" applyProtection="1">
      <alignment horizontal="center"/>
      <protection locked="0"/>
    </xf>
    <xf numFmtId="0" fontId="0" fillId="0" borderId="0" xfId="0" applyAlignment="1">
      <alignment horizontal="center"/>
    </xf>
    <xf numFmtId="0" fontId="0" fillId="0" borderId="0" xfId="0" applyAlignment="1">
      <alignment vertical="center" wrapText="1"/>
    </xf>
    <xf numFmtId="44" fontId="0" fillId="0" borderId="0" xfId="16" applyFont="1" applyAlignment="1">
      <alignment horizontal="center"/>
    </xf>
    <xf numFmtId="0" fontId="12" fillId="12" borderId="5" xfId="0" applyFont="1" applyFill="1" applyBorder="1"/>
    <xf numFmtId="0" fontId="12" fillId="11" borderId="10" xfId="0" applyFont="1" applyFill="1" applyBorder="1"/>
    <xf numFmtId="4" fontId="12" fillId="11" borderId="10" xfId="0" applyNumberFormat="1" applyFont="1" applyFill="1" applyBorder="1"/>
    <xf numFmtId="4" fontId="12" fillId="12" borderId="10" xfId="0" applyNumberFormat="1" applyFont="1" applyFill="1" applyBorder="1"/>
    <xf numFmtId="14" fontId="12" fillId="10" borderId="12" xfId="0" applyNumberFormat="1" applyFont="1" applyFill="1" applyBorder="1" applyAlignment="1">
      <alignment horizontal="center"/>
    </xf>
    <xf numFmtId="44" fontId="12" fillId="10" borderId="12" xfId="16" applyNumberFormat="1" applyFont="1" applyFill="1" applyBorder="1"/>
    <xf numFmtId="0" fontId="12" fillId="10" borderId="12" xfId="0" applyFont="1" applyFill="1" applyBorder="1"/>
    <xf numFmtId="9" fontId="12" fillId="10" borderId="12" xfId="1" applyNumberFormat="1" applyFont="1" applyFill="1" applyBorder="1"/>
    <xf numFmtId="14" fontId="12" fillId="10" borderId="12" xfId="1" applyNumberFormat="1" applyFont="1" applyFill="1" applyBorder="1"/>
    <xf numFmtId="0" fontId="12" fillId="10" borderId="12" xfId="0" applyFont="1" applyFill="1" applyBorder="1" applyAlignment="1">
      <alignment horizontal="center"/>
    </xf>
    <xf numFmtId="14" fontId="12" fillId="0" borderId="12" xfId="0" applyNumberFormat="1" applyFont="1" applyBorder="1" applyAlignment="1">
      <alignment horizontal="center"/>
    </xf>
    <xf numFmtId="44" fontId="12" fillId="0" borderId="12" xfId="16" applyNumberFormat="1" applyFont="1" applyBorder="1"/>
    <xf numFmtId="0" fontId="12" fillId="0" borderId="12" xfId="0" applyFont="1" applyBorder="1"/>
    <xf numFmtId="9" fontId="12" fillId="0" borderId="12" xfId="1" applyNumberFormat="1" applyFont="1" applyBorder="1"/>
    <xf numFmtId="14" fontId="12" fillId="0" borderId="12" xfId="1" applyNumberFormat="1" applyFont="1" applyBorder="1"/>
    <xf numFmtId="0" fontId="12" fillId="0" borderId="12" xfId="0" applyFont="1" applyBorder="1" applyAlignment="1">
      <alignment horizontal="center"/>
    </xf>
    <xf numFmtId="44" fontId="12" fillId="0" borderId="12" xfId="16" applyNumberFormat="1" applyFont="1" applyBorder="1" applyAlignment="1">
      <alignment horizontal="center"/>
    </xf>
    <xf numFmtId="44" fontId="12" fillId="10" borderId="12" xfId="16" applyNumberFormat="1" applyFont="1" applyFill="1" applyBorder="1" applyAlignment="1">
      <alignment horizontal="center"/>
    </xf>
    <xf numFmtId="0" fontId="12" fillId="12" borderId="10" xfId="0" applyFont="1" applyFill="1" applyBorder="1"/>
    <xf numFmtId="0" fontId="15" fillId="13" borderId="0" xfId="0" applyFont="1" applyFill="1" applyBorder="1" applyAlignment="1">
      <alignment horizontal="center" wrapText="1"/>
    </xf>
    <xf numFmtId="0" fontId="15" fillId="13" borderId="11" xfId="0" applyFont="1" applyFill="1" applyBorder="1" applyAlignment="1">
      <alignment horizontal="center" wrapText="1"/>
    </xf>
    <xf numFmtId="0" fontId="0" fillId="0" borderId="0" xfId="0" applyAlignment="1">
      <alignment horizontal="center"/>
    </xf>
    <xf numFmtId="44" fontId="8" fillId="9" borderId="1" xfId="16" applyFont="1" applyFill="1" applyBorder="1" applyAlignment="1" applyProtection="1">
      <alignment horizontal="center"/>
      <protection locked="0"/>
    </xf>
    <xf numFmtId="0" fontId="15" fillId="8" borderId="0" xfId="0" applyFont="1" applyFill="1" applyBorder="1" applyAlignment="1">
      <alignment horizontal="center" vertical="center" wrapText="1"/>
    </xf>
    <xf numFmtId="0" fontId="15" fillId="8" borderId="0" xfId="0" applyFont="1" applyFill="1" applyBorder="1" applyAlignment="1">
      <alignment vertical="center" wrapText="1"/>
    </xf>
    <xf numFmtId="4" fontId="0" fillId="3" borderId="1" xfId="0" applyNumberFormat="1" applyFont="1" applyFill="1" applyBorder="1" applyAlignment="1" applyProtection="1">
      <alignment wrapText="1"/>
      <protection locked="0"/>
    </xf>
    <xf numFmtId="44" fontId="8" fillId="0" borderId="2" xfId="16" applyFont="1" applyBorder="1" applyAlignment="1" applyProtection="1">
      <alignment horizontal="center"/>
      <protection locked="0"/>
    </xf>
    <xf numFmtId="44" fontId="8" fillId="0" borderId="1" xfId="16" applyFont="1" applyBorder="1" applyAlignment="1" applyProtection="1">
      <alignment horizontal="center"/>
      <protection locked="0"/>
    </xf>
    <xf numFmtId="44" fontId="8" fillId="0" borderId="1" xfId="16" applyFont="1" applyFill="1" applyBorder="1" applyAlignment="1" applyProtection="1">
      <alignment horizontal="center"/>
      <protection locked="0"/>
    </xf>
    <xf numFmtId="44" fontId="8" fillId="0" borderId="2" xfId="16" applyFont="1" applyFill="1" applyBorder="1" applyAlignment="1" applyProtection="1">
      <alignment horizontal="center"/>
      <protection locked="0"/>
    </xf>
    <xf numFmtId="167" fontId="0" fillId="0" borderId="0" xfId="0" applyNumberFormat="1"/>
    <xf numFmtId="0" fontId="19" fillId="10" borderId="12" xfId="0" applyFont="1" applyFill="1" applyBorder="1" applyAlignment="1">
      <alignment horizontal="center"/>
    </xf>
    <xf numFmtId="14" fontId="19" fillId="10" borderId="12" xfId="0" applyNumberFormat="1" applyFont="1" applyFill="1" applyBorder="1" applyAlignment="1">
      <alignment horizontal="center"/>
    </xf>
    <xf numFmtId="44" fontId="19" fillId="10" borderId="12" xfId="16" applyNumberFormat="1" applyFont="1" applyFill="1" applyBorder="1" applyAlignment="1">
      <alignment horizontal="center"/>
    </xf>
    <xf numFmtId="0" fontId="19" fillId="10" borderId="12" xfId="0" applyFont="1" applyFill="1" applyBorder="1"/>
    <xf numFmtId="9" fontId="19" fillId="10" borderId="12" xfId="1" applyNumberFormat="1" applyFont="1" applyFill="1" applyBorder="1"/>
    <xf numFmtId="14" fontId="19" fillId="10" borderId="12" xfId="1" applyNumberFormat="1" applyFont="1" applyFill="1" applyBorder="1"/>
    <xf numFmtId="44" fontId="19" fillId="10" borderId="12" xfId="16" applyNumberFormat="1" applyFont="1" applyFill="1" applyBorder="1"/>
    <xf numFmtId="0" fontId="20" fillId="10" borderId="0" xfId="0" applyFont="1" applyFill="1" applyBorder="1" applyAlignment="1">
      <alignment horizontal="center"/>
    </xf>
    <xf numFmtId="0" fontId="20" fillId="10" borderId="0" xfId="0" applyNumberFormat="1" applyFont="1" applyFill="1" applyBorder="1" applyAlignment="1">
      <alignment horizontal="center"/>
    </xf>
    <xf numFmtId="0" fontId="20" fillId="10" borderId="0" xfId="0" applyFont="1" applyFill="1" applyBorder="1"/>
    <xf numFmtId="0" fontId="20" fillId="10" borderId="0" xfId="0" applyNumberFormat="1" applyFont="1" applyFill="1" applyBorder="1"/>
    <xf numFmtId="44" fontId="20" fillId="10" borderId="0" xfId="0" applyNumberFormat="1" applyFont="1" applyFill="1" applyBorder="1"/>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4" fontId="0" fillId="11" borderId="10" xfId="0" applyNumberFormat="1" applyFont="1" applyFill="1" applyBorder="1"/>
    <xf numFmtId="166" fontId="21" fillId="12" borderId="10" xfId="2" applyNumberFormat="1" applyFont="1" applyFill="1" applyBorder="1" applyAlignment="1">
      <alignment horizontal="center" vertical="center" wrapText="1"/>
    </xf>
    <xf numFmtId="166" fontId="21" fillId="12" borderId="11" xfId="2" applyNumberFormat="1" applyFont="1" applyFill="1" applyBorder="1" applyAlignment="1">
      <alignment horizontal="center" vertical="center" wrapText="1"/>
    </xf>
    <xf numFmtId="4" fontId="21" fillId="11" borderId="10" xfId="0" applyNumberFormat="1" applyFont="1" applyFill="1" applyBorder="1"/>
    <xf numFmtId="4" fontId="21" fillId="11" borderId="11" xfId="0" applyNumberFormat="1" applyFont="1" applyFill="1" applyBorder="1"/>
    <xf numFmtId="0" fontId="21" fillId="12" borderId="10" xfId="0" applyFont="1" applyFill="1" applyBorder="1"/>
    <xf numFmtId="0" fontId="21" fillId="12" borderId="11" xfId="0" applyFont="1" applyFill="1" applyBorder="1"/>
    <xf numFmtId="0" fontId="21" fillId="12" borderId="2" xfId="0" applyFont="1" applyFill="1" applyBorder="1" applyAlignment="1">
      <alignment horizontal="left"/>
    </xf>
    <xf numFmtId="0" fontId="21" fillId="0" borderId="5" xfId="2" applyNumberFormat="1" applyFont="1" applyFill="1" applyBorder="1" applyAlignment="1">
      <alignment vertical="center"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1">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9" formatCode="m/d/yyyy"/>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externalLink" Target="externalLinks/externalLink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POLineTable" displayName="POLineTable" ref="A1:G53" totalsRowShown="0" headerRowDxfId="17" tableBorderDxfId="16">
  <autoFilter ref="A1:G53"/>
  <tableColumns count="7">
    <tableColumn id="1" name="PO Line #" dataDxfId="10"/>
    <tableColumn id="2" name="Description" dataDxfId="9" dataCellStyle="Normal 4"/>
    <tableColumn id="3" name="Est Date" dataDxfId="15" dataCellStyle="Normal 4"/>
    <tableColumn id="4" name="PO Line Total" dataDxfId="14" dataCellStyle="Currency 6"/>
    <tableColumn id="5" name="Payments" dataDxfId="13">
      <calculatedColumnFormula>SUMIF(Invoices!$I$2:$I$1048576,A2:$A$53,Invoices!$G$2:$G$2001)</calculatedColumnFormula>
    </tableColumn>
    <tableColumn id="6" name="Balance" dataDxfId="12">
      <calculatedColumnFormula>D2-E2</calculatedColumnFormula>
    </tableColumn>
    <tableColumn id="7" name="NOTES" dataDxfId="11"/>
  </tableColumns>
  <tableStyleInfo name="TableStyleLight9" showFirstColumn="0" showLastColumn="0" showRowStripes="1" showColumnStripes="0"/>
</table>
</file>

<file path=xl/tables/table2.xml><?xml version="1.0" encoding="utf-8"?>
<table xmlns="http://schemas.openxmlformats.org/spreadsheetml/2006/main" id="2" name="ZanonInvoices" displayName="ZanonInvoices" ref="A1:J28" totalsRowCount="1" headerRowDxfId="40" tableBorderDxfId="39">
  <autoFilter ref="A1:J27"/>
  <sortState ref="A2:I18">
    <sortCondition ref="A1:A18"/>
  </sortState>
  <tableColumns count="10">
    <tableColumn id="1" name="Invoice #" totalsRowLabel="Total" dataDxfId="38" totalsRowDxfId="37"/>
    <tableColumn id="2" name="Invoice Date" dataDxfId="36" totalsRowDxfId="35"/>
    <tableColumn id="3" name="Invoice Amount" dataDxfId="34" totalsRowDxfId="33" dataCellStyle="Currency"/>
    <tableColumn id="4" name="Description" dataDxfId="32" totalsRowDxfId="31"/>
    <tableColumn id="5" name="Amount Approved" dataDxfId="30" totalsRowDxfId="29" dataCellStyle="Percent"/>
    <tableColumn id="6" name="Approval Date" dataDxfId="28" totalsRowDxfId="27" dataCellStyle="Percent"/>
    <tableColumn id="7" name="Dollar Approved" totalsRowFunction="sum" dataDxfId="26" totalsRowDxfId="25" dataCellStyle="Currency">
      <calculatedColumnFormula>Invoices!$C2*Invoices!$E2</calculatedColumnFormula>
    </tableColumn>
    <tableColumn id="10" name="Balance" dataDxfId="24" totalsRowDxfId="23" dataCellStyle="Currency">
      <calculatedColumnFormula>ZanonInvoices[[#This Row],[Invoice Amount]]-ZanonInvoices[[#This Row],[Dollar Approved]]</calculatedColumnFormula>
    </tableColumn>
    <tableColumn id="8" name="PO Line #" dataDxfId="22" totalsRowDxfId="21"/>
    <tableColumn id="9" name="Notes" totalsRowFunction="count" dataDxfId="20" totalsRowDxfId="19"/>
  </tableColumns>
  <tableStyleInfo name="TableStyleMedium9" showFirstColumn="0" showLastColumn="0" showRowStripes="1" showColumnStripes="0"/>
</table>
</file>

<file path=xl/tables/table3.xml><?xml version="1.0" encoding="utf-8"?>
<table xmlns="http://schemas.openxmlformats.org/spreadsheetml/2006/main" id="1" name="Table1" displayName="Table1" ref="D3:D63" totalsRowShown="0">
  <autoFilter ref="D3:D63"/>
  <tableColumns count="1">
    <tableColumn id="1" name="Date" dataDxfId="18"/>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zoomScaleNormal="100" workbookViewId="0">
      <selection sqref="A1:L1"/>
    </sheetView>
  </sheetViews>
  <sheetFormatPr defaultColWidth="9.109375" defaultRowHeight="13.2" x14ac:dyDescent="0.25"/>
  <cols>
    <col min="1" max="1" width="8.6640625" style="14" customWidth="1"/>
    <col min="2" max="2" width="3.6640625" style="14" customWidth="1"/>
    <col min="3" max="3" width="9.88671875" style="14" customWidth="1"/>
    <col min="4" max="4" width="3.33203125" style="14" customWidth="1"/>
    <col min="5" max="5" width="7.88671875" style="19" customWidth="1"/>
    <col min="6" max="6" width="3.6640625" style="14" customWidth="1"/>
    <col min="7" max="7" width="9.109375" style="14" customWidth="1"/>
    <col min="8" max="8" width="10.44140625" style="14" customWidth="1"/>
    <col min="9" max="9" width="3.6640625" style="14" customWidth="1"/>
    <col min="10" max="10" width="14.5546875" style="14" customWidth="1"/>
    <col min="11" max="11" width="10.109375" style="14" bestFit="1" customWidth="1"/>
    <col min="12" max="16384" width="9.109375" style="14"/>
  </cols>
  <sheetData>
    <row r="1" spans="1:12" ht="15.6" x14ac:dyDescent="0.3">
      <c r="A1" s="177" t="s">
        <v>4</v>
      </c>
      <c r="B1" s="177"/>
      <c r="C1" s="177"/>
      <c r="D1" s="177"/>
      <c r="E1" s="177"/>
      <c r="F1" s="177"/>
      <c r="G1" s="177"/>
      <c r="H1" s="177"/>
      <c r="I1" s="177"/>
      <c r="J1" s="177"/>
      <c r="K1" s="177"/>
      <c r="L1" s="177"/>
    </row>
    <row r="2" spans="1:12" ht="15.6" x14ac:dyDescent="0.3">
      <c r="A2" s="177" t="s">
        <v>34</v>
      </c>
      <c r="B2" s="177"/>
      <c r="C2" s="177"/>
      <c r="D2" s="177"/>
      <c r="E2" s="177"/>
      <c r="F2" s="177"/>
      <c r="G2" s="177"/>
      <c r="H2" s="177"/>
      <c r="I2" s="177"/>
      <c r="J2" s="177"/>
      <c r="K2" s="177"/>
      <c r="L2" s="177"/>
    </row>
    <row r="3" spans="1:12" ht="15.6" x14ac:dyDescent="0.3">
      <c r="A3" s="177" t="s">
        <v>18</v>
      </c>
      <c r="B3" s="177"/>
      <c r="C3" s="177"/>
      <c r="D3" s="177"/>
      <c r="E3" s="177"/>
      <c r="F3" s="177"/>
      <c r="G3" s="177"/>
      <c r="H3" s="177"/>
      <c r="I3" s="177"/>
      <c r="J3" s="177"/>
      <c r="K3" s="177"/>
      <c r="L3" s="177"/>
    </row>
    <row r="4" spans="1:12" ht="27.75" customHeight="1" x14ac:dyDescent="0.3">
      <c r="A4" s="177"/>
      <c r="B4" s="177"/>
      <c r="C4" s="177"/>
      <c r="D4" s="177"/>
      <c r="E4" s="177"/>
      <c r="F4" s="177"/>
      <c r="G4" s="177"/>
      <c r="H4" s="177"/>
      <c r="I4" s="177"/>
      <c r="J4" s="177"/>
    </row>
    <row r="5" spans="1:12" ht="23.25" customHeight="1" x14ac:dyDescent="0.25">
      <c r="A5" s="13" t="s">
        <v>0</v>
      </c>
      <c r="B5" s="15"/>
      <c r="C5" s="27" t="str">
        <f>' Accting USE Data Entry Form'!$I$5</f>
        <v>Etorre Zanon</v>
      </c>
      <c r="D5" s="27"/>
      <c r="E5" s="51"/>
      <c r="F5" s="27"/>
      <c r="G5" s="27"/>
      <c r="H5" s="6"/>
      <c r="I5" s="15"/>
      <c r="J5" s="16"/>
      <c r="K5" s="17" t="s">
        <v>28</v>
      </c>
      <c r="L5" s="55" t="s">
        <v>47</v>
      </c>
    </row>
    <row r="6" spans="1:12" ht="24.75" customHeight="1" x14ac:dyDescent="0.25">
      <c r="G6" s="15"/>
      <c r="H6" s="15"/>
    </row>
    <row r="7" spans="1:12" x14ac:dyDescent="0.25">
      <c r="A7" s="14" t="s">
        <v>2</v>
      </c>
      <c r="B7" s="15"/>
      <c r="C7" s="27" t="str">
        <f>' Accting USE Data Entry Form'!$I$7</f>
        <v>15-C0753</v>
      </c>
      <c r="D7" s="27"/>
      <c r="E7" s="51"/>
      <c r="F7" s="27"/>
      <c r="G7" s="47" t="s">
        <v>41</v>
      </c>
      <c r="H7" s="6" t="str">
        <f>' Accting USE Data Entry Form'!$I$9</f>
        <v>Fitzpatrick</v>
      </c>
      <c r="I7" s="48"/>
      <c r="J7" s="18" t="s">
        <v>45</v>
      </c>
      <c r="K7" s="92">
        <f>' Accting USE Data Entry Form'!S5</f>
        <v>42794</v>
      </c>
      <c r="L7" s="28"/>
    </row>
    <row r="8" spans="1:12" x14ac:dyDescent="0.25">
      <c r="K8" s="19" t="s">
        <v>21</v>
      </c>
    </row>
    <row r="9" spans="1:12" s="21" customFormat="1" ht="34.5" customHeight="1" x14ac:dyDescent="0.25">
      <c r="A9" s="20" t="s">
        <v>1</v>
      </c>
      <c r="C9" s="45" t="s">
        <v>5</v>
      </c>
      <c r="D9" s="49"/>
      <c r="E9" s="50" t="s">
        <v>42</v>
      </c>
      <c r="G9" s="42" t="s">
        <v>33</v>
      </c>
      <c r="H9" s="22"/>
      <c r="I9" s="23"/>
      <c r="J9" s="23"/>
      <c r="K9" s="23"/>
      <c r="L9" s="23"/>
    </row>
    <row r="10" spans="1:12" x14ac:dyDescent="0.25">
      <c r="A10" s="7">
        <v>1</v>
      </c>
      <c r="C10" s="90">
        <f>IF(' Accting USE Data Entry Form'!I11&gt;0,' Accting USE Data Entry Form'!I11,0)</f>
        <v>1</v>
      </c>
      <c r="D10" s="57"/>
      <c r="E10" s="56" t="str">
        <f>IF($L$5="yes","X"," ")</f>
        <v xml:space="preserve"> </v>
      </c>
      <c r="G10" s="175" t="str">
        <f>IF(' Accting USE Data Entry Form'!B11&gt;0,' Accting USE Data Entry Form'!B11,"")</f>
        <v>Proof of completed furnace uprade</v>
      </c>
      <c r="H10" s="176"/>
      <c r="I10" s="176"/>
      <c r="J10" s="176"/>
      <c r="K10" s="176"/>
      <c r="L10" s="176"/>
    </row>
    <row r="11" spans="1:12" ht="13.2" customHeight="1" x14ac:dyDescent="0.25">
      <c r="A11" s="7">
        <v>2</v>
      </c>
      <c r="C11" s="90">
        <f>IF(' Accting USE Data Entry Form'!I12&gt;0,' Accting USE Data Entry Form'!I12,0)</f>
        <v>1</v>
      </c>
      <c r="D11" s="57"/>
      <c r="E11" s="56" t="str">
        <f>IF($L$5="yes","X"," ")</f>
        <v xml:space="preserve"> </v>
      </c>
      <c r="G11" s="175" t="str">
        <f>IF(' Accting USE Data Entry Form'!B12&gt;0,' Accting USE Data Entry Form'!B12,"")</f>
        <v>JLab Acceptance of nitrogen doping process - Cavity 1 (of 2)</v>
      </c>
      <c r="H11" s="176"/>
      <c r="I11" s="176"/>
      <c r="J11" s="176"/>
      <c r="K11" s="176"/>
      <c r="L11" s="176"/>
    </row>
    <row r="12" spans="1:12" ht="13.2" customHeight="1" x14ac:dyDescent="0.25">
      <c r="A12" s="7">
        <v>3</v>
      </c>
      <c r="C12" s="90">
        <f>IF(' Accting USE Data Entry Form'!I13&gt;0,' Accting USE Data Entry Form'!I13,0)</f>
        <v>1</v>
      </c>
      <c r="D12" s="57"/>
      <c r="E12" s="56" t="str">
        <f>IF($L$5="yes","X"," ")</f>
        <v xml:space="preserve"> </v>
      </c>
      <c r="G12" s="175" t="str">
        <f>IF(' Accting USE Data Entry Form'!B13&gt;0,' Accting USE Data Entry Form'!B13,"")</f>
        <v>JLab Acceptance of nitrogen doping process - Cavity 2 (of 2)</v>
      </c>
      <c r="H12" s="176"/>
      <c r="I12" s="176"/>
      <c r="J12" s="176"/>
      <c r="K12" s="176"/>
      <c r="L12" s="176"/>
    </row>
    <row r="13" spans="1:12" ht="13.2" customHeight="1" x14ac:dyDescent="0.25">
      <c r="A13" s="7">
        <v>4</v>
      </c>
      <c r="C13" s="90">
        <f>IF(' Accting USE Data Entry Form'!I14&gt;0,' Accting USE Data Entry Form'!I14,0)</f>
        <v>1</v>
      </c>
      <c r="D13" s="57"/>
      <c r="E13" s="56"/>
      <c r="G13" s="175" t="str">
        <f>IF(' Accting USE Data Entry Form'!B14&gt;0,' Accting USE Data Entry Form'!B14,"")</f>
        <v>Manufacturing Drawings released and accepted by JLab</v>
      </c>
      <c r="H13" s="176"/>
      <c r="I13" s="176"/>
      <c r="J13" s="176"/>
      <c r="K13" s="176"/>
      <c r="L13" s="176"/>
    </row>
    <row r="14" spans="1:12" ht="13.2" customHeight="1" x14ac:dyDescent="0.25">
      <c r="A14" s="7">
        <v>5</v>
      </c>
      <c r="C14" s="90">
        <f>IF(' Accting USE Data Entry Form'!I15&gt;0,' Accting USE Data Entry Form'!I15,0)</f>
        <v>1</v>
      </c>
      <c r="D14" s="57"/>
      <c r="E14" s="56"/>
      <c r="G14" s="175" t="str">
        <f>IF(' Accting USE Data Entry Form'!B15&gt;0,' Accting USE Data Entry Form'!B15,"")</f>
        <v>First Article Cavities Mechanical Pre-fab</v>
      </c>
      <c r="H14" s="176"/>
      <c r="I14" s="176"/>
      <c r="J14" s="176"/>
      <c r="K14" s="176"/>
      <c r="L14" s="176"/>
    </row>
    <row r="15" spans="1:12" ht="13.2" customHeight="1" x14ac:dyDescent="0.25">
      <c r="A15" s="7">
        <v>6</v>
      </c>
      <c r="C15" s="90">
        <f>IF(' Accting USE Data Entry Form'!I16&gt;0,' Accting USE Data Entry Form'!I16,0)</f>
        <v>1</v>
      </c>
      <c r="D15" s="57"/>
      <c r="E15" s="56"/>
      <c r="G15" s="175" t="str">
        <f>IF(' Accting USE Data Entry Form'!B16&gt;0,' Accting USE Data Entry Form'!B16,"")</f>
        <v>First Articles (1-8) Delivered and Accepted by JLab</v>
      </c>
      <c r="H15" s="176"/>
      <c r="I15" s="176"/>
      <c r="J15" s="176"/>
      <c r="K15" s="176"/>
      <c r="L15" s="176"/>
    </row>
    <row r="16" spans="1:12" ht="13.2" customHeight="1" x14ac:dyDescent="0.25">
      <c r="A16" s="7">
        <v>7</v>
      </c>
      <c r="C16" s="90">
        <f>IF(' Accting USE Data Entry Form'!I17&gt;0,' Accting USE Data Entry Form'!I17,0)</f>
        <v>1</v>
      </c>
      <c r="D16" s="57"/>
      <c r="E16" s="56"/>
      <c r="G16" s="175" t="str">
        <f>IF(' Accting USE Data Entry Form'!B17&gt;0,' Accting USE Data Entry Form'!B17,"")</f>
        <v>Production Cavities (9-72) Mechanical Pre-Fabrication</v>
      </c>
      <c r="H16" s="176"/>
      <c r="I16" s="176"/>
      <c r="J16" s="176"/>
      <c r="K16" s="176"/>
      <c r="L16" s="176"/>
    </row>
    <row r="17" spans="1:12" ht="13.2" customHeight="1" x14ac:dyDescent="0.25">
      <c r="A17" s="7">
        <v>8</v>
      </c>
      <c r="C17" s="90">
        <f>IF(' Accting USE Data Entry Form'!I18&gt;0,' Accting USE Data Entry Form'!I18,0)</f>
        <v>1</v>
      </c>
      <c r="D17" s="57"/>
      <c r="E17" s="56"/>
      <c r="G17" s="175" t="str">
        <f>IF(' Accting USE Data Entry Form'!B18&gt;0,' Accting USE Data Entry Form'!B18,"")</f>
        <v>Production Cavities (73-133) Mechanical Pre-Fabrication</v>
      </c>
      <c r="H17" s="176"/>
      <c r="I17" s="176"/>
      <c r="J17" s="176"/>
      <c r="K17" s="176"/>
      <c r="L17" s="176"/>
    </row>
    <row r="18" spans="1:12" ht="13.2" customHeight="1" x14ac:dyDescent="0.25">
      <c r="A18" s="7">
        <v>9</v>
      </c>
      <c r="C18" s="90">
        <f>IF(' Accting USE Data Entry Form'!I19&gt;0,' Accting USE Data Entry Form'!I19,0)</f>
        <v>1</v>
      </c>
      <c r="D18" s="57"/>
      <c r="E18" s="56"/>
      <c r="G18" s="175" t="str">
        <f>IF(' Accting USE Data Entry Form'!B19&gt;0,' Accting USE Data Entry Form'!B19,"")</f>
        <v>Delivery &amp; Acceptance of Cavities (9-12)</v>
      </c>
      <c r="H18" s="176"/>
      <c r="I18" s="176"/>
      <c r="J18" s="176"/>
      <c r="K18" s="176"/>
      <c r="L18" s="176"/>
    </row>
    <row r="19" spans="1:12" ht="13.2" customHeight="1" x14ac:dyDescent="0.25">
      <c r="A19" s="7">
        <v>10</v>
      </c>
      <c r="C19" s="90">
        <f>IF(' Accting USE Data Entry Form'!I20&gt;0,' Accting USE Data Entry Form'!I20,0)</f>
        <v>1</v>
      </c>
      <c r="D19" s="57"/>
      <c r="E19" s="56"/>
      <c r="G19" s="175" t="str">
        <f>IF(' Accting USE Data Entry Form'!B20&gt;0,' Accting USE Data Entry Form'!B20,"")</f>
        <v>Delivery &amp; Acceptance of Cavities (13-16)</v>
      </c>
      <c r="H19" s="176"/>
      <c r="I19" s="176"/>
      <c r="J19" s="176"/>
      <c r="K19" s="176"/>
      <c r="L19" s="176"/>
    </row>
    <row r="20" spans="1:12" ht="13.2" customHeight="1" x14ac:dyDescent="0.25">
      <c r="A20" s="7">
        <v>11</v>
      </c>
      <c r="C20" s="90">
        <f>IF(' Accting USE Data Entry Form'!I21&gt;0,' Accting USE Data Entry Form'!I21,0)</f>
        <v>1</v>
      </c>
      <c r="D20" s="57"/>
      <c r="E20" s="56"/>
      <c r="G20" s="175" t="str">
        <f>IF(' Accting USE Data Entry Form'!B21&gt;0,' Accting USE Data Entry Form'!B21,"")</f>
        <v>Delivery &amp; Acceptance of Cavities (17-20)</v>
      </c>
      <c r="H20" s="176"/>
      <c r="I20" s="176"/>
      <c r="J20" s="176"/>
      <c r="K20" s="176"/>
      <c r="L20" s="176"/>
    </row>
    <row r="21" spans="1:12" ht="13.2" customHeight="1" x14ac:dyDescent="0.25">
      <c r="A21" s="7">
        <v>12</v>
      </c>
      <c r="C21" s="90">
        <f>IF(' Accting USE Data Entry Form'!I22&gt;0,' Accting USE Data Entry Form'!I22,0)</f>
        <v>0.5</v>
      </c>
      <c r="D21" s="57"/>
      <c r="E21" s="56"/>
      <c r="G21" s="175" t="str">
        <f>IF(' Accting USE Data Entry Form'!B22&gt;0,' Accting USE Data Entry Form'!B22,"")</f>
        <v>Delivery &amp; Acceptance of Cavities (21-24)</v>
      </c>
      <c r="H21" s="176"/>
      <c r="I21" s="176"/>
      <c r="J21" s="176"/>
      <c r="K21" s="176"/>
      <c r="L21" s="176"/>
    </row>
    <row r="22" spans="1:12" ht="13.2" customHeight="1" x14ac:dyDescent="0.25">
      <c r="A22" s="7">
        <v>13</v>
      </c>
      <c r="C22" s="90">
        <f>IF(' Accting USE Data Entry Form'!I23&gt;0,' Accting USE Data Entry Form'!I23,0)</f>
        <v>1</v>
      </c>
      <c r="D22" s="57"/>
      <c r="E22" s="56"/>
      <c r="G22" s="175" t="str">
        <f>IF(' Accting USE Data Entry Form'!B23&gt;0,' Accting USE Data Entry Form'!B23,"")</f>
        <v>Delivery &amp; Acceptance of Cavities (25-28)</v>
      </c>
      <c r="H22" s="176"/>
      <c r="I22" s="176"/>
      <c r="J22" s="176"/>
      <c r="K22" s="176"/>
      <c r="L22" s="176"/>
    </row>
    <row r="23" spans="1:12" ht="13.2" customHeight="1" x14ac:dyDescent="0.25">
      <c r="A23" s="7">
        <v>14</v>
      </c>
      <c r="C23" s="90">
        <f>IF(' Accting USE Data Entry Form'!I24&gt;0,' Accting USE Data Entry Form'!I24,0)</f>
        <v>1</v>
      </c>
      <c r="D23" s="57"/>
      <c r="E23" s="56"/>
      <c r="G23" s="175" t="str">
        <f>IF(' Accting USE Data Entry Form'!B24&gt;0,' Accting USE Data Entry Form'!B24,"")</f>
        <v>Delivery &amp; Acceptance of Cavities (29-32)</v>
      </c>
      <c r="H23" s="176"/>
      <c r="I23" s="176"/>
      <c r="J23" s="176"/>
      <c r="K23" s="176"/>
      <c r="L23" s="176"/>
    </row>
    <row r="24" spans="1:12" ht="13.2" customHeight="1" x14ac:dyDescent="0.25">
      <c r="A24" s="7">
        <v>15</v>
      </c>
      <c r="C24" s="90">
        <f>IF(' Accting USE Data Entry Form'!I25&gt;0,' Accting USE Data Entry Form'!I25,0)</f>
        <v>0</v>
      </c>
      <c r="D24" s="57"/>
      <c r="E24" s="56"/>
      <c r="G24" s="175" t="str">
        <f>IF(' Accting USE Data Entry Form'!B25&gt;0,' Accting USE Data Entry Form'!B25,"")</f>
        <v>Delivery &amp; Acceptance of Cavities (33-36)</v>
      </c>
      <c r="H24" s="176"/>
      <c r="I24" s="176"/>
      <c r="J24" s="176"/>
      <c r="K24" s="176"/>
      <c r="L24" s="176"/>
    </row>
    <row r="25" spans="1:12" ht="13.2" customHeight="1" x14ac:dyDescent="0.25">
      <c r="A25" s="7">
        <v>16</v>
      </c>
      <c r="C25" s="90">
        <f>IF(' Accting USE Data Entry Form'!I26&gt;0,' Accting USE Data Entry Form'!I26,0)</f>
        <v>0</v>
      </c>
      <c r="D25" s="57"/>
      <c r="E25" s="56"/>
      <c r="G25" s="175" t="str">
        <f>IF(' Accting USE Data Entry Form'!B26&gt;0,' Accting USE Data Entry Form'!B26,"")</f>
        <v>Delivery &amp; Acceptance of Cavities (37-40)</v>
      </c>
      <c r="H25" s="176"/>
      <c r="I25" s="176"/>
      <c r="J25" s="176"/>
      <c r="K25" s="176"/>
      <c r="L25" s="176"/>
    </row>
    <row r="26" spans="1:12" ht="13.2" customHeight="1" x14ac:dyDescent="0.25">
      <c r="A26" s="7">
        <v>17</v>
      </c>
      <c r="C26" s="90">
        <f>IF(' Accting USE Data Entry Form'!I27&gt;0,' Accting USE Data Entry Form'!I27,0)</f>
        <v>0</v>
      </c>
      <c r="D26" s="57"/>
      <c r="E26" s="56"/>
      <c r="G26" s="175" t="str">
        <f>IF(' Accting USE Data Entry Form'!B27&gt;0,' Accting USE Data Entry Form'!B27,"")</f>
        <v>Delivery &amp; Acceptance of Cavities (41-44)</v>
      </c>
      <c r="H26" s="176"/>
      <c r="I26" s="176"/>
      <c r="J26" s="176"/>
      <c r="K26" s="176"/>
      <c r="L26" s="176"/>
    </row>
    <row r="27" spans="1:12" ht="13.2" customHeight="1" x14ac:dyDescent="0.25">
      <c r="A27" s="7">
        <v>18</v>
      </c>
      <c r="C27" s="90">
        <f>IF(' Accting USE Data Entry Form'!I28&gt;0,' Accting USE Data Entry Form'!I28,0)</f>
        <v>0</v>
      </c>
      <c r="D27" s="57"/>
      <c r="E27" s="56"/>
      <c r="G27" s="175" t="str">
        <f>IF(' Accting USE Data Entry Form'!B28&gt;0,' Accting USE Data Entry Form'!B28,"")</f>
        <v>Delivery &amp; Acceptance of Cavities (45-48)</v>
      </c>
      <c r="H27" s="176"/>
      <c r="I27" s="176"/>
      <c r="J27" s="176"/>
      <c r="K27" s="176"/>
      <c r="L27" s="176"/>
    </row>
    <row r="28" spans="1:12" ht="13.2" customHeight="1" x14ac:dyDescent="0.25">
      <c r="A28" s="7">
        <v>19</v>
      </c>
      <c r="C28" s="90">
        <f>IF(' Accting USE Data Entry Form'!I29&gt;0,' Accting USE Data Entry Form'!I29,0)</f>
        <v>0</v>
      </c>
      <c r="D28" s="57"/>
      <c r="E28" s="56"/>
      <c r="G28" s="175" t="str">
        <f>IF(' Accting USE Data Entry Form'!B29&gt;0,' Accting USE Data Entry Form'!B29,"")</f>
        <v>Delivery &amp; Acceptance of Cavities (49-52)</v>
      </c>
      <c r="H28" s="176"/>
      <c r="I28" s="176"/>
      <c r="J28" s="176"/>
      <c r="K28" s="176"/>
      <c r="L28" s="176"/>
    </row>
    <row r="29" spans="1:12" ht="13.2" customHeight="1" x14ac:dyDescent="0.25">
      <c r="A29" s="7">
        <v>20</v>
      </c>
      <c r="C29" s="90">
        <f>IF(' Accting USE Data Entry Form'!I30&gt;0,' Accting USE Data Entry Form'!I30,0)</f>
        <v>0</v>
      </c>
      <c r="D29" s="57"/>
      <c r="E29" s="56"/>
      <c r="G29" s="175" t="str">
        <f>IF(' Accting USE Data Entry Form'!B30&gt;0,' Accting USE Data Entry Form'!B30,"")</f>
        <v>Delivery &amp; Acceptance of Cavities (53-56)</v>
      </c>
      <c r="H29" s="176"/>
      <c r="I29" s="176"/>
      <c r="J29" s="176"/>
      <c r="K29" s="176"/>
      <c r="L29" s="176"/>
    </row>
    <row r="30" spans="1:12" ht="13.2" customHeight="1" x14ac:dyDescent="0.25">
      <c r="A30" s="7">
        <v>21</v>
      </c>
      <c r="C30" s="90">
        <f>IF(' Accting USE Data Entry Form'!I31&gt;0,' Accting USE Data Entry Form'!I31,0)</f>
        <v>0</v>
      </c>
      <c r="D30" s="57"/>
      <c r="E30" s="56"/>
      <c r="G30" s="175" t="str">
        <f>IF(' Accting USE Data Entry Form'!B31&gt;0,' Accting USE Data Entry Form'!B31,"")</f>
        <v>Delivery &amp; Acceptance of Cavities (57-60)</v>
      </c>
      <c r="H30" s="176"/>
      <c r="I30" s="176"/>
      <c r="J30" s="176"/>
      <c r="K30" s="176"/>
      <c r="L30" s="176"/>
    </row>
    <row r="31" spans="1:12" ht="13.2" customHeight="1" x14ac:dyDescent="0.25">
      <c r="A31" s="7">
        <v>22</v>
      </c>
      <c r="C31" s="90">
        <f>IF(' Accting USE Data Entry Form'!I32&gt;0,' Accting USE Data Entry Form'!I32,0)</f>
        <v>0</v>
      </c>
      <c r="D31" s="57"/>
      <c r="E31" s="56"/>
      <c r="G31" s="175" t="str">
        <f>IF(' Accting USE Data Entry Form'!B32&gt;0,' Accting USE Data Entry Form'!B32,"")</f>
        <v>Delivery &amp; Acceptance of Cavities (61-64)</v>
      </c>
      <c r="H31" s="176"/>
      <c r="I31" s="176"/>
      <c r="J31" s="176"/>
      <c r="K31" s="176"/>
      <c r="L31" s="176"/>
    </row>
    <row r="32" spans="1:12" ht="13.2" customHeight="1" x14ac:dyDescent="0.25">
      <c r="A32" s="7">
        <v>23</v>
      </c>
      <c r="C32" s="90">
        <f>IF(' Accting USE Data Entry Form'!I33&gt;0,' Accting USE Data Entry Form'!I33,0)</f>
        <v>0.38809848337114833</v>
      </c>
      <c r="D32" s="57"/>
      <c r="E32" s="56"/>
      <c r="G32" s="175" t="str">
        <f>IF(' Accting USE Data Entry Form'!B33&gt;0,' Accting USE Data Entry Form'!B33,"")</f>
        <v>MOD 002: Support of DESY EQUIPMENT (7,621/mo)</v>
      </c>
      <c r="H32" s="176"/>
      <c r="I32" s="176"/>
      <c r="J32" s="176"/>
      <c r="K32" s="176"/>
      <c r="L32" s="176"/>
    </row>
    <row r="33" spans="1:12" ht="13.2" customHeight="1" x14ac:dyDescent="0.25">
      <c r="A33" s="7">
        <v>24</v>
      </c>
      <c r="C33" s="90">
        <f>IF(' Accting USE Data Entry Form'!I34&gt;0,' Accting USE Data Entry Form'!I34,0)</f>
        <v>0.16666666666666666</v>
      </c>
      <c r="D33" s="57"/>
      <c r="E33" s="56"/>
      <c r="G33" s="175" t="str">
        <f>IF(' Accting USE Data Entry Form'!B34&gt;0,' Accting USE Data Entry Form'!B34,"")</f>
        <v>MOD 003: First Article Incentives</v>
      </c>
      <c r="H33" s="176"/>
      <c r="I33" s="176"/>
      <c r="J33" s="176"/>
      <c r="K33" s="176"/>
      <c r="L33" s="176"/>
    </row>
    <row r="34" spans="1:12" ht="13.2" customHeight="1" x14ac:dyDescent="0.25">
      <c r="A34" s="7">
        <v>25</v>
      </c>
      <c r="C34" s="90">
        <f>IF(' Accting USE Data Entry Form'!I35&gt;0,' Accting USE Data Entry Form'!I35,0)</f>
        <v>1</v>
      </c>
      <c r="D34" s="57"/>
      <c r="E34" s="56"/>
      <c r="G34" s="175" t="str">
        <f>IF(' Accting USE Data Entry Form'!B35&gt;0,' Accting USE Data Entry Form'!B35,"")</f>
        <v>MOD 004: Right Angle Valves</v>
      </c>
      <c r="H34" s="176"/>
      <c r="I34" s="176"/>
      <c r="J34" s="176"/>
      <c r="K34" s="176"/>
      <c r="L34" s="176"/>
    </row>
    <row r="35" spans="1:12" ht="13.2" customHeight="1" x14ac:dyDescent="0.25">
      <c r="A35" s="7">
        <v>26</v>
      </c>
      <c r="C35" s="90">
        <f>IF(' Accting USE Data Entry Form'!I36&gt;0,' Accting USE Data Entry Form'!I36,0)</f>
        <v>1</v>
      </c>
      <c r="D35" s="57"/>
      <c r="E35" s="56"/>
      <c r="G35" s="175" t="str">
        <f>IF(' Accting USE Data Entry Form'!B36&gt;0,' Accting USE Data Entry Form'!B36,"")</f>
        <v>MOD 005: CTM Spare Parts</v>
      </c>
      <c r="H35" s="176"/>
      <c r="I35" s="176"/>
      <c r="J35" s="176"/>
      <c r="K35" s="176"/>
      <c r="L35" s="176"/>
    </row>
    <row r="36" spans="1:12" ht="13.2" customHeight="1" x14ac:dyDescent="0.25">
      <c r="A36" s="7">
        <v>27</v>
      </c>
      <c r="C36" s="90">
        <f>IF(' Accting USE Data Entry Form'!I37&gt;0,' Accting USE Data Entry Form'!I37,0)</f>
        <v>0</v>
      </c>
      <c r="D36" s="57"/>
      <c r="E36" s="56"/>
      <c r="G36" s="175" t="str">
        <f>IF(' Accting USE Data Entry Form'!B37&gt;0,' Accting USE Data Entry Form'!B37,"")</f>
        <v>Delivery &amp; Acceptance of Cavities (65-68)</v>
      </c>
      <c r="H36" s="176"/>
      <c r="I36" s="176"/>
      <c r="J36" s="176"/>
      <c r="K36" s="176"/>
      <c r="L36" s="176"/>
    </row>
    <row r="37" spans="1:12" ht="13.2" customHeight="1" x14ac:dyDescent="0.25">
      <c r="A37" s="7">
        <v>28</v>
      </c>
      <c r="C37" s="90">
        <f>IF(' Accting USE Data Entry Form'!I38&gt;0,' Accting USE Data Entry Form'!I38,0)</f>
        <v>0</v>
      </c>
      <c r="D37" s="57"/>
      <c r="E37" s="56"/>
      <c r="G37" s="175" t="str">
        <f>IF(' Accting USE Data Entry Form'!B38&gt;0,' Accting USE Data Entry Form'!B38,"")</f>
        <v>Delivery &amp; Acceptance of Cavities (69-72)</v>
      </c>
      <c r="H37" s="176"/>
      <c r="I37" s="176"/>
      <c r="J37" s="176"/>
      <c r="K37" s="176"/>
      <c r="L37" s="176"/>
    </row>
    <row r="38" spans="1:12" ht="13.2" customHeight="1" x14ac:dyDescent="0.25">
      <c r="A38" s="7">
        <v>29</v>
      </c>
      <c r="C38" s="90">
        <f>IF(' Accting USE Data Entry Form'!I39&gt;0,' Accting USE Data Entry Form'!I39,0)</f>
        <v>1</v>
      </c>
      <c r="D38" s="57"/>
      <c r="E38" s="56"/>
      <c r="G38" s="175" t="str">
        <f>IF(' Accting USE Data Entry Form'!B39&gt;0,' Accting USE Data Entry Form'!B39,"")</f>
        <v>MOD 006: Recipe Modification (Cavities 9-16)</v>
      </c>
      <c r="H38" s="176"/>
      <c r="I38" s="176"/>
      <c r="J38" s="176"/>
      <c r="K38" s="176"/>
      <c r="L38" s="176"/>
    </row>
    <row r="39" spans="1:12" ht="13.2" customHeight="1" x14ac:dyDescent="0.25">
      <c r="A39" s="7">
        <v>30</v>
      </c>
      <c r="C39" s="90">
        <f>IF(' Accting USE Data Entry Form'!I41&gt;0,' Accting USE Data Entry Form'!I41,0)</f>
        <v>0</v>
      </c>
      <c r="D39" s="57"/>
      <c r="E39" s="56"/>
      <c r="G39" s="175" t="str">
        <f>IF(' Accting USE Data Entry Form'!B41&gt;0,' Accting USE Data Entry Form'!B41,"")</f>
        <v>MOD 008: Right Angle Valves</v>
      </c>
      <c r="H39" s="176"/>
      <c r="I39" s="176"/>
      <c r="J39" s="176"/>
      <c r="K39" s="176"/>
      <c r="L39" s="176"/>
    </row>
    <row r="40" spans="1:12" ht="13.2" customHeight="1" x14ac:dyDescent="0.25">
      <c r="A40" s="7">
        <v>31</v>
      </c>
      <c r="C40" s="90">
        <f>IF(' Accting USE Data Entry Form'!I42&gt;0,' Accting USE Data Entry Form'!I42,0)</f>
        <v>0</v>
      </c>
      <c r="D40" s="57"/>
      <c r="E40" s="56" t="str">
        <f>IF($L$5="yes","X"," ")</f>
        <v xml:space="preserve"> </v>
      </c>
      <c r="G40" s="175" t="str">
        <f>IF(' Accting USE Data Entry Form'!B42&gt;0,' Accting USE Data Entry Form'!B42,"")</f>
        <v>Delivery &amp; Acceptance of Cavities (73-76)</v>
      </c>
      <c r="H40" s="176"/>
      <c r="I40" s="176"/>
      <c r="J40" s="176"/>
      <c r="K40" s="176"/>
      <c r="L40" s="176"/>
    </row>
    <row r="41" spans="1:12" ht="13.2" customHeight="1" x14ac:dyDescent="0.25">
      <c r="A41" s="7">
        <v>32</v>
      </c>
      <c r="C41" s="90">
        <f>IF(' Accting USE Data Entry Form'!I43&gt;0,' Accting USE Data Entry Form'!I43,0)</f>
        <v>0</v>
      </c>
      <c r="D41" s="57"/>
      <c r="E41" s="56"/>
      <c r="G41" s="175" t="str">
        <f>IF(' Accting USE Data Entry Form'!B43&gt;0,' Accting USE Data Entry Form'!B43,"")</f>
        <v>Delivery &amp; Acceptance of Cavities (77-80)</v>
      </c>
      <c r="H41" s="176"/>
      <c r="I41" s="176"/>
      <c r="J41" s="176"/>
      <c r="K41" s="176"/>
      <c r="L41" s="176"/>
    </row>
    <row r="42" spans="1:12" ht="13.2" customHeight="1" x14ac:dyDescent="0.25">
      <c r="A42" s="7">
        <v>33</v>
      </c>
      <c r="C42" s="90">
        <f>IF(' Accting USE Data Entry Form'!I44&gt;0,' Accting USE Data Entry Form'!I44,0)</f>
        <v>0</v>
      </c>
      <c r="D42" s="57"/>
      <c r="E42" s="56"/>
      <c r="G42" s="175" t="str">
        <f>IF(' Accting USE Data Entry Form'!B44&gt;0,' Accting USE Data Entry Form'!B44,"")</f>
        <v>Delivery &amp; Acceptance of Cavities (81-84)</v>
      </c>
      <c r="H42" s="176"/>
      <c r="I42" s="176"/>
      <c r="J42" s="176"/>
      <c r="K42" s="176"/>
      <c r="L42" s="176"/>
    </row>
    <row r="43" spans="1:12" ht="13.2" customHeight="1" x14ac:dyDescent="0.25">
      <c r="A43" s="7">
        <v>34</v>
      </c>
      <c r="C43" s="90">
        <f>IF(' Accting USE Data Entry Form'!I45&gt;0,' Accting USE Data Entry Form'!I45,0)</f>
        <v>0</v>
      </c>
      <c r="D43" s="57"/>
      <c r="E43" s="56"/>
      <c r="G43" s="175" t="str">
        <f>IF(' Accting USE Data Entry Form'!B45&gt;0,' Accting USE Data Entry Form'!B45,"")</f>
        <v>Delivery &amp; Acceptance of Cavities (85-88)</v>
      </c>
      <c r="H43" s="176"/>
      <c r="I43" s="176"/>
      <c r="J43" s="176"/>
      <c r="K43" s="176"/>
      <c r="L43" s="176"/>
    </row>
    <row r="44" spans="1:12" ht="13.2" customHeight="1" x14ac:dyDescent="0.25">
      <c r="A44" s="7">
        <v>35</v>
      </c>
      <c r="C44" s="90">
        <f>IF(' Accting USE Data Entry Form'!I46&gt;0,' Accting USE Data Entry Form'!I46,0)</f>
        <v>0</v>
      </c>
      <c r="D44" s="57"/>
      <c r="E44" s="56"/>
      <c r="G44" s="175" t="str">
        <f>IF(' Accting USE Data Entry Form'!B46&gt;0,' Accting USE Data Entry Form'!B46,"")</f>
        <v>Delivery &amp; Acceptance of Cavities (89-92)</v>
      </c>
      <c r="H44" s="176"/>
      <c r="I44" s="176"/>
      <c r="J44" s="176"/>
      <c r="K44" s="176"/>
      <c r="L44" s="176"/>
    </row>
    <row r="45" spans="1:12" ht="13.2" customHeight="1" x14ac:dyDescent="0.25">
      <c r="A45" s="7">
        <v>36</v>
      </c>
      <c r="C45" s="90">
        <f>IF(' Accting USE Data Entry Form'!I47&gt;0,' Accting USE Data Entry Form'!I47,0)</f>
        <v>0</v>
      </c>
      <c r="D45" s="57"/>
      <c r="E45" s="56"/>
      <c r="G45" s="175" t="str">
        <f>IF(' Accting USE Data Entry Form'!B47&gt;0,' Accting USE Data Entry Form'!B47,"")</f>
        <v>Delivery &amp; Acceptance of Cavities (93-96)</v>
      </c>
      <c r="H45" s="176"/>
      <c r="I45" s="176"/>
      <c r="J45" s="176"/>
      <c r="K45" s="176"/>
      <c r="L45" s="176"/>
    </row>
    <row r="46" spans="1:12" ht="13.2" customHeight="1" x14ac:dyDescent="0.25">
      <c r="A46" s="7">
        <v>37</v>
      </c>
      <c r="C46" s="90">
        <f>IF(' Accting USE Data Entry Form'!I48&gt;0,' Accting USE Data Entry Form'!I48,0)</f>
        <v>0</v>
      </c>
      <c r="D46" s="57"/>
      <c r="E46" s="56"/>
      <c r="G46" s="175" t="str">
        <f>IF(' Accting USE Data Entry Form'!B48&gt;0,' Accting USE Data Entry Form'!B48,"")</f>
        <v>Delivery &amp; Acceptance of Cavities (97-100)</v>
      </c>
      <c r="H46" s="176"/>
      <c r="I46" s="176"/>
      <c r="J46" s="176"/>
      <c r="K46" s="176"/>
      <c r="L46" s="176"/>
    </row>
    <row r="47" spans="1:12" ht="13.2" customHeight="1" x14ac:dyDescent="0.25">
      <c r="A47" s="7">
        <v>38</v>
      </c>
      <c r="C47" s="90">
        <f>IF(' Accting USE Data Entry Form'!I49&gt;0,' Accting USE Data Entry Form'!I49,0)</f>
        <v>0</v>
      </c>
      <c r="D47" s="57"/>
      <c r="E47" s="56"/>
      <c r="G47" s="175" t="str">
        <f>IF(' Accting USE Data Entry Form'!B49&gt;0,' Accting USE Data Entry Form'!B49,"")</f>
        <v>Delivery &amp; Acceptance of Cavities (101-104)</v>
      </c>
      <c r="H47" s="176"/>
      <c r="I47" s="176"/>
      <c r="J47" s="176"/>
      <c r="K47" s="176"/>
      <c r="L47" s="176"/>
    </row>
    <row r="48" spans="1:12" ht="13.2" customHeight="1" x14ac:dyDescent="0.25">
      <c r="A48" s="7">
        <v>39</v>
      </c>
      <c r="C48" s="90">
        <f>IF(' Accting USE Data Entry Form'!I50&gt;0,' Accting USE Data Entry Form'!I50,0)</f>
        <v>0</v>
      </c>
      <c r="D48" s="57"/>
      <c r="E48" s="56"/>
      <c r="G48" s="175" t="str">
        <f>IF(' Accting USE Data Entry Form'!B50&gt;0,' Accting USE Data Entry Form'!B50,"")</f>
        <v>Delivery &amp; Acceptance of Cavities (105-108)</v>
      </c>
      <c r="H48" s="176"/>
      <c r="I48" s="176"/>
      <c r="J48" s="176"/>
      <c r="K48" s="176"/>
      <c r="L48" s="176"/>
    </row>
    <row r="49" spans="1:12" ht="13.2" customHeight="1" x14ac:dyDescent="0.25">
      <c r="A49" s="7">
        <v>40</v>
      </c>
      <c r="C49" s="90">
        <f>IF(' Accting USE Data Entry Form'!I51&gt;0,' Accting USE Data Entry Form'!I51,0)</f>
        <v>0</v>
      </c>
      <c r="D49" s="57"/>
      <c r="E49" s="56"/>
      <c r="G49" s="175" t="str">
        <f>IF(' Accting USE Data Entry Form'!B51&gt;0,' Accting USE Data Entry Form'!B51,"")</f>
        <v>Delivery &amp; Acceptance of Cavities (109-112)</v>
      </c>
      <c r="H49" s="176"/>
      <c r="I49" s="176"/>
      <c r="J49" s="176"/>
      <c r="K49" s="176"/>
      <c r="L49" s="176"/>
    </row>
    <row r="50" spans="1:12" ht="13.2" customHeight="1" x14ac:dyDescent="0.25">
      <c r="A50" s="7">
        <v>41</v>
      </c>
      <c r="C50" s="90">
        <f>IF(' Accting USE Data Entry Form'!I52&gt;0,' Accting USE Data Entry Form'!I52,0)</f>
        <v>0</v>
      </c>
      <c r="D50" s="57"/>
      <c r="E50" s="56"/>
      <c r="G50" s="175" t="str">
        <f>IF(' Accting USE Data Entry Form'!B52&gt;0,' Accting USE Data Entry Form'!B52,"")</f>
        <v>Delivery &amp; Acceptance of Cavities (113-116)</v>
      </c>
      <c r="H50" s="176"/>
      <c r="I50" s="176"/>
      <c r="J50" s="176"/>
      <c r="K50" s="176"/>
      <c r="L50" s="176"/>
    </row>
    <row r="51" spans="1:12" ht="13.2" customHeight="1" x14ac:dyDescent="0.25">
      <c r="A51" s="7">
        <v>42</v>
      </c>
      <c r="C51" s="90">
        <f>IF(' Accting USE Data Entry Form'!I53&gt;0,' Accting USE Data Entry Form'!I53,0)</f>
        <v>0</v>
      </c>
      <c r="D51" s="57"/>
      <c r="E51" s="56"/>
      <c r="G51" s="175" t="str">
        <f>IF(' Accting USE Data Entry Form'!B53&gt;0,' Accting USE Data Entry Form'!B53,"")</f>
        <v>Delivery &amp; Acceptance of Cavities (117-120)</v>
      </c>
      <c r="H51" s="176"/>
      <c r="I51" s="176"/>
      <c r="J51" s="176"/>
      <c r="K51" s="176"/>
      <c r="L51" s="176"/>
    </row>
    <row r="52" spans="1:12" ht="13.2" customHeight="1" x14ac:dyDescent="0.25">
      <c r="A52" s="7">
        <v>43</v>
      </c>
      <c r="C52" s="90">
        <f>IF(' Accting USE Data Entry Form'!I54&gt;0,' Accting USE Data Entry Form'!I54,0)</f>
        <v>0</v>
      </c>
      <c r="D52" s="57"/>
      <c r="E52" s="56"/>
      <c r="G52" s="175" t="str">
        <f>IF(' Accting USE Data Entry Form'!B54&gt;0,' Accting USE Data Entry Form'!B54,"")</f>
        <v>Delivery &amp; Acceptance of Cavities (121-124)</v>
      </c>
      <c r="H52" s="176"/>
      <c r="I52" s="176"/>
      <c r="J52" s="176"/>
      <c r="K52" s="176"/>
      <c r="L52" s="176"/>
    </row>
    <row r="53" spans="1:12" ht="13.2" customHeight="1" x14ac:dyDescent="0.25">
      <c r="A53" s="7">
        <v>44</v>
      </c>
      <c r="C53" s="90">
        <f>IF(' Accting USE Data Entry Form'!I55&gt;0,' Accting USE Data Entry Form'!I55,0)</f>
        <v>0</v>
      </c>
      <c r="D53" s="57"/>
      <c r="E53" s="56"/>
      <c r="G53" s="175" t="str">
        <f>IF(' Accting USE Data Entry Form'!B55&gt;0,' Accting USE Data Entry Form'!B55,"")</f>
        <v>Delivery &amp; Acceptance of Cavities (125-128)</v>
      </c>
      <c r="H53" s="176"/>
      <c r="I53" s="176"/>
      <c r="J53" s="176"/>
      <c r="K53" s="176"/>
      <c r="L53" s="176"/>
    </row>
    <row r="54" spans="1:12" ht="13.2" customHeight="1" x14ac:dyDescent="0.25">
      <c r="A54" s="7">
        <v>45</v>
      </c>
      <c r="C54" s="90">
        <f>IF(' Accting USE Data Entry Form'!I56&gt;0,' Accting USE Data Entry Form'!I56,0)</f>
        <v>0</v>
      </c>
      <c r="D54" s="57"/>
      <c r="E54" s="56"/>
      <c r="G54" s="175" t="str">
        <f>IF(' Accting USE Data Entry Form'!B56&gt;0,' Accting USE Data Entry Form'!B56,"")</f>
        <v>Delivery &amp; Acceptance of Cavities (129-133)</v>
      </c>
      <c r="H54" s="176"/>
      <c r="I54" s="176"/>
      <c r="J54" s="176"/>
      <c r="K54" s="176"/>
      <c r="L54" s="176"/>
    </row>
    <row r="55" spans="1:12" ht="13.2" customHeight="1" x14ac:dyDescent="0.25">
      <c r="A55" s="7">
        <v>46</v>
      </c>
      <c r="C55" s="90">
        <f>IF(' Accting USE Data Entry Form'!I57&gt;0,' Accting USE Data Entry Form'!I57,0)</f>
        <v>0</v>
      </c>
      <c r="D55" s="57"/>
      <c r="E55" s="56"/>
      <c r="G55" s="175" t="str">
        <f>IF(' Accting USE Data Entry Form'!B57&gt;0,' Accting USE Data Entry Form'!B57,"")</f>
        <v/>
      </c>
      <c r="H55" s="176"/>
      <c r="I55" s="176"/>
      <c r="J55" s="176"/>
      <c r="K55" s="176"/>
      <c r="L55" s="176"/>
    </row>
    <row r="56" spans="1:12" ht="13.2" customHeight="1" x14ac:dyDescent="0.25">
      <c r="A56" s="7">
        <v>47</v>
      </c>
      <c r="C56" s="90">
        <f>IF(' Accting USE Data Entry Form'!I58&gt;0,' Accting USE Data Entry Form'!I58,0)</f>
        <v>0</v>
      </c>
      <c r="D56" s="57"/>
      <c r="E56" s="56"/>
      <c r="G56" s="175" t="str">
        <f>IF(' Accting USE Data Entry Form'!B58&gt;0,' Accting USE Data Entry Form'!B58,"")</f>
        <v/>
      </c>
      <c r="H56" s="176"/>
      <c r="I56" s="176"/>
      <c r="J56" s="176"/>
      <c r="K56" s="176"/>
      <c r="L56" s="176"/>
    </row>
    <row r="57" spans="1:12" ht="13.2" customHeight="1" x14ac:dyDescent="0.25">
      <c r="A57" s="7">
        <v>48</v>
      </c>
      <c r="C57" s="90">
        <f>IF(' Accting USE Data Entry Form'!I59&gt;0,' Accting USE Data Entry Form'!I59,0)</f>
        <v>0</v>
      </c>
      <c r="D57" s="57"/>
      <c r="E57" s="56"/>
      <c r="G57" s="175" t="str">
        <f>IF(' Accting USE Data Entry Form'!B59&gt;0,' Accting USE Data Entry Form'!B59,"")</f>
        <v/>
      </c>
      <c r="H57" s="176"/>
      <c r="I57" s="176"/>
      <c r="J57" s="176"/>
      <c r="K57" s="176"/>
      <c r="L57" s="176"/>
    </row>
    <row r="58" spans="1:12" x14ac:dyDescent="0.25">
      <c r="A58" s="7">
        <v>49</v>
      </c>
      <c r="C58" s="90">
        <f>IF(' Accting USE Data Entry Form'!I60&gt;0,' Accting USE Data Entry Form'!I60,0)</f>
        <v>0</v>
      </c>
      <c r="D58" s="57"/>
      <c r="E58" s="56" t="str">
        <f>IF($L$5="yes","X"," ")</f>
        <v xml:space="preserve"> </v>
      </c>
      <c r="G58" s="175" t="str">
        <f>IF(' Accting USE Data Entry Form'!B60&gt;0,' Accting USE Data Entry Form'!B60,"")</f>
        <v/>
      </c>
      <c r="H58" s="176"/>
      <c r="I58" s="176"/>
      <c r="J58" s="176"/>
      <c r="K58" s="176"/>
      <c r="L58" s="176"/>
    </row>
    <row r="59" spans="1:12" ht="13.2" customHeight="1" x14ac:dyDescent="0.25">
      <c r="A59" s="7">
        <v>50</v>
      </c>
      <c r="C59" s="90">
        <f>IF(' Accting USE Data Entry Form'!I61&gt;0,' Accting USE Data Entry Form'!I61,0)</f>
        <v>0</v>
      </c>
      <c r="D59" s="57"/>
      <c r="E59" s="56" t="str">
        <f>IF($L$5="yes","X"," ")</f>
        <v xml:space="preserve"> </v>
      </c>
      <c r="G59" s="175" t="str">
        <f>IF(' Accting USE Data Entry Form'!B61&gt;0,' Accting USE Data Entry Form'!B61,"")</f>
        <v/>
      </c>
      <c r="H59" s="176"/>
      <c r="I59" s="176"/>
      <c r="J59" s="176"/>
      <c r="K59" s="176"/>
      <c r="L59" s="176"/>
    </row>
    <row r="60" spans="1:12" ht="20.25" customHeight="1" x14ac:dyDescent="0.25">
      <c r="A60" s="13" t="s">
        <v>30</v>
      </c>
      <c r="C60" s="15"/>
      <c r="D60" s="15"/>
      <c r="E60" s="52"/>
      <c r="F60" s="15"/>
      <c r="G60" s="15"/>
      <c r="H60" s="6"/>
      <c r="I60" s="6"/>
      <c r="J60" s="26"/>
      <c r="K60" s="6"/>
      <c r="L60" s="6"/>
    </row>
    <row r="61" spans="1:12" ht="23.25" customHeight="1" x14ac:dyDescent="0.25">
      <c r="F61" s="178" t="s">
        <v>31</v>
      </c>
      <c r="G61" s="179"/>
      <c r="H61" s="179"/>
      <c r="I61" s="179"/>
      <c r="J61" s="179"/>
      <c r="K61" s="24"/>
      <c r="L61" s="24" t="s">
        <v>3</v>
      </c>
    </row>
    <row r="62" spans="1:12" x14ac:dyDescent="0.25">
      <c r="A62" s="13" t="s">
        <v>29</v>
      </c>
      <c r="F62" s="15"/>
      <c r="G62" s="15"/>
      <c r="H62" s="6"/>
      <c r="I62" s="6"/>
      <c r="J62" s="26"/>
      <c r="K62" s="6"/>
      <c r="L62" s="6"/>
    </row>
    <row r="63" spans="1:12" ht="23.25" customHeight="1" x14ac:dyDescent="0.25">
      <c r="F63" s="15"/>
      <c r="G63" s="15"/>
      <c r="H63" s="15"/>
      <c r="I63" s="15"/>
      <c r="J63" s="25" t="s">
        <v>32</v>
      </c>
      <c r="K63" s="24"/>
      <c r="L63" s="24" t="s">
        <v>3</v>
      </c>
    </row>
    <row r="64" spans="1:12" ht="15.75" customHeight="1" x14ac:dyDescent="0.25">
      <c r="A64" s="13"/>
      <c r="F64" s="15"/>
      <c r="G64" s="15"/>
      <c r="H64" s="15"/>
      <c r="I64" s="15"/>
      <c r="J64" s="25"/>
      <c r="K64" s="24"/>
      <c r="L64" s="24"/>
    </row>
    <row r="65" spans="1:12" ht="23.25" customHeight="1" x14ac:dyDescent="0.25">
      <c r="F65" s="15"/>
      <c r="G65" s="15"/>
      <c r="H65" s="15"/>
      <c r="I65" s="15"/>
      <c r="J65" s="25"/>
      <c r="K65" s="24"/>
    </row>
    <row r="66" spans="1:12" ht="15.75" customHeight="1" x14ac:dyDescent="0.25">
      <c r="A66" s="38" t="s">
        <v>25</v>
      </c>
      <c r="B66" s="38"/>
      <c r="C66" s="38"/>
      <c r="D66" s="38"/>
      <c r="E66" s="53"/>
      <c r="F66" s="39"/>
      <c r="G66" s="39"/>
      <c r="H66" s="39"/>
      <c r="I66" s="39"/>
      <c r="J66" s="40"/>
      <c r="K66" s="41"/>
      <c r="L66" s="38"/>
    </row>
    <row r="67" spans="1:12" ht="27.75" customHeight="1" x14ac:dyDescent="0.25">
      <c r="A67" s="29"/>
      <c r="B67" s="29"/>
      <c r="C67" s="29"/>
      <c r="D67" s="29"/>
      <c r="E67" s="54"/>
      <c r="F67" s="30"/>
      <c r="G67" s="30"/>
      <c r="H67" s="30"/>
      <c r="I67" s="30"/>
      <c r="J67" s="31"/>
      <c r="K67" s="32"/>
      <c r="L67" s="29"/>
    </row>
    <row r="68" spans="1:12" x14ac:dyDescent="0.25">
      <c r="A68" s="34" t="s">
        <v>23</v>
      </c>
      <c r="B68" s="29"/>
      <c r="C68" s="29"/>
      <c r="D68" s="29"/>
      <c r="E68" s="54"/>
      <c r="F68" s="30"/>
      <c r="G68" s="30"/>
      <c r="H68" s="30"/>
      <c r="I68" s="35"/>
      <c r="J68" s="36"/>
      <c r="K68" s="35"/>
      <c r="L68" s="35"/>
    </row>
    <row r="69" spans="1:12" ht="23.25" customHeight="1" x14ac:dyDescent="0.25">
      <c r="A69" s="29"/>
      <c r="B69" s="29"/>
      <c r="C69" s="29"/>
      <c r="D69" s="29"/>
      <c r="E69" s="54"/>
      <c r="F69" s="30"/>
      <c r="G69" s="30"/>
      <c r="H69" s="30"/>
      <c r="I69" s="30"/>
      <c r="J69" s="31"/>
      <c r="K69" s="32" t="s">
        <v>3</v>
      </c>
      <c r="L69" s="29"/>
    </row>
    <row r="70" spans="1:12" x14ac:dyDescent="0.25">
      <c r="A70" s="34" t="s">
        <v>22</v>
      </c>
      <c r="B70" s="29"/>
      <c r="C70" s="29"/>
      <c r="D70" s="29"/>
      <c r="E70" s="54"/>
      <c r="F70" s="30"/>
      <c r="G70" s="37"/>
      <c r="H70" s="35"/>
      <c r="I70" s="35"/>
      <c r="J70" s="36"/>
      <c r="K70" s="35"/>
      <c r="L70" s="35"/>
    </row>
    <row r="71" spans="1:12" ht="16.5" customHeight="1" x14ac:dyDescent="0.25">
      <c r="A71" s="29"/>
      <c r="B71" s="29"/>
      <c r="C71" s="29"/>
      <c r="D71" s="29"/>
      <c r="E71" s="54"/>
      <c r="F71" s="29"/>
      <c r="G71" s="29"/>
      <c r="H71" s="29"/>
      <c r="I71" s="29"/>
      <c r="J71" s="32"/>
      <c r="K71" s="32" t="s">
        <v>3</v>
      </c>
      <c r="L71" s="29"/>
    </row>
    <row r="72" spans="1:12" x14ac:dyDescent="0.25">
      <c r="A72" s="29"/>
      <c r="B72" s="29"/>
      <c r="C72" s="29"/>
      <c r="D72" s="29"/>
      <c r="E72" s="54"/>
      <c r="F72" s="29"/>
      <c r="G72" s="29"/>
      <c r="H72" s="29"/>
      <c r="I72" s="29"/>
      <c r="J72" s="29"/>
      <c r="K72" s="29"/>
      <c r="L72" s="29"/>
    </row>
  </sheetData>
  <sheetProtection selectLockedCells="1"/>
  <mergeCells count="55">
    <mergeCell ref="G56:L56"/>
    <mergeCell ref="G57:L57"/>
    <mergeCell ref="G59:L59"/>
    <mergeCell ref="G51:L51"/>
    <mergeCell ref="G52:L52"/>
    <mergeCell ref="G53:L53"/>
    <mergeCell ref="G54:L54"/>
    <mergeCell ref="G55:L55"/>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3:L33"/>
    <mergeCell ref="G34:L34"/>
    <mergeCell ref="G32:L32"/>
    <mergeCell ref="G41:L41"/>
    <mergeCell ref="G42:L42"/>
    <mergeCell ref="G43:L43"/>
    <mergeCell ref="G44:L44"/>
    <mergeCell ref="G35:L35"/>
    <mergeCell ref="G36:L36"/>
    <mergeCell ref="G37:L37"/>
    <mergeCell ref="G38:L38"/>
    <mergeCell ref="G39:L39"/>
    <mergeCell ref="G50:L50"/>
    <mergeCell ref="G45:L45"/>
    <mergeCell ref="G46:L46"/>
    <mergeCell ref="G47:L47"/>
    <mergeCell ref="G48:L48"/>
    <mergeCell ref="G49:L49"/>
  </mergeCells>
  <phoneticPr fontId="7" type="noConversion"/>
  <conditionalFormatting sqref="E10:E59">
    <cfRule type="expression" dxfId="8" priority="4">
      <formula>$L$5="no"</formula>
    </cfRule>
  </conditionalFormatting>
  <conditionalFormatting sqref="C10">
    <cfRule type="expression" dxfId="7" priority="2">
      <formula>$L$5="yes"</formula>
    </cfRule>
  </conditionalFormatting>
  <conditionalFormatting sqref="C11:C59">
    <cfRule type="expression" dxfId="6" priority="1">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50 C9 C10:C59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80"/>
      <c r="B1" s="180"/>
      <c r="C1" s="180"/>
      <c r="D1" s="180"/>
      <c r="E1" s="180"/>
      <c r="F1" s="180"/>
      <c r="G1" s="180"/>
      <c r="H1" s="180"/>
    </row>
    <row r="2" spans="1:11" ht="15.6" x14ac:dyDescent="0.3">
      <c r="A2" s="181" t="s">
        <v>4</v>
      </c>
      <c r="B2" s="181"/>
      <c r="C2" s="181"/>
      <c r="D2" s="181"/>
      <c r="E2" s="181"/>
      <c r="F2" s="181"/>
      <c r="G2" s="181"/>
      <c r="H2" s="181"/>
      <c r="I2" s="181"/>
      <c r="J2" s="181"/>
    </row>
    <row r="3" spans="1:11" ht="15.6" x14ac:dyDescent="0.3">
      <c r="A3" s="181" t="s">
        <v>34</v>
      </c>
      <c r="B3" s="181"/>
      <c r="C3" s="181"/>
      <c r="D3" s="181"/>
      <c r="E3" s="181"/>
      <c r="F3" s="181"/>
      <c r="G3" s="181"/>
      <c r="H3" s="181"/>
      <c r="I3" s="181"/>
      <c r="J3" s="181"/>
    </row>
    <row r="4" spans="1:11" ht="15.6" x14ac:dyDescent="0.3">
      <c r="A4" s="181" t="s">
        <v>44</v>
      </c>
      <c r="B4" s="181"/>
      <c r="C4" s="181"/>
      <c r="D4" s="181"/>
      <c r="E4" s="181"/>
      <c r="F4" s="181"/>
      <c r="G4" s="181"/>
      <c r="H4" s="181"/>
      <c r="I4" s="181"/>
      <c r="J4" s="181"/>
    </row>
    <row r="6" spans="1:11" ht="30.75" customHeight="1" x14ac:dyDescent="0.25">
      <c r="A6" s="182" t="s">
        <v>37</v>
      </c>
      <c r="B6" s="183"/>
      <c r="C6" s="183"/>
      <c r="D6" s="183"/>
      <c r="E6" s="183"/>
      <c r="F6" s="183"/>
      <c r="G6" s="183"/>
      <c r="H6" s="183"/>
      <c r="I6" s="183"/>
      <c r="J6" s="183"/>
    </row>
    <row r="7" spans="1:11" ht="19.5" customHeight="1" x14ac:dyDescent="0.25"/>
    <row r="8" spans="1:11" ht="16.5" customHeight="1" x14ac:dyDescent="0.25">
      <c r="A8" s="44" t="s">
        <v>35</v>
      </c>
      <c r="B8" s="43"/>
      <c r="C8" s="43"/>
      <c r="D8" s="43"/>
      <c r="E8" s="43"/>
      <c r="F8" s="43"/>
      <c r="G8" s="43"/>
      <c r="H8" s="43"/>
    </row>
    <row r="9" spans="1:11" ht="19.5" customHeight="1" x14ac:dyDescent="0.25"/>
    <row r="10" spans="1:11" ht="30.75" customHeight="1" x14ac:dyDescent="0.25">
      <c r="A10" s="182" t="s">
        <v>36</v>
      </c>
      <c r="B10" s="183"/>
      <c r="C10" s="183"/>
      <c r="D10" s="183"/>
      <c r="E10" s="183"/>
      <c r="F10" s="183"/>
      <c r="G10" s="183"/>
      <c r="H10" s="183"/>
      <c r="I10" s="183"/>
      <c r="J10" s="183"/>
    </row>
    <row r="11" spans="1:11" ht="65.25" customHeight="1" x14ac:dyDescent="0.25">
      <c r="B11" s="182" t="s">
        <v>46</v>
      </c>
      <c r="C11" s="183"/>
      <c r="D11" s="183"/>
      <c r="E11" s="183"/>
      <c r="F11" s="183"/>
      <c r="G11" s="183"/>
      <c r="H11" s="183"/>
      <c r="I11" s="183"/>
      <c r="J11" s="46"/>
      <c r="K11" s="46"/>
    </row>
    <row r="12" spans="1:11" ht="19.5" customHeight="1" x14ac:dyDescent="0.25">
      <c r="A12" s="12"/>
      <c r="B12" s="12"/>
      <c r="C12" s="12"/>
      <c r="D12" s="12"/>
      <c r="E12" s="12"/>
      <c r="F12" s="12"/>
      <c r="G12" s="12"/>
      <c r="H12" s="12"/>
    </row>
    <row r="13" spans="1:11" ht="43.5" customHeight="1" x14ac:dyDescent="0.25">
      <c r="A13" s="182" t="s">
        <v>43</v>
      </c>
      <c r="B13" s="182"/>
      <c r="C13" s="182"/>
      <c r="D13" s="182"/>
      <c r="E13" s="182"/>
      <c r="F13" s="182"/>
      <c r="G13" s="182"/>
      <c r="H13" s="182"/>
      <c r="I13" s="182"/>
      <c r="J13" s="182"/>
    </row>
    <row r="14" spans="1:11" ht="19.5" customHeight="1" x14ac:dyDescent="0.25">
      <c r="A14" s="12"/>
      <c r="B14" s="12"/>
      <c r="C14" s="12"/>
      <c r="D14" s="12"/>
      <c r="E14" s="12"/>
      <c r="F14" s="12"/>
      <c r="G14" s="12"/>
      <c r="H14" s="12"/>
    </row>
    <row r="15" spans="1:11" ht="54.75" customHeight="1" x14ac:dyDescent="0.25">
      <c r="A15" s="182" t="s">
        <v>38</v>
      </c>
      <c r="B15" s="185"/>
      <c r="C15" s="185"/>
      <c r="D15" s="185"/>
      <c r="E15" s="185"/>
      <c r="F15" s="185"/>
      <c r="G15" s="185"/>
      <c r="H15" s="185"/>
      <c r="I15" s="185"/>
      <c r="J15" s="185"/>
    </row>
    <row r="16" spans="1:11" ht="19.5" customHeight="1" x14ac:dyDescent="0.25"/>
    <row r="17" spans="1:10" ht="39" customHeight="1" x14ac:dyDescent="0.25">
      <c r="A17" s="184" t="s">
        <v>39</v>
      </c>
      <c r="B17" s="186"/>
      <c r="C17" s="186"/>
      <c r="D17" s="186"/>
      <c r="E17" s="186"/>
      <c r="F17" s="186"/>
      <c r="G17" s="186"/>
      <c r="H17" s="186"/>
      <c r="I17" s="186"/>
      <c r="J17" s="186"/>
    </row>
    <row r="18" spans="1:10" ht="19.5" customHeight="1" x14ac:dyDescent="0.25"/>
    <row r="19" spans="1:10" ht="56.25" customHeight="1" x14ac:dyDescent="0.25">
      <c r="A19" s="184" t="s">
        <v>40</v>
      </c>
      <c r="B19" s="186"/>
      <c r="C19" s="186"/>
      <c r="D19" s="186"/>
      <c r="E19" s="186"/>
      <c r="F19" s="186"/>
      <c r="G19" s="186"/>
      <c r="H19" s="186"/>
      <c r="I19" s="186"/>
      <c r="J19" s="186"/>
    </row>
    <row r="20" spans="1:10" ht="20.25" customHeight="1" x14ac:dyDescent="0.25"/>
    <row r="21" spans="1:10" ht="27.75" customHeight="1" x14ac:dyDescent="0.25">
      <c r="A21" s="184" t="s">
        <v>20</v>
      </c>
      <c r="B21" s="184"/>
      <c r="C21" s="184"/>
      <c r="D21" s="184"/>
      <c r="E21" s="184"/>
      <c r="F21" s="184"/>
      <c r="G21" s="184"/>
      <c r="H21" s="184"/>
      <c r="I21" s="184"/>
      <c r="J21" s="184"/>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74"/>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B34" sqref="B34"/>
    </sheetView>
  </sheetViews>
  <sheetFormatPr defaultColWidth="29.5546875" defaultRowHeight="13.2" x14ac:dyDescent="0.25"/>
  <cols>
    <col min="1" max="1" width="6" style="62" customWidth="1"/>
    <col min="2" max="2" width="51" customWidth="1"/>
    <col min="3" max="3" width="10.33203125" style="91" customWidth="1"/>
    <col min="4" max="5" width="10.33203125" style="107" customWidth="1"/>
    <col min="6" max="6" width="10.33203125" style="122" customWidth="1"/>
    <col min="7" max="7" width="12.44140625" style="131" bestFit="1" customWidth="1"/>
    <col min="8" max="8" width="10.33203125" style="122" customWidth="1"/>
    <col min="9" max="9" width="12.6640625" style="60" customWidth="1"/>
    <col min="10" max="10" width="2.33203125" customWidth="1"/>
    <col min="11" max="11" width="16.6640625" bestFit="1" customWidth="1"/>
    <col min="12" max="12" width="2.33203125" style="3" customWidth="1"/>
    <col min="13" max="13" width="12.109375" style="58" customWidth="1"/>
    <col min="14" max="14" width="3.6640625" style="3" customWidth="1"/>
    <col min="15" max="15" width="15.21875" customWidth="1"/>
    <col min="16" max="16" width="2.33203125" customWidth="1"/>
    <col min="17" max="17" width="12.109375" style="58" customWidth="1"/>
    <col min="18" max="18" width="2.33203125" customWidth="1"/>
    <col min="19" max="19" width="12.109375" style="58" customWidth="1"/>
    <col min="20" max="20" width="2.33203125" customWidth="1"/>
    <col min="21" max="21" width="12.109375" style="58" customWidth="1"/>
  </cols>
  <sheetData>
    <row r="1" spans="1:22" ht="15.6" x14ac:dyDescent="0.3">
      <c r="A1" s="181" t="s">
        <v>4</v>
      </c>
      <c r="B1" s="187"/>
      <c r="C1" s="187"/>
      <c r="D1" s="187"/>
      <c r="E1" s="187"/>
      <c r="F1" s="187"/>
      <c r="G1" s="187"/>
      <c r="H1" s="187"/>
      <c r="I1" s="187"/>
      <c r="J1" s="187"/>
      <c r="K1" s="187"/>
      <c r="L1" s="187"/>
      <c r="M1" s="187"/>
      <c r="N1" s="187"/>
      <c r="O1" s="187"/>
      <c r="P1" s="187"/>
      <c r="Q1" s="187"/>
      <c r="R1" s="187"/>
      <c r="S1" s="187"/>
      <c r="T1" s="187"/>
      <c r="U1" s="187"/>
    </row>
    <row r="2" spans="1:22" ht="15.6" x14ac:dyDescent="0.3">
      <c r="A2" s="181" t="s">
        <v>9</v>
      </c>
      <c r="B2" s="187"/>
      <c r="C2" s="187"/>
      <c r="D2" s="187"/>
      <c r="E2" s="187"/>
      <c r="F2" s="187"/>
      <c r="G2" s="187"/>
      <c r="H2" s="187"/>
      <c r="I2" s="187"/>
      <c r="J2" s="187"/>
      <c r="K2" s="187"/>
      <c r="L2" s="187"/>
      <c r="M2" s="187"/>
      <c r="N2" s="187"/>
      <c r="O2" s="187"/>
      <c r="P2" s="187"/>
      <c r="Q2" s="187"/>
      <c r="R2" s="187"/>
      <c r="S2" s="187"/>
      <c r="T2" s="187"/>
      <c r="U2" s="187"/>
    </row>
    <row r="3" spans="1:22" ht="15.6" x14ac:dyDescent="0.3">
      <c r="A3" s="181" t="s">
        <v>19</v>
      </c>
      <c r="B3" s="187"/>
      <c r="C3" s="187"/>
      <c r="D3" s="187"/>
      <c r="E3" s="187"/>
      <c r="F3" s="187"/>
      <c r="G3" s="187"/>
      <c r="H3" s="187"/>
      <c r="I3" s="187"/>
      <c r="J3" s="187"/>
      <c r="K3" s="187"/>
      <c r="L3" s="187"/>
      <c r="M3" s="187"/>
      <c r="N3" s="187"/>
      <c r="O3" s="187"/>
      <c r="P3" s="187"/>
      <c r="Q3" s="187"/>
      <c r="R3" s="187"/>
      <c r="S3" s="187"/>
      <c r="T3" s="187"/>
      <c r="U3" s="187"/>
    </row>
    <row r="4" spans="1:22" ht="5.4" customHeight="1" x14ac:dyDescent="0.25">
      <c r="G4" s="153"/>
      <c r="I4" s="103"/>
    </row>
    <row r="5" spans="1:22" ht="13.2" customHeight="1" x14ac:dyDescent="0.25">
      <c r="A5" s="58" t="s">
        <v>0</v>
      </c>
      <c r="B5" s="58"/>
      <c r="C5" s="1"/>
      <c r="D5" s="1"/>
      <c r="E5" s="1"/>
      <c r="F5" s="1"/>
      <c r="G5" s="1"/>
      <c r="H5" s="1"/>
      <c r="I5" s="104" t="s">
        <v>90</v>
      </c>
      <c r="J5" s="6"/>
      <c r="K5" s="6"/>
      <c r="L5" s="7"/>
      <c r="M5" s="65"/>
      <c r="N5" s="7"/>
      <c r="O5" s="2"/>
      <c r="P5" s="2" t="s">
        <v>26</v>
      </c>
      <c r="S5" s="105">
        <v>42794</v>
      </c>
    </row>
    <row r="6" spans="1:22" ht="5.4" customHeight="1" x14ac:dyDescent="0.25">
      <c r="A6" s="72"/>
      <c r="B6" s="58"/>
      <c r="C6" s="1"/>
      <c r="D6" s="1"/>
      <c r="E6" s="1"/>
      <c r="F6" s="1"/>
      <c r="G6" s="1"/>
      <c r="H6" s="1"/>
      <c r="I6" s="103"/>
      <c r="M6" s="64"/>
      <c r="P6" s="2"/>
      <c r="S6" s="189" t="s">
        <v>6</v>
      </c>
    </row>
    <row r="7" spans="1:22" ht="13.2" customHeight="1" x14ac:dyDescent="0.25">
      <c r="A7" s="58" t="s">
        <v>2</v>
      </c>
      <c r="B7" s="58"/>
      <c r="C7" s="1"/>
      <c r="D7" s="1"/>
      <c r="E7" s="1"/>
      <c r="F7" s="1"/>
      <c r="G7" s="1"/>
      <c r="H7" s="1"/>
      <c r="I7" s="104" t="s">
        <v>88</v>
      </c>
      <c r="J7" s="6"/>
      <c r="K7" s="6"/>
      <c r="L7" s="7"/>
      <c r="P7" s="2"/>
      <c r="Q7" s="68" t="s">
        <v>16</v>
      </c>
      <c r="S7" s="190"/>
    </row>
    <row r="8" spans="1:22" ht="5.4" customHeight="1" x14ac:dyDescent="0.25">
      <c r="B8" s="2"/>
      <c r="C8" s="93"/>
      <c r="D8" s="93"/>
      <c r="E8" s="93"/>
      <c r="F8" s="93"/>
      <c r="G8" s="93"/>
      <c r="H8" s="93"/>
      <c r="I8" s="9"/>
      <c r="J8" s="8"/>
      <c r="K8" s="8"/>
      <c r="L8" s="9"/>
      <c r="P8" s="2"/>
      <c r="Q8" s="59"/>
      <c r="S8" s="64"/>
    </row>
    <row r="9" spans="1:22" x14ac:dyDescent="0.25">
      <c r="A9" s="94" t="s">
        <v>41</v>
      </c>
      <c r="B9" s="2"/>
      <c r="C9" s="93"/>
      <c r="D9" s="93"/>
      <c r="E9" s="93"/>
      <c r="F9" s="93"/>
      <c r="G9" s="93"/>
      <c r="H9" s="93"/>
      <c r="I9" s="95" t="s">
        <v>101</v>
      </c>
      <c r="J9" s="6"/>
      <c r="K9" s="6"/>
      <c r="L9" s="9"/>
      <c r="P9" s="5" t="s">
        <v>17</v>
      </c>
      <c r="Q9" s="59"/>
      <c r="S9" s="65"/>
    </row>
    <row r="10" spans="1:22" s="1" customFormat="1" ht="52.8" x14ac:dyDescent="0.25">
      <c r="A10" s="70" t="s">
        <v>1</v>
      </c>
      <c r="B10" s="73" t="s">
        <v>89</v>
      </c>
      <c r="C10" s="73" t="s">
        <v>91</v>
      </c>
      <c r="D10" s="71" t="s">
        <v>102</v>
      </c>
      <c r="E10" s="71" t="s">
        <v>103</v>
      </c>
      <c r="F10" s="70" t="s">
        <v>5</v>
      </c>
      <c r="G10" s="70"/>
      <c r="H10" s="71" t="s">
        <v>116</v>
      </c>
      <c r="I10" s="70" t="s">
        <v>5</v>
      </c>
      <c r="J10" s="70"/>
      <c r="K10" s="71" t="s">
        <v>24</v>
      </c>
      <c r="L10" s="70" t="s">
        <v>10</v>
      </c>
      <c r="M10" s="70" t="s">
        <v>11</v>
      </c>
      <c r="N10" s="73"/>
      <c r="O10" s="70" t="s">
        <v>11</v>
      </c>
      <c r="P10" s="70" t="s">
        <v>12</v>
      </c>
      <c r="Q10" s="70" t="s">
        <v>15</v>
      </c>
      <c r="R10" s="70" t="s">
        <v>12</v>
      </c>
      <c r="S10" s="70" t="s">
        <v>13</v>
      </c>
      <c r="T10" s="70" t="s">
        <v>10</v>
      </c>
      <c r="U10" s="70" t="s">
        <v>14</v>
      </c>
      <c r="V10" s="1" t="s">
        <v>104</v>
      </c>
    </row>
    <row r="11" spans="1:22" ht="14.4" customHeight="1" x14ac:dyDescent="0.25">
      <c r="A11" s="88">
        <v>1</v>
      </c>
      <c r="B11" s="89" t="s">
        <v>49</v>
      </c>
      <c r="C11" s="115">
        <v>42186</v>
      </c>
      <c r="D11" s="115"/>
      <c r="E11" s="115"/>
      <c r="F11" s="108">
        <v>1</v>
      </c>
      <c r="G11" s="158"/>
      <c r="H11" s="123"/>
      <c r="I11" s="108">
        <f>F11+H11</f>
        <v>1</v>
      </c>
      <c r="J11" s="109" t="s">
        <v>27</v>
      </c>
      <c r="K11" s="110">
        <v>27286.996000000003</v>
      </c>
      <c r="L11" s="97" t="s">
        <v>10</v>
      </c>
      <c r="M11" s="98">
        <f t="shared" ref="M11:M41" si="0">I11*K11</f>
        <v>27286.996000000003</v>
      </c>
      <c r="N11" s="99"/>
      <c r="O11" s="100">
        <f t="shared" ref="O11:O16" si="1">+M11</f>
        <v>27286.996000000003</v>
      </c>
      <c r="P11" s="101" t="s">
        <v>12</v>
      </c>
      <c r="Q11" s="98">
        <f t="shared" ref="Q11:Q41" si="2">O11-S11</f>
        <v>-3.9999999971769284E-3</v>
      </c>
      <c r="R11" s="85" t="s">
        <v>12</v>
      </c>
      <c r="S11" s="157">
        <f>SUMIF(Invoices!$D$2:$D$25,' Accting USE Data Entry Form'!$B11,Invoices!$G$2:$G$25)</f>
        <v>27287</v>
      </c>
      <c r="T11" s="85" t="s">
        <v>10</v>
      </c>
      <c r="U11" s="86">
        <f>+O11-Q11-S11</f>
        <v>0</v>
      </c>
    </row>
    <row r="12" spans="1:22" ht="14.4" customHeight="1" x14ac:dyDescent="0.25">
      <c r="A12" s="83">
        <v>2</v>
      </c>
      <c r="B12" s="84" t="s">
        <v>50</v>
      </c>
      <c r="C12" s="116">
        <v>42302</v>
      </c>
      <c r="D12" s="116"/>
      <c r="E12" s="116"/>
      <c r="F12" s="111">
        <v>1</v>
      </c>
      <c r="G12" s="159"/>
      <c r="H12" s="124"/>
      <c r="I12" s="108">
        <f t="shared" ref="I12:I41" si="3">F12+H12</f>
        <v>1</v>
      </c>
      <c r="J12" s="33" t="s">
        <v>27</v>
      </c>
      <c r="K12" s="112">
        <v>54573.992000000006</v>
      </c>
      <c r="L12" s="97" t="s">
        <v>10</v>
      </c>
      <c r="M12" s="98">
        <f t="shared" si="0"/>
        <v>54573.992000000006</v>
      </c>
      <c r="N12" s="99"/>
      <c r="O12" s="100">
        <f t="shared" si="1"/>
        <v>54573.992000000006</v>
      </c>
      <c r="P12" s="101" t="s">
        <v>12</v>
      </c>
      <c r="Q12" s="98">
        <f t="shared" si="2"/>
        <v>2.0000000076834112E-3</v>
      </c>
      <c r="R12" s="85" t="s">
        <v>12</v>
      </c>
      <c r="S12" s="157">
        <f>SUMIF(Invoices!$D$2:$D$25,' Accting USE Data Entry Form'!$B12,Invoices!$G$2:$G$25)</f>
        <v>54573.99</v>
      </c>
      <c r="T12" s="85" t="s">
        <v>10</v>
      </c>
      <c r="U12" s="86">
        <f>+O12-Q12-S12</f>
        <v>0</v>
      </c>
    </row>
    <row r="13" spans="1:22" ht="14.4" customHeight="1" x14ac:dyDescent="0.25">
      <c r="A13" s="83">
        <v>3</v>
      </c>
      <c r="B13" s="84" t="s">
        <v>51</v>
      </c>
      <c r="C13" s="116">
        <v>42333</v>
      </c>
      <c r="D13" s="116"/>
      <c r="E13" s="116"/>
      <c r="F13" s="111">
        <v>1</v>
      </c>
      <c r="G13" s="159"/>
      <c r="H13" s="124"/>
      <c r="I13" s="108">
        <f t="shared" si="3"/>
        <v>1</v>
      </c>
      <c r="J13" s="33" t="s">
        <v>27</v>
      </c>
      <c r="K13" s="112">
        <v>54573.992000000006</v>
      </c>
      <c r="L13" s="97" t="s">
        <v>10</v>
      </c>
      <c r="M13" s="98">
        <f t="shared" si="0"/>
        <v>54573.992000000006</v>
      </c>
      <c r="N13" s="99"/>
      <c r="O13" s="100">
        <f t="shared" si="1"/>
        <v>54573.992000000006</v>
      </c>
      <c r="P13" s="101" t="s">
        <v>12</v>
      </c>
      <c r="Q13" s="98">
        <f t="shared" si="2"/>
        <v>2.0000000076834112E-3</v>
      </c>
      <c r="R13" s="85" t="s">
        <v>12</v>
      </c>
      <c r="S13" s="157">
        <f>SUMIF(Invoices!$D$2:$D$25,' Accting USE Data Entry Form'!$B13,Invoices!$G$2:$G$25)</f>
        <v>54573.99</v>
      </c>
      <c r="T13" s="85" t="s">
        <v>10</v>
      </c>
      <c r="U13" s="86">
        <f>+O13-Q13-S13</f>
        <v>0</v>
      </c>
    </row>
    <row r="14" spans="1:22" ht="14.4" customHeight="1" x14ac:dyDescent="0.25">
      <c r="A14" s="83">
        <v>4</v>
      </c>
      <c r="B14" s="84" t="s">
        <v>52</v>
      </c>
      <c r="C14" s="116">
        <v>42391</v>
      </c>
      <c r="D14" s="116"/>
      <c r="E14" s="116"/>
      <c r="F14" s="111">
        <v>1</v>
      </c>
      <c r="G14" s="159"/>
      <c r="H14" s="124"/>
      <c r="I14" s="108">
        <f t="shared" si="3"/>
        <v>1</v>
      </c>
      <c r="J14" s="33" t="s">
        <v>27</v>
      </c>
      <c r="K14" s="112">
        <v>114938.04</v>
      </c>
      <c r="L14" s="97" t="s">
        <v>10</v>
      </c>
      <c r="M14" s="98">
        <f t="shared" si="0"/>
        <v>114938.04</v>
      </c>
      <c r="N14" s="99"/>
      <c r="O14" s="100">
        <f t="shared" si="1"/>
        <v>114938.04</v>
      </c>
      <c r="P14" s="101" t="s">
        <v>12</v>
      </c>
      <c r="Q14" s="98">
        <f t="shared" si="2"/>
        <v>0</v>
      </c>
      <c r="R14" s="85" t="s">
        <v>12</v>
      </c>
      <c r="S14" s="157">
        <f>SUMIF(Invoices!$D$2:$D$25,' Accting USE Data Entry Form'!$B14,Invoices!$G$2:$G$25)</f>
        <v>114938.04</v>
      </c>
      <c r="T14" s="85" t="s">
        <v>10</v>
      </c>
      <c r="U14" s="86">
        <f>+O14-Q14-S14</f>
        <v>0</v>
      </c>
    </row>
    <row r="15" spans="1:22" ht="14.4" customHeight="1" x14ac:dyDescent="0.25">
      <c r="A15" s="83">
        <v>5</v>
      </c>
      <c r="B15" s="84" t="s">
        <v>53</v>
      </c>
      <c r="C15" s="116">
        <v>42433</v>
      </c>
      <c r="D15" s="116"/>
      <c r="E15" s="116"/>
      <c r="F15" s="111">
        <v>1</v>
      </c>
      <c r="G15" s="159"/>
      <c r="H15" s="124"/>
      <c r="I15" s="108">
        <f t="shared" si="3"/>
        <v>1</v>
      </c>
      <c r="J15" s="33" t="s">
        <v>27</v>
      </c>
      <c r="K15" s="112">
        <v>229876.08</v>
      </c>
      <c r="L15" s="97" t="s">
        <v>10</v>
      </c>
      <c r="M15" s="102">
        <f t="shared" si="0"/>
        <v>229876.08</v>
      </c>
      <c r="N15" s="99"/>
      <c r="O15" s="100">
        <f t="shared" si="1"/>
        <v>229876.08</v>
      </c>
      <c r="P15" s="101" t="s">
        <v>12</v>
      </c>
      <c r="Q15" s="98">
        <f t="shared" si="2"/>
        <v>0</v>
      </c>
      <c r="R15" s="85" t="s">
        <v>12</v>
      </c>
      <c r="S15" s="157">
        <f>SUMIF(Invoices!$D$2:$D$25,' Accting USE Data Entry Form'!$B15,Invoices!$G$2:$G$25)</f>
        <v>229876.08</v>
      </c>
      <c r="T15" s="85" t="s">
        <v>10</v>
      </c>
      <c r="U15" s="86">
        <f>+O15-Q15-S15</f>
        <v>0</v>
      </c>
    </row>
    <row r="16" spans="1:22" ht="14.4" customHeight="1" x14ac:dyDescent="0.25">
      <c r="A16" s="83">
        <v>6</v>
      </c>
      <c r="B16" s="84" t="s">
        <v>54</v>
      </c>
      <c r="C16" s="116">
        <v>42562</v>
      </c>
      <c r="D16" s="116">
        <v>42664</v>
      </c>
      <c r="E16" s="116">
        <v>42664</v>
      </c>
      <c r="F16" s="128">
        <v>1</v>
      </c>
      <c r="G16" s="154"/>
      <c r="H16" s="124"/>
      <c r="I16" s="108">
        <f t="shared" si="3"/>
        <v>1</v>
      </c>
      <c r="J16" s="33" t="s">
        <v>27</v>
      </c>
      <c r="K16" s="112">
        <v>229876.08</v>
      </c>
      <c r="L16" s="97" t="s">
        <v>10</v>
      </c>
      <c r="M16" s="102">
        <f t="shared" si="0"/>
        <v>229876.08</v>
      </c>
      <c r="N16" s="99"/>
      <c r="O16" s="100">
        <f t="shared" si="1"/>
        <v>229876.08</v>
      </c>
      <c r="P16" s="101" t="s">
        <v>12</v>
      </c>
      <c r="Q16" s="98">
        <f t="shared" si="2"/>
        <v>0</v>
      </c>
      <c r="R16" s="85" t="s">
        <v>12</v>
      </c>
      <c r="S16" s="157">
        <f>SUMIF(Invoices!$D$2:$D$25,' Accting USE Data Entry Form'!$B16,Invoices!$G$2:$G$25)</f>
        <v>229876.08</v>
      </c>
      <c r="T16" s="85" t="s">
        <v>10</v>
      </c>
      <c r="U16" s="86">
        <v>0</v>
      </c>
    </row>
    <row r="17" spans="1:21" ht="14.4" customHeight="1" x14ac:dyDescent="0.25">
      <c r="A17" s="83">
        <v>7</v>
      </c>
      <c r="B17" s="84" t="s">
        <v>55</v>
      </c>
      <c r="C17" s="116">
        <v>42391</v>
      </c>
      <c r="D17" s="116"/>
      <c r="E17" s="116"/>
      <c r="F17" s="128">
        <v>1</v>
      </c>
      <c r="G17" s="154"/>
      <c r="H17" s="124"/>
      <c r="I17" s="108">
        <f t="shared" si="3"/>
        <v>1</v>
      </c>
      <c r="J17" s="33" t="s">
        <v>27</v>
      </c>
      <c r="K17" s="112">
        <v>777203.75</v>
      </c>
      <c r="L17" s="97" t="s">
        <v>10</v>
      </c>
      <c r="M17" s="102">
        <f t="shared" si="0"/>
        <v>777203.75</v>
      </c>
      <c r="N17" s="99"/>
      <c r="O17" s="100">
        <f>+M17</f>
        <v>777203.75</v>
      </c>
      <c r="P17" s="101" t="s">
        <v>12</v>
      </c>
      <c r="Q17" s="98">
        <f t="shared" si="2"/>
        <v>0</v>
      </c>
      <c r="R17" s="85" t="s">
        <v>12</v>
      </c>
      <c r="S17" s="157">
        <f>SUMIF(Invoices!$D$2:$D$25,' Accting USE Data Entry Form'!$B17,Invoices!$G$2:$G$25)</f>
        <v>777203.75</v>
      </c>
      <c r="T17" s="85" t="s">
        <v>10</v>
      </c>
      <c r="U17" s="86">
        <f t="shared" ref="U17:U61" si="4">+O17-Q17-S17</f>
        <v>0</v>
      </c>
    </row>
    <row r="18" spans="1:21" ht="14.4" customHeight="1" x14ac:dyDescent="0.25">
      <c r="A18" s="83">
        <v>8</v>
      </c>
      <c r="B18" s="81" t="s">
        <v>56</v>
      </c>
      <c r="C18" s="117">
        <v>42591</v>
      </c>
      <c r="D18" s="118"/>
      <c r="E18" s="118"/>
      <c r="F18" s="128">
        <v>1</v>
      </c>
      <c r="G18" s="154"/>
      <c r="H18" s="125"/>
      <c r="I18" s="108">
        <f t="shared" si="3"/>
        <v>1</v>
      </c>
      <c r="J18" s="82" t="s">
        <v>27</v>
      </c>
      <c r="K18" s="113">
        <v>2176170.5</v>
      </c>
      <c r="L18" s="97" t="s">
        <v>10</v>
      </c>
      <c r="M18" s="102">
        <f t="shared" si="0"/>
        <v>2176170.5</v>
      </c>
      <c r="N18" s="99"/>
      <c r="O18" s="100">
        <f>+M18</f>
        <v>2176170.5</v>
      </c>
      <c r="P18" s="101" t="s">
        <v>12</v>
      </c>
      <c r="Q18" s="98">
        <f t="shared" si="2"/>
        <v>0</v>
      </c>
      <c r="R18" s="85" t="s">
        <v>12</v>
      </c>
      <c r="S18" s="157">
        <f>SUMIF(Invoices!$D$2:$D$25,' Accting USE Data Entry Form'!$B18,Invoices!$G$2:$G$25)</f>
        <v>2176170.5</v>
      </c>
      <c r="T18" s="85" t="s">
        <v>10</v>
      </c>
      <c r="U18" s="86">
        <f t="shared" si="4"/>
        <v>0</v>
      </c>
    </row>
    <row r="19" spans="1:21" ht="14.4" customHeight="1" x14ac:dyDescent="0.25">
      <c r="A19" s="83">
        <v>9</v>
      </c>
      <c r="B19" s="81" t="s">
        <v>57</v>
      </c>
      <c r="C19" s="117">
        <v>42668</v>
      </c>
      <c r="D19" s="118"/>
      <c r="E19" s="118"/>
      <c r="F19" s="128">
        <v>1</v>
      </c>
      <c r="G19" s="154"/>
      <c r="H19" s="125"/>
      <c r="I19" s="108">
        <f t="shared" si="3"/>
        <v>1</v>
      </c>
      <c r="J19" s="82" t="s">
        <v>27</v>
      </c>
      <c r="K19" s="113">
        <v>233161.13</v>
      </c>
      <c r="L19" s="97" t="s">
        <v>10</v>
      </c>
      <c r="M19" s="102">
        <f t="shared" si="0"/>
        <v>233161.13</v>
      </c>
      <c r="N19" s="99"/>
      <c r="O19" s="100">
        <f>+M19</f>
        <v>233161.13</v>
      </c>
      <c r="P19" s="101"/>
      <c r="Q19" s="98">
        <f t="shared" si="2"/>
        <v>0</v>
      </c>
      <c r="R19" s="85"/>
      <c r="S19" s="157">
        <f>SUMIF(Invoices!$D$2:$D$25,' Accting USE Data Entry Form'!$B19,Invoices!$G$2:$G$25)</f>
        <v>233161.13</v>
      </c>
      <c r="T19" s="85" t="s">
        <v>10</v>
      </c>
      <c r="U19" s="86">
        <f t="shared" si="4"/>
        <v>0</v>
      </c>
    </row>
    <row r="20" spans="1:21" ht="14.4" customHeight="1" x14ac:dyDescent="0.25">
      <c r="A20" s="83">
        <v>10</v>
      </c>
      <c r="B20" s="81" t="s">
        <v>58</v>
      </c>
      <c r="C20" s="117">
        <v>42675</v>
      </c>
      <c r="D20" s="118"/>
      <c r="E20" s="118"/>
      <c r="F20" s="128">
        <v>1</v>
      </c>
      <c r="G20" s="154"/>
      <c r="H20" s="125"/>
      <c r="I20" s="108">
        <f t="shared" si="3"/>
        <v>1</v>
      </c>
      <c r="J20" s="82" t="s">
        <v>27</v>
      </c>
      <c r="K20" s="113">
        <v>233161.13</v>
      </c>
      <c r="L20" s="97" t="s">
        <v>10</v>
      </c>
      <c r="M20" s="102">
        <f t="shared" si="0"/>
        <v>233161.13</v>
      </c>
      <c r="N20" s="99"/>
      <c r="O20" s="100">
        <f>+M20</f>
        <v>233161.13</v>
      </c>
      <c r="P20" s="101" t="s">
        <v>12</v>
      </c>
      <c r="Q20" s="98">
        <f t="shared" si="2"/>
        <v>23316.112999999983</v>
      </c>
      <c r="R20" s="85" t="s">
        <v>12</v>
      </c>
      <c r="S20" s="157">
        <f>SUMIF(Invoices!$D$2:$D$25,' Accting USE Data Entry Form'!$B20,Invoices!$G$2:$G$25)</f>
        <v>209845.01700000002</v>
      </c>
      <c r="T20" s="85" t="s">
        <v>10</v>
      </c>
      <c r="U20" s="86">
        <f t="shared" si="4"/>
        <v>0</v>
      </c>
    </row>
    <row r="21" spans="1:21" ht="14.4" customHeight="1" x14ac:dyDescent="0.25">
      <c r="A21" s="83">
        <v>11</v>
      </c>
      <c r="B21" s="81" t="s">
        <v>59</v>
      </c>
      <c r="C21" s="117">
        <v>42682</v>
      </c>
      <c r="D21" s="118"/>
      <c r="E21" s="118"/>
      <c r="F21" s="128">
        <v>1</v>
      </c>
      <c r="G21" s="113"/>
      <c r="H21" s="125"/>
      <c r="I21" s="108">
        <f t="shared" si="3"/>
        <v>1</v>
      </c>
      <c r="J21" s="82" t="s">
        <v>27</v>
      </c>
      <c r="K21" s="113">
        <v>233161.13</v>
      </c>
      <c r="L21" s="97" t="s">
        <v>10</v>
      </c>
      <c r="M21" s="102">
        <f t="shared" si="0"/>
        <v>233161.13</v>
      </c>
      <c r="N21" s="99"/>
      <c r="O21" s="100">
        <f t="shared" ref="O21:O32" si="5">+M21</f>
        <v>233161.13</v>
      </c>
      <c r="P21" s="101" t="s">
        <v>12</v>
      </c>
      <c r="Q21" s="98">
        <f t="shared" si="2"/>
        <v>5.0000000046566129E-3</v>
      </c>
      <c r="R21" s="85" t="s">
        <v>12</v>
      </c>
      <c r="S21" s="157">
        <f>SUMIF(Invoices!$D$2:$D$27,' Accting USE Data Entry Form'!$B21,Invoices!$G$2:$G$27)</f>
        <v>233161.125</v>
      </c>
      <c r="T21" s="85" t="s">
        <v>10</v>
      </c>
      <c r="U21" s="86">
        <f t="shared" si="4"/>
        <v>0</v>
      </c>
    </row>
    <row r="22" spans="1:21" ht="14.4" customHeight="1" x14ac:dyDescent="0.25">
      <c r="A22" s="83">
        <v>12</v>
      </c>
      <c r="B22" s="81" t="s">
        <v>60</v>
      </c>
      <c r="C22" s="117">
        <v>42689</v>
      </c>
      <c r="D22" s="118"/>
      <c r="E22" s="118"/>
      <c r="F22" s="128">
        <v>0.5</v>
      </c>
      <c r="G22" s="113"/>
      <c r="H22" s="125"/>
      <c r="I22" s="108">
        <f t="shared" si="3"/>
        <v>0.5</v>
      </c>
      <c r="J22" s="82" t="s">
        <v>27</v>
      </c>
      <c r="K22" s="113">
        <v>233161.13</v>
      </c>
      <c r="L22" s="97" t="s">
        <v>10</v>
      </c>
      <c r="M22" s="102">
        <f t="shared" si="0"/>
        <v>116580.565</v>
      </c>
      <c r="N22" s="99"/>
      <c r="O22" s="100">
        <f t="shared" si="5"/>
        <v>116580.565</v>
      </c>
      <c r="P22" s="101" t="s">
        <v>12</v>
      </c>
      <c r="Q22" s="98">
        <f t="shared" si="2"/>
        <v>2.5000000023283064E-3</v>
      </c>
      <c r="R22" s="85" t="s">
        <v>12</v>
      </c>
      <c r="S22" s="157">
        <f>SUMIF(Invoices!$D$2:$D$25,' Accting USE Data Entry Form'!$B22,Invoices!$G$2:$G$25)</f>
        <v>116580.5625</v>
      </c>
      <c r="T22" s="85" t="s">
        <v>10</v>
      </c>
      <c r="U22" s="86">
        <f t="shared" si="4"/>
        <v>0</v>
      </c>
    </row>
    <row r="23" spans="1:21" ht="14.4" customHeight="1" x14ac:dyDescent="0.25">
      <c r="A23" s="83">
        <v>13</v>
      </c>
      <c r="B23" s="81" t="s">
        <v>61</v>
      </c>
      <c r="C23" s="117">
        <v>42696</v>
      </c>
      <c r="D23" s="118"/>
      <c r="E23" s="118"/>
      <c r="F23" s="128">
        <v>1</v>
      </c>
      <c r="G23" s="113"/>
      <c r="H23" s="125"/>
      <c r="I23" s="108">
        <f t="shared" si="3"/>
        <v>1</v>
      </c>
      <c r="J23" s="82" t="s">
        <v>27</v>
      </c>
      <c r="K23" s="113">
        <v>233161.13</v>
      </c>
      <c r="L23" s="97" t="s">
        <v>10</v>
      </c>
      <c r="M23" s="102">
        <f t="shared" si="0"/>
        <v>233161.13</v>
      </c>
      <c r="N23" s="99"/>
      <c r="O23" s="100">
        <f t="shared" si="5"/>
        <v>233161.13</v>
      </c>
      <c r="P23" s="101" t="s">
        <v>12</v>
      </c>
      <c r="Q23" s="98">
        <f t="shared" si="2"/>
        <v>5.0000000046566129E-3</v>
      </c>
      <c r="R23" s="85" t="s">
        <v>12</v>
      </c>
      <c r="S23" s="157">
        <f>SUMIF(Invoices!$D$2:$D$27,' Accting USE Data Entry Form'!$B23,Invoices!$G$2:$G$27)</f>
        <v>233161.125</v>
      </c>
      <c r="T23" s="85" t="s">
        <v>10</v>
      </c>
      <c r="U23" s="86">
        <f t="shared" si="4"/>
        <v>0</v>
      </c>
    </row>
    <row r="24" spans="1:21" ht="14.4" customHeight="1" x14ac:dyDescent="0.25">
      <c r="A24" s="83">
        <v>14</v>
      </c>
      <c r="B24" s="81" t="s">
        <v>62</v>
      </c>
      <c r="C24" s="117">
        <v>42703</v>
      </c>
      <c r="D24" s="118"/>
      <c r="E24" s="118"/>
      <c r="F24" s="128">
        <v>0</v>
      </c>
      <c r="G24" s="154">
        <v>233161.13</v>
      </c>
      <c r="H24" s="125">
        <f>G24/K24</f>
        <v>1</v>
      </c>
      <c r="I24" s="108">
        <f t="shared" si="3"/>
        <v>1</v>
      </c>
      <c r="J24" s="82" t="s">
        <v>27</v>
      </c>
      <c r="K24" s="113">
        <v>233161.13</v>
      </c>
      <c r="L24" s="97" t="s">
        <v>10</v>
      </c>
      <c r="M24" s="102">
        <f t="shared" si="0"/>
        <v>233161.13</v>
      </c>
      <c r="N24" s="99"/>
      <c r="O24" s="100">
        <f t="shared" si="5"/>
        <v>233161.13</v>
      </c>
      <c r="P24" s="101" t="s">
        <v>12</v>
      </c>
      <c r="Q24" s="98">
        <f t="shared" si="2"/>
        <v>0</v>
      </c>
      <c r="R24" s="85" t="s">
        <v>12</v>
      </c>
      <c r="S24" s="157">
        <f>SUMIF(Invoices!$D$2:$D$27,' Accting USE Data Entry Form'!$B24,Invoices!$G$2:$G$27)</f>
        <v>233161.13</v>
      </c>
      <c r="T24" s="85" t="s">
        <v>10</v>
      </c>
      <c r="U24" s="86">
        <f t="shared" si="4"/>
        <v>0</v>
      </c>
    </row>
    <row r="25" spans="1:21" ht="14.4" customHeight="1" x14ac:dyDescent="0.25">
      <c r="A25" s="83">
        <v>15</v>
      </c>
      <c r="B25" s="81" t="s">
        <v>63</v>
      </c>
      <c r="C25" s="117">
        <v>42710</v>
      </c>
      <c r="D25" s="118"/>
      <c r="E25" s="118"/>
      <c r="F25" s="128">
        <v>0</v>
      </c>
      <c r="G25" s="154"/>
      <c r="H25" s="125"/>
      <c r="I25" s="108">
        <f t="shared" si="3"/>
        <v>0</v>
      </c>
      <c r="J25" s="82" t="s">
        <v>27</v>
      </c>
      <c r="K25" s="113">
        <v>233161.13</v>
      </c>
      <c r="L25" s="97" t="s">
        <v>10</v>
      </c>
      <c r="M25" s="102">
        <f t="shared" si="0"/>
        <v>0</v>
      </c>
      <c r="N25" s="99"/>
      <c r="O25" s="100">
        <f t="shared" si="5"/>
        <v>0</v>
      </c>
      <c r="P25" s="101" t="s">
        <v>12</v>
      </c>
      <c r="Q25" s="98">
        <f t="shared" si="2"/>
        <v>0</v>
      </c>
      <c r="R25" s="85" t="s">
        <v>12</v>
      </c>
      <c r="S25" s="157">
        <f>SUMIF(Invoices!$D$2:$D$27,' Accting USE Data Entry Form'!$B25,Invoices!$G$2:$G$27)</f>
        <v>0</v>
      </c>
      <c r="T25" s="85" t="s">
        <v>10</v>
      </c>
      <c r="U25" s="86">
        <f t="shared" si="4"/>
        <v>0</v>
      </c>
    </row>
    <row r="26" spans="1:21" ht="14.4" customHeight="1" x14ac:dyDescent="0.25">
      <c r="A26" s="83">
        <v>16</v>
      </c>
      <c r="B26" s="81" t="s">
        <v>64</v>
      </c>
      <c r="C26" s="117">
        <v>42717</v>
      </c>
      <c r="D26" s="118"/>
      <c r="E26" s="118"/>
      <c r="F26" s="128">
        <v>0</v>
      </c>
      <c r="G26" s="154"/>
      <c r="H26" s="125"/>
      <c r="I26" s="108">
        <f t="shared" si="3"/>
        <v>0</v>
      </c>
      <c r="J26" s="82" t="s">
        <v>27</v>
      </c>
      <c r="K26" s="113">
        <v>233161.13</v>
      </c>
      <c r="L26" s="97" t="s">
        <v>10</v>
      </c>
      <c r="M26" s="102">
        <f t="shared" si="0"/>
        <v>0</v>
      </c>
      <c r="N26" s="99"/>
      <c r="O26" s="100">
        <f t="shared" si="5"/>
        <v>0</v>
      </c>
      <c r="P26" s="101" t="s">
        <v>12</v>
      </c>
      <c r="Q26" s="98">
        <f t="shared" si="2"/>
        <v>0</v>
      </c>
      <c r="R26" s="85" t="s">
        <v>12</v>
      </c>
      <c r="S26" s="157">
        <f>SUMIF(Invoices!$D$2:$D$27,' Accting USE Data Entry Form'!$B26,Invoices!$G$2:$G$27)</f>
        <v>0</v>
      </c>
      <c r="T26" s="85" t="s">
        <v>10</v>
      </c>
      <c r="U26" s="86">
        <f t="shared" si="4"/>
        <v>0</v>
      </c>
    </row>
    <row r="27" spans="1:21" ht="14.4" customHeight="1" x14ac:dyDescent="0.25">
      <c r="A27" s="83">
        <v>17</v>
      </c>
      <c r="B27" s="81" t="s">
        <v>65</v>
      </c>
      <c r="C27" s="117">
        <v>42724</v>
      </c>
      <c r="D27" s="118"/>
      <c r="E27" s="118"/>
      <c r="F27" s="128">
        <v>0</v>
      </c>
      <c r="G27" s="154"/>
      <c r="H27" s="125"/>
      <c r="I27" s="108">
        <f t="shared" si="3"/>
        <v>0</v>
      </c>
      <c r="J27" s="82" t="s">
        <v>27</v>
      </c>
      <c r="K27" s="113">
        <v>233161.13</v>
      </c>
      <c r="L27" s="97" t="s">
        <v>10</v>
      </c>
      <c r="M27" s="102">
        <f t="shared" si="0"/>
        <v>0</v>
      </c>
      <c r="N27" s="99"/>
      <c r="O27" s="100">
        <f t="shared" si="5"/>
        <v>0</v>
      </c>
      <c r="P27" s="101" t="s">
        <v>12</v>
      </c>
      <c r="Q27" s="98">
        <f t="shared" si="2"/>
        <v>0</v>
      </c>
      <c r="R27" s="85" t="s">
        <v>12</v>
      </c>
      <c r="S27" s="157">
        <f>SUMIF(Invoices!$D$2:$D$27,' Accting USE Data Entry Form'!$B27,Invoices!$G$2:$G$27)</f>
        <v>0</v>
      </c>
      <c r="T27" s="85" t="s">
        <v>10</v>
      </c>
      <c r="U27" s="86">
        <f t="shared" si="4"/>
        <v>0</v>
      </c>
    </row>
    <row r="28" spans="1:21" ht="14.4" customHeight="1" x14ac:dyDescent="0.25">
      <c r="A28" s="83">
        <v>18</v>
      </c>
      <c r="B28" s="81" t="s">
        <v>66</v>
      </c>
      <c r="C28" s="117">
        <v>42731</v>
      </c>
      <c r="D28" s="118"/>
      <c r="E28" s="118"/>
      <c r="F28" s="128">
        <v>0</v>
      </c>
      <c r="G28" s="154"/>
      <c r="H28" s="125"/>
      <c r="I28" s="108">
        <f t="shared" si="3"/>
        <v>0</v>
      </c>
      <c r="J28" s="82" t="s">
        <v>27</v>
      </c>
      <c r="K28" s="113">
        <v>233161.13</v>
      </c>
      <c r="L28" s="97" t="s">
        <v>10</v>
      </c>
      <c r="M28" s="102">
        <f t="shared" si="0"/>
        <v>0</v>
      </c>
      <c r="N28" s="99"/>
      <c r="O28" s="100">
        <f t="shared" si="5"/>
        <v>0</v>
      </c>
      <c r="P28" s="101" t="s">
        <v>12</v>
      </c>
      <c r="Q28" s="98">
        <f t="shared" si="2"/>
        <v>0</v>
      </c>
      <c r="R28" s="85" t="s">
        <v>12</v>
      </c>
      <c r="S28" s="157">
        <f>SUMIF(Invoices!$D$2:$D$27,' Accting USE Data Entry Form'!$B28,Invoices!$G$2:$G$27)</f>
        <v>0</v>
      </c>
      <c r="T28" s="85" t="s">
        <v>10</v>
      </c>
      <c r="U28" s="86">
        <f t="shared" si="4"/>
        <v>0</v>
      </c>
    </row>
    <row r="29" spans="1:21" ht="14.4" customHeight="1" x14ac:dyDescent="0.25">
      <c r="A29" s="83">
        <v>19</v>
      </c>
      <c r="B29" s="81" t="s">
        <v>67</v>
      </c>
      <c r="C29" s="117">
        <v>42738</v>
      </c>
      <c r="D29" s="118"/>
      <c r="E29" s="118"/>
      <c r="F29" s="128">
        <v>0</v>
      </c>
      <c r="G29" s="154"/>
      <c r="H29" s="125"/>
      <c r="I29" s="108">
        <f t="shared" si="3"/>
        <v>0</v>
      </c>
      <c r="J29" s="82" t="s">
        <v>27</v>
      </c>
      <c r="K29" s="113">
        <v>155440.75</v>
      </c>
      <c r="L29" s="97" t="s">
        <v>10</v>
      </c>
      <c r="M29" s="102">
        <f t="shared" si="0"/>
        <v>0</v>
      </c>
      <c r="N29" s="99"/>
      <c r="O29" s="100">
        <f t="shared" si="5"/>
        <v>0</v>
      </c>
      <c r="P29" s="101" t="s">
        <v>12</v>
      </c>
      <c r="Q29" s="98">
        <f t="shared" si="2"/>
        <v>0</v>
      </c>
      <c r="R29" s="85" t="s">
        <v>12</v>
      </c>
      <c r="S29" s="157">
        <f>SUMIF(Invoices!$D$2:$D$27,' Accting USE Data Entry Form'!$B29,Invoices!$G$2:$G$27)</f>
        <v>0</v>
      </c>
      <c r="T29" s="85" t="s">
        <v>10</v>
      </c>
      <c r="U29" s="86">
        <f t="shared" si="4"/>
        <v>0</v>
      </c>
    </row>
    <row r="30" spans="1:21" ht="14.4" customHeight="1" x14ac:dyDescent="0.25">
      <c r="A30" s="83">
        <v>20</v>
      </c>
      <c r="B30" s="81" t="s">
        <v>68</v>
      </c>
      <c r="C30" s="117">
        <v>42745</v>
      </c>
      <c r="D30" s="118"/>
      <c r="E30" s="118"/>
      <c r="F30" s="128">
        <v>0</v>
      </c>
      <c r="G30" s="154"/>
      <c r="H30" s="125"/>
      <c r="I30" s="108">
        <f t="shared" si="3"/>
        <v>0</v>
      </c>
      <c r="J30" s="82" t="s">
        <v>27</v>
      </c>
      <c r="K30" s="113">
        <v>155440.75</v>
      </c>
      <c r="L30" s="97" t="s">
        <v>10</v>
      </c>
      <c r="M30" s="102">
        <f t="shared" si="0"/>
        <v>0</v>
      </c>
      <c r="N30" s="99"/>
      <c r="O30" s="100">
        <f t="shared" si="5"/>
        <v>0</v>
      </c>
      <c r="P30" s="101" t="s">
        <v>12</v>
      </c>
      <c r="Q30" s="98">
        <f t="shared" si="2"/>
        <v>0</v>
      </c>
      <c r="R30" s="85" t="s">
        <v>12</v>
      </c>
      <c r="S30" s="157">
        <f>SUMIF(Invoices!$D$2:$D$27,' Accting USE Data Entry Form'!$B30,Invoices!$G$2:$G$27)</f>
        <v>0</v>
      </c>
      <c r="T30" s="85" t="s">
        <v>10</v>
      </c>
      <c r="U30" s="86">
        <f t="shared" si="4"/>
        <v>0</v>
      </c>
    </row>
    <row r="31" spans="1:21" ht="14.4" customHeight="1" x14ac:dyDescent="0.25">
      <c r="A31" s="83">
        <v>21</v>
      </c>
      <c r="B31" s="81" t="s">
        <v>69</v>
      </c>
      <c r="C31" s="117">
        <v>42752</v>
      </c>
      <c r="D31" s="118"/>
      <c r="E31" s="118"/>
      <c r="F31" s="128">
        <v>0</v>
      </c>
      <c r="G31" s="154"/>
      <c r="H31" s="125"/>
      <c r="I31" s="108">
        <f t="shared" si="3"/>
        <v>0</v>
      </c>
      <c r="J31" s="82" t="s">
        <v>27</v>
      </c>
      <c r="K31" s="113">
        <v>155440.75</v>
      </c>
      <c r="L31" s="97" t="s">
        <v>10</v>
      </c>
      <c r="M31" s="102">
        <f t="shared" si="0"/>
        <v>0</v>
      </c>
      <c r="N31" s="99"/>
      <c r="O31" s="100">
        <f t="shared" si="5"/>
        <v>0</v>
      </c>
      <c r="P31" s="101" t="s">
        <v>12</v>
      </c>
      <c r="Q31" s="98">
        <f t="shared" si="2"/>
        <v>0</v>
      </c>
      <c r="R31" s="85" t="s">
        <v>12</v>
      </c>
      <c r="S31" s="157">
        <f>SUMIF(Invoices!$D$2:$D$27,' Accting USE Data Entry Form'!$B31,Invoices!$G$2:$G$27)</f>
        <v>0</v>
      </c>
      <c r="T31" s="85" t="s">
        <v>10</v>
      </c>
      <c r="U31" s="86">
        <f t="shared" si="4"/>
        <v>0</v>
      </c>
    </row>
    <row r="32" spans="1:21" ht="14.4" customHeight="1" x14ac:dyDescent="0.25">
      <c r="A32" s="83">
        <v>22</v>
      </c>
      <c r="B32" s="81" t="s">
        <v>70</v>
      </c>
      <c r="C32" s="117">
        <v>42759</v>
      </c>
      <c r="D32" s="118"/>
      <c r="E32" s="118"/>
      <c r="F32" s="128">
        <v>0</v>
      </c>
      <c r="G32" s="154"/>
      <c r="H32" s="125"/>
      <c r="I32" s="108">
        <f t="shared" si="3"/>
        <v>0</v>
      </c>
      <c r="J32" s="82" t="s">
        <v>27</v>
      </c>
      <c r="K32" s="113">
        <v>155440.75</v>
      </c>
      <c r="L32" s="97" t="s">
        <v>10</v>
      </c>
      <c r="M32" s="102">
        <f t="shared" si="0"/>
        <v>0</v>
      </c>
      <c r="N32" s="99"/>
      <c r="O32" s="100">
        <f t="shared" si="5"/>
        <v>0</v>
      </c>
      <c r="P32" s="101" t="s">
        <v>12</v>
      </c>
      <c r="Q32" s="98">
        <f t="shared" si="2"/>
        <v>0</v>
      </c>
      <c r="R32" s="85" t="s">
        <v>12</v>
      </c>
      <c r="S32" s="157">
        <f>SUMIF(Invoices!$D$2:$D$27,' Accting USE Data Entry Form'!$B32,Invoices!$G$2:$G$27)</f>
        <v>0</v>
      </c>
      <c r="T32" s="85" t="s">
        <v>10</v>
      </c>
      <c r="U32" s="86">
        <f t="shared" si="4"/>
        <v>0</v>
      </c>
    </row>
    <row r="33" spans="1:23" ht="14.4" customHeight="1" x14ac:dyDescent="0.25">
      <c r="A33" s="83">
        <v>23</v>
      </c>
      <c r="B33" s="81" t="s">
        <v>114</v>
      </c>
      <c r="C33" s="117">
        <v>42995</v>
      </c>
      <c r="D33" s="118"/>
      <c r="E33" s="118"/>
      <c r="F33" s="128">
        <v>0.35904924168557417</v>
      </c>
      <c r="G33" s="154">
        <v>7621</v>
      </c>
      <c r="H33" s="125">
        <f>G33/K33</f>
        <v>2.9049241685574146E-2</v>
      </c>
      <c r="I33" s="108">
        <f t="shared" si="3"/>
        <v>0.38809848337114833</v>
      </c>
      <c r="J33" s="82" t="s">
        <v>27</v>
      </c>
      <c r="K33" s="113">
        <v>262347.64</v>
      </c>
      <c r="L33" s="97" t="s">
        <v>10</v>
      </c>
      <c r="M33" s="102">
        <f t="shared" si="0"/>
        <v>101816.72120000001</v>
      </c>
      <c r="N33" s="99"/>
      <c r="O33" s="100">
        <f t="shared" ref="O33:O41" si="6">+M33</f>
        <v>101816.72120000001</v>
      </c>
      <c r="P33" s="101" t="s">
        <v>12</v>
      </c>
      <c r="Q33" s="98">
        <f t="shared" si="2"/>
        <v>36229.811200000011</v>
      </c>
      <c r="R33" s="85" t="s">
        <v>12</v>
      </c>
      <c r="S33" s="157">
        <f>SUMIF(Invoices!$D$2:$D$25,' Accting USE Data Entry Form'!$B33,Invoices!$G$2:$G$25)</f>
        <v>65586.91</v>
      </c>
      <c r="T33" s="85" t="s">
        <v>10</v>
      </c>
      <c r="U33" s="86">
        <f t="shared" si="4"/>
        <v>0</v>
      </c>
      <c r="V33" s="120">
        <v>9886</v>
      </c>
      <c r="W33" s="121">
        <f>V33/K33</f>
        <v>3.7682824209891878E-2</v>
      </c>
    </row>
    <row r="34" spans="1:23" ht="14.4" customHeight="1" x14ac:dyDescent="0.25">
      <c r="A34" s="83">
        <v>24</v>
      </c>
      <c r="B34" s="81" t="s">
        <v>93</v>
      </c>
      <c r="C34" s="117">
        <v>42691</v>
      </c>
      <c r="D34" s="118"/>
      <c r="E34" s="118"/>
      <c r="F34" s="128">
        <v>0.16666666666666666</v>
      </c>
      <c r="G34" s="154"/>
      <c r="H34" s="125"/>
      <c r="I34" s="108">
        <f t="shared" si="3"/>
        <v>0.16666666666666666</v>
      </c>
      <c r="J34" s="82" t="s">
        <v>27</v>
      </c>
      <c r="K34" s="113">
        <v>300000</v>
      </c>
      <c r="L34" s="97" t="s">
        <v>10</v>
      </c>
      <c r="M34" s="102">
        <f t="shared" si="0"/>
        <v>50000</v>
      </c>
      <c r="N34" s="99"/>
      <c r="O34" s="100">
        <f t="shared" si="6"/>
        <v>50000</v>
      </c>
      <c r="P34" s="101" t="s">
        <v>12</v>
      </c>
      <c r="Q34" s="98">
        <f t="shared" si="2"/>
        <v>0</v>
      </c>
      <c r="R34" s="85" t="s">
        <v>12</v>
      </c>
      <c r="S34" s="157">
        <f>SUMIF(Invoices!$D$2:$D$27,' Accting USE Data Entry Form'!$B34,Invoices!$G$2:$G$27)</f>
        <v>50000</v>
      </c>
      <c r="T34" s="85" t="s">
        <v>10</v>
      </c>
      <c r="U34" s="86">
        <f t="shared" si="4"/>
        <v>0</v>
      </c>
    </row>
    <row r="35" spans="1:23" ht="14.4" customHeight="1" x14ac:dyDescent="0.25">
      <c r="A35" s="83">
        <v>25</v>
      </c>
      <c r="B35" s="81" t="s">
        <v>94</v>
      </c>
      <c r="C35" s="117">
        <v>42995</v>
      </c>
      <c r="D35" s="118"/>
      <c r="E35" s="118">
        <v>42664</v>
      </c>
      <c r="F35" s="128">
        <v>1</v>
      </c>
      <c r="G35" s="154"/>
      <c r="H35" s="125"/>
      <c r="I35" s="108">
        <f t="shared" si="3"/>
        <v>1</v>
      </c>
      <c r="J35" s="82" t="s">
        <v>27</v>
      </c>
      <c r="K35" s="113">
        <v>2545</v>
      </c>
      <c r="L35" s="97" t="s">
        <v>10</v>
      </c>
      <c r="M35" s="102">
        <f t="shared" si="0"/>
        <v>2545</v>
      </c>
      <c r="N35" s="99"/>
      <c r="O35" s="100">
        <f t="shared" si="6"/>
        <v>2545</v>
      </c>
      <c r="P35" s="101" t="s">
        <v>12</v>
      </c>
      <c r="Q35" s="98">
        <f t="shared" si="2"/>
        <v>0</v>
      </c>
      <c r="R35" s="85" t="s">
        <v>12</v>
      </c>
      <c r="S35" s="157">
        <f>SUMIF(Invoices!$D$2:$D$25,' Accting USE Data Entry Form'!$B35,Invoices!$G$2:$G$25)</f>
        <v>2545</v>
      </c>
      <c r="T35" s="85" t="s">
        <v>10</v>
      </c>
      <c r="U35" s="86">
        <f t="shared" si="4"/>
        <v>0</v>
      </c>
    </row>
    <row r="36" spans="1:23" ht="14.4" customHeight="1" x14ac:dyDescent="0.25">
      <c r="A36" s="83">
        <v>26</v>
      </c>
      <c r="B36" s="81" t="s">
        <v>95</v>
      </c>
      <c r="C36" s="117">
        <v>42643</v>
      </c>
      <c r="D36" s="118"/>
      <c r="E36" s="118"/>
      <c r="F36" s="87">
        <v>1</v>
      </c>
      <c r="G36" s="160"/>
      <c r="H36" s="125"/>
      <c r="I36" s="108">
        <f t="shared" si="3"/>
        <v>1</v>
      </c>
      <c r="J36" s="82" t="s">
        <v>27</v>
      </c>
      <c r="K36" s="113">
        <v>59400</v>
      </c>
      <c r="L36" s="97" t="s">
        <v>10</v>
      </c>
      <c r="M36" s="102">
        <f t="shared" si="0"/>
        <v>59400</v>
      </c>
      <c r="N36" s="99"/>
      <c r="O36" s="100">
        <f t="shared" si="6"/>
        <v>59400</v>
      </c>
      <c r="P36" s="101" t="s">
        <v>12</v>
      </c>
      <c r="Q36" s="98">
        <f t="shared" si="2"/>
        <v>0</v>
      </c>
      <c r="R36" s="85" t="s">
        <v>12</v>
      </c>
      <c r="S36" s="157">
        <f>SUMIF(Invoices!$D$2:$D$27,' Accting USE Data Entry Form'!$B36,Invoices!$G$2:$G$27)</f>
        <v>59400</v>
      </c>
      <c r="T36" s="85" t="s">
        <v>10</v>
      </c>
      <c r="U36" s="86">
        <f t="shared" si="4"/>
        <v>0</v>
      </c>
    </row>
    <row r="37" spans="1:23" ht="14.4" customHeight="1" x14ac:dyDescent="0.25">
      <c r="A37" s="83">
        <v>27</v>
      </c>
      <c r="B37" s="81" t="s">
        <v>71</v>
      </c>
      <c r="C37" s="117">
        <v>42766</v>
      </c>
      <c r="D37" s="118"/>
      <c r="E37" s="118"/>
      <c r="F37" s="87">
        <v>0</v>
      </c>
      <c r="G37" s="160"/>
      <c r="H37" s="125"/>
      <c r="I37" s="108">
        <f t="shared" si="3"/>
        <v>0</v>
      </c>
      <c r="J37" s="82" t="s">
        <v>27</v>
      </c>
      <c r="K37" s="113">
        <v>155440.75</v>
      </c>
      <c r="L37" s="97" t="s">
        <v>10</v>
      </c>
      <c r="M37" s="102">
        <f t="shared" si="0"/>
        <v>0</v>
      </c>
      <c r="N37" s="99"/>
      <c r="O37" s="100">
        <f t="shared" si="6"/>
        <v>0</v>
      </c>
      <c r="P37" s="101" t="s">
        <v>12</v>
      </c>
      <c r="Q37" s="98">
        <f t="shared" si="2"/>
        <v>0</v>
      </c>
      <c r="R37" s="85" t="s">
        <v>12</v>
      </c>
      <c r="S37" s="157">
        <f>SUMIF(Invoices!$D$2:$D$27,' Accting USE Data Entry Form'!$B37,Invoices!$G$2:$G$27)</f>
        <v>0</v>
      </c>
      <c r="T37" s="85" t="s">
        <v>10</v>
      </c>
      <c r="U37" s="86">
        <f t="shared" si="4"/>
        <v>0</v>
      </c>
    </row>
    <row r="38" spans="1:23" ht="14.4" customHeight="1" x14ac:dyDescent="0.25">
      <c r="A38" s="83">
        <v>28</v>
      </c>
      <c r="B38" s="81" t="s">
        <v>72</v>
      </c>
      <c r="C38" s="117">
        <v>42773</v>
      </c>
      <c r="D38" s="118"/>
      <c r="E38" s="118"/>
      <c r="F38" s="87">
        <v>0</v>
      </c>
      <c r="G38" s="160"/>
      <c r="H38" s="125"/>
      <c r="I38" s="108">
        <f t="shared" si="3"/>
        <v>0</v>
      </c>
      <c r="J38" s="82" t="s">
        <v>27</v>
      </c>
      <c r="K38" s="113">
        <v>155440.75</v>
      </c>
      <c r="L38" s="97" t="s">
        <v>10</v>
      </c>
      <c r="M38" s="102">
        <f t="shared" si="0"/>
        <v>0</v>
      </c>
      <c r="N38" s="99"/>
      <c r="O38" s="100">
        <f t="shared" si="6"/>
        <v>0</v>
      </c>
      <c r="P38" s="101" t="s">
        <v>12</v>
      </c>
      <c r="Q38" s="98">
        <f t="shared" si="2"/>
        <v>0</v>
      </c>
      <c r="R38" s="85" t="s">
        <v>12</v>
      </c>
      <c r="S38" s="157">
        <f>SUMIF(Invoices!$D$2:$D$27,' Accting USE Data Entry Form'!$B38,Invoices!$G$2:$G$27)</f>
        <v>0</v>
      </c>
      <c r="T38" s="85" t="s">
        <v>10</v>
      </c>
      <c r="U38" s="86">
        <f t="shared" si="4"/>
        <v>0</v>
      </c>
    </row>
    <row r="39" spans="1:23" ht="14.4" customHeight="1" x14ac:dyDescent="0.25">
      <c r="A39" s="83">
        <v>29</v>
      </c>
      <c r="B39" s="81" t="s">
        <v>99</v>
      </c>
      <c r="C39" s="117">
        <v>43008</v>
      </c>
      <c r="D39" s="118"/>
      <c r="E39" s="118"/>
      <c r="F39" s="87">
        <v>1</v>
      </c>
      <c r="G39" s="160"/>
      <c r="H39" s="125"/>
      <c r="I39" s="108">
        <f t="shared" si="3"/>
        <v>1</v>
      </c>
      <c r="J39" s="82" t="s">
        <v>27</v>
      </c>
      <c r="K39" s="113">
        <v>25000</v>
      </c>
      <c r="L39" s="97" t="s">
        <v>10</v>
      </c>
      <c r="M39" s="102">
        <f t="shared" si="0"/>
        <v>25000</v>
      </c>
      <c r="N39" s="99"/>
      <c r="O39" s="100">
        <f t="shared" si="6"/>
        <v>25000</v>
      </c>
      <c r="P39" s="101" t="s">
        <v>12</v>
      </c>
      <c r="Q39" s="98">
        <f t="shared" si="2"/>
        <v>0</v>
      </c>
      <c r="R39" s="85" t="s">
        <v>12</v>
      </c>
      <c r="S39" s="157">
        <f>SUMIF(Invoices!$D$2:$D$25,' Accting USE Data Entry Form'!$B39,Invoices!$G$2:$G$25)</f>
        <v>25000</v>
      </c>
      <c r="T39" s="85" t="s">
        <v>10</v>
      </c>
      <c r="U39" s="86">
        <f t="shared" si="4"/>
        <v>0</v>
      </c>
    </row>
    <row r="40" spans="1:23" ht="14.4" customHeight="1" x14ac:dyDescent="0.25">
      <c r="A40" s="83">
        <v>30</v>
      </c>
      <c r="B40" s="81" t="s">
        <v>113</v>
      </c>
      <c r="C40" s="117">
        <v>43008</v>
      </c>
      <c r="D40" s="118"/>
      <c r="E40" s="118"/>
      <c r="F40" s="87">
        <v>8.5470120481927703E-2</v>
      </c>
      <c r="G40" s="160">
        <v>14188.04</v>
      </c>
      <c r="H40" s="125">
        <f>G40/K40</f>
        <v>3.4188048192771089E-2</v>
      </c>
      <c r="I40" s="108">
        <f t="shared" si="3"/>
        <v>0.11965816867469879</v>
      </c>
      <c r="J40" s="82" t="s">
        <v>27</v>
      </c>
      <c r="K40" s="113">
        <v>415000</v>
      </c>
      <c r="L40" s="97" t="s">
        <v>10</v>
      </c>
      <c r="M40" s="102">
        <f>I40*K40</f>
        <v>49658.14</v>
      </c>
      <c r="N40" s="99"/>
      <c r="O40" s="100">
        <f>+M40</f>
        <v>49658.14</v>
      </c>
      <c r="P40" s="101" t="s">
        <v>12</v>
      </c>
      <c r="Q40" s="98">
        <f>O40-S40</f>
        <v>0</v>
      </c>
      <c r="R40" s="85" t="s">
        <v>12</v>
      </c>
      <c r="S40" s="157">
        <f>SUMIF(Invoices!$D$2:$D$27,' Accting USE Data Entry Form'!$B40,Invoices!$G$2:$G$27)</f>
        <v>49658.140000000007</v>
      </c>
      <c r="T40" s="85" t="s">
        <v>10</v>
      </c>
      <c r="U40" s="86">
        <f>+O40-Q40-S40</f>
        <v>0</v>
      </c>
    </row>
    <row r="41" spans="1:23" ht="14.4" customHeight="1" x14ac:dyDescent="0.25">
      <c r="A41" s="83">
        <v>31</v>
      </c>
      <c r="B41" s="81" t="s">
        <v>115</v>
      </c>
      <c r="C41" s="117">
        <v>42787</v>
      </c>
      <c r="D41" s="118"/>
      <c r="E41" s="118"/>
      <c r="F41" s="87">
        <v>0</v>
      </c>
      <c r="G41" s="160"/>
      <c r="H41" s="125"/>
      <c r="I41" s="108">
        <f t="shared" si="3"/>
        <v>0</v>
      </c>
      <c r="J41" s="82" t="s">
        <v>27</v>
      </c>
      <c r="K41" s="113">
        <v>11830</v>
      </c>
      <c r="L41" s="97" t="s">
        <v>10</v>
      </c>
      <c r="M41" s="102">
        <f t="shared" si="0"/>
        <v>0</v>
      </c>
      <c r="N41" s="99"/>
      <c r="O41" s="100">
        <f t="shared" si="6"/>
        <v>0</v>
      </c>
      <c r="P41" s="101" t="s">
        <v>12</v>
      </c>
      <c r="Q41" s="98">
        <f t="shared" si="2"/>
        <v>0</v>
      </c>
      <c r="R41" s="85" t="s">
        <v>12</v>
      </c>
      <c r="S41" s="157">
        <f>SUMIF(Invoices!$D$2:$D$27,' Accting USE Data Entry Form'!$B41,Invoices!$G$2:$G$27)</f>
        <v>0</v>
      </c>
      <c r="T41" s="85" t="s">
        <v>10</v>
      </c>
      <c r="U41" s="86">
        <f t="shared" si="4"/>
        <v>0</v>
      </c>
    </row>
    <row r="42" spans="1:23" ht="14.4" customHeight="1" x14ac:dyDescent="0.25">
      <c r="A42" s="83">
        <v>32</v>
      </c>
      <c r="B42" s="81" t="s">
        <v>73</v>
      </c>
      <c r="C42" s="117">
        <v>42787</v>
      </c>
      <c r="D42" s="118"/>
      <c r="E42" s="118"/>
      <c r="F42" s="87">
        <v>0</v>
      </c>
      <c r="G42" s="160"/>
      <c r="H42" s="125"/>
      <c r="I42" s="108">
        <f t="shared" ref="I42:I56" si="7">F42+H42</f>
        <v>0</v>
      </c>
      <c r="J42" s="82" t="s">
        <v>27</v>
      </c>
      <c r="K42" s="113">
        <v>155440.75</v>
      </c>
      <c r="L42" s="97" t="s">
        <v>10</v>
      </c>
      <c r="M42" s="102">
        <f t="shared" ref="M42:M56" si="8">I42*K42</f>
        <v>0</v>
      </c>
      <c r="N42" s="99"/>
      <c r="O42" s="100">
        <f t="shared" ref="O42:O56" si="9">+M42</f>
        <v>0</v>
      </c>
      <c r="P42" s="101" t="s">
        <v>12</v>
      </c>
      <c r="Q42" s="98">
        <f t="shared" ref="Q42:Q56" si="10">O42-S42</f>
        <v>0</v>
      </c>
      <c r="R42" s="85" t="s">
        <v>12</v>
      </c>
      <c r="S42" s="157">
        <f>SUMIF(Invoices!$D$2:$D$27,' Accting USE Data Entry Form'!$B42,Invoices!$G$2:$G$27)</f>
        <v>0</v>
      </c>
      <c r="T42" s="85" t="s">
        <v>10</v>
      </c>
      <c r="U42" s="86">
        <f t="shared" ref="U42:U56" si="11">+O42-Q42-S42</f>
        <v>0</v>
      </c>
    </row>
    <row r="43" spans="1:23" ht="14.4" customHeight="1" x14ac:dyDescent="0.25">
      <c r="A43" s="83">
        <v>33</v>
      </c>
      <c r="B43" s="81" t="s">
        <v>74</v>
      </c>
      <c r="C43" s="117">
        <v>42787</v>
      </c>
      <c r="D43" s="118"/>
      <c r="E43" s="118"/>
      <c r="F43" s="87">
        <v>0</v>
      </c>
      <c r="G43" s="160"/>
      <c r="H43" s="125"/>
      <c r="I43" s="108">
        <f t="shared" si="7"/>
        <v>0</v>
      </c>
      <c r="J43" s="82" t="s">
        <v>27</v>
      </c>
      <c r="K43" s="113">
        <v>155440.75</v>
      </c>
      <c r="L43" s="97" t="s">
        <v>10</v>
      </c>
      <c r="M43" s="102">
        <f t="shared" si="8"/>
        <v>0</v>
      </c>
      <c r="N43" s="99"/>
      <c r="O43" s="100">
        <f t="shared" si="9"/>
        <v>0</v>
      </c>
      <c r="P43" s="101" t="s">
        <v>12</v>
      </c>
      <c r="Q43" s="98">
        <f t="shared" si="10"/>
        <v>0</v>
      </c>
      <c r="R43" s="85" t="s">
        <v>12</v>
      </c>
      <c r="S43" s="157">
        <f>SUMIF(Invoices!$D$2:$D$27,' Accting USE Data Entry Form'!$B43,Invoices!$G$2:$G$27)</f>
        <v>0</v>
      </c>
      <c r="T43" s="85" t="s">
        <v>10</v>
      </c>
      <c r="U43" s="86">
        <f t="shared" si="11"/>
        <v>0</v>
      </c>
    </row>
    <row r="44" spans="1:23" ht="14.4" customHeight="1" x14ac:dyDescent="0.25">
      <c r="A44" s="83">
        <v>34</v>
      </c>
      <c r="B44" s="81" t="s">
        <v>75</v>
      </c>
      <c r="C44" s="117">
        <v>42794</v>
      </c>
      <c r="D44" s="118"/>
      <c r="E44" s="118"/>
      <c r="F44" s="87">
        <v>0</v>
      </c>
      <c r="G44" s="160"/>
      <c r="H44" s="125"/>
      <c r="I44" s="108">
        <f t="shared" si="7"/>
        <v>0</v>
      </c>
      <c r="J44" s="82" t="s">
        <v>27</v>
      </c>
      <c r="K44" s="113">
        <v>155440.75</v>
      </c>
      <c r="L44" s="97" t="s">
        <v>10</v>
      </c>
      <c r="M44" s="102">
        <f t="shared" si="8"/>
        <v>0</v>
      </c>
      <c r="N44" s="99"/>
      <c r="O44" s="100">
        <f t="shared" si="9"/>
        <v>0</v>
      </c>
      <c r="P44" s="101" t="s">
        <v>12</v>
      </c>
      <c r="Q44" s="98">
        <f t="shared" si="10"/>
        <v>0</v>
      </c>
      <c r="R44" s="85" t="s">
        <v>12</v>
      </c>
      <c r="S44" s="157">
        <f>SUMIF(Invoices!$D$2:$D$27,' Accting USE Data Entry Form'!$B44,Invoices!$G$2:$G$27)</f>
        <v>0</v>
      </c>
      <c r="T44" s="85" t="s">
        <v>10</v>
      </c>
      <c r="U44" s="86">
        <f t="shared" si="11"/>
        <v>0</v>
      </c>
    </row>
    <row r="45" spans="1:23" ht="14.4" customHeight="1" x14ac:dyDescent="0.25">
      <c r="A45" s="83">
        <v>35</v>
      </c>
      <c r="B45" s="81" t="s">
        <v>76</v>
      </c>
      <c r="C45" s="117">
        <v>42801</v>
      </c>
      <c r="D45" s="118"/>
      <c r="E45" s="118"/>
      <c r="F45" s="87">
        <v>0</v>
      </c>
      <c r="G45" s="160"/>
      <c r="H45" s="125"/>
      <c r="I45" s="108">
        <f t="shared" si="7"/>
        <v>0</v>
      </c>
      <c r="J45" s="82" t="s">
        <v>27</v>
      </c>
      <c r="K45" s="113">
        <v>155440.75</v>
      </c>
      <c r="L45" s="97" t="s">
        <v>10</v>
      </c>
      <c r="M45" s="102">
        <f t="shared" si="8"/>
        <v>0</v>
      </c>
      <c r="N45" s="99"/>
      <c r="O45" s="100">
        <f t="shared" si="9"/>
        <v>0</v>
      </c>
      <c r="P45" s="101" t="s">
        <v>12</v>
      </c>
      <c r="Q45" s="98">
        <f t="shared" si="10"/>
        <v>0</v>
      </c>
      <c r="R45" s="85" t="s">
        <v>12</v>
      </c>
      <c r="S45" s="157">
        <f>SUMIF(Invoices!$D$2:$D$27,' Accting USE Data Entry Form'!$B45,Invoices!$G$2:$G$27)</f>
        <v>0</v>
      </c>
      <c r="T45" s="85" t="s">
        <v>10</v>
      </c>
      <c r="U45" s="86">
        <f t="shared" si="11"/>
        <v>0</v>
      </c>
    </row>
    <row r="46" spans="1:23" ht="14.4" customHeight="1" x14ac:dyDescent="0.25">
      <c r="A46" s="83">
        <v>36</v>
      </c>
      <c r="B46" s="81" t="s">
        <v>77</v>
      </c>
      <c r="C46" s="117">
        <v>42808</v>
      </c>
      <c r="D46" s="118"/>
      <c r="E46" s="118"/>
      <c r="F46" s="87">
        <v>0</v>
      </c>
      <c r="G46" s="160"/>
      <c r="H46" s="125"/>
      <c r="I46" s="108">
        <f t="shared" si="7"/>
        <v>0</v>
      </c>
      <c r="J46" s="82" t="s">
        <v>27</v>
      </c>
      <c r="K46" s="113">
        <v>155440.75</v>
      </c>
      <c r="L46" s="97" t="s">
        <v>10</v>
      </c>
      <c r="M46" s="102">
        <f t="shared" si="8"/>
        <v>0</v>
      </c>
      <c r="N46" s="99"/>
      <c r="O46" s="100">
        <f t="shared" si="9"/>
        <v>0</v>
      </c>
      <c r="P46" s="101" t="s">
        <v>12</v>
      </c>
      <c r="Q46" s="98">
        <f t="shared" si="10"/>
        <v>0</v>
      </c>
      <c r="R46" s="85" t="s">
        <v>12</v>
      </c>
      <c r="S46" s="157">
        <f>SUMIF(Invoices!$D$2:$D$27,' Accting USE Data Entry Form'!$B46,Invoices!$G$2:$G$27)</f>
        <v>0</v>
      </c>
      <c r="T46" s="85" t="s">
        <v>10</v>
      </c>
      <c r="U46" s="86">
        <f t="shared" si="11"/>
        <v>0</v>
      </c>
    </row>
    <row r="47" spans="1:23" ht="14.4" customHeight="1" x14ac:dyDescent="0.25">
      <c r="A47" s="83">
        <v>37</v>
      </c>
      <c r="B47" s="81" t="s">
        <v>78</v>
      </c>
      <c r="C47" s="117">
        <v>42815</v>
      </c>
      <c r="D47" s="118"/>
      <c r="E47" s="118"/>
      <c r="F47" s="87">
        <v>0</v>
      </c>
      <c r="G47" s="160"/>
      <c r="H47" s="125"/>
      <c r="I47" s="108">
        <f t="shared" si="7"/>
        <v>0</v>
      </c>
      <c r="J47" s="82" t="s">
        <v>27</v>
      </c>
      <c r="K47" s="113">
        <v>77720.375</v>
      </c>
      <c r="L47" s="97" t="s">
        <v>10</v>
      </c>
      <c r="M47" s="102">
        <f t="shared" si="8"/>
        <v>0</v>
      </c>
      <c r="N47" s="99"/>
      <c r="O47" s="100">
        <f t="shared" si="9"/>
        <v>0</v>
      </c>
      <c r="P47" s="101" t="s">
        <v>12</v>
      </c>
      <c r="Q47" s="98">
        <f t="shared" si="10"/>
        <v>0</v>
      </c>
      <c r="R47" s="85" t="s">
        <v>12</v>
      </c>
      <c r="S47" s="157">
        <f>SUMIF(Invoices!$D$2:$D$27,' Accting USE Data Entry Form'!$B47,Invoices!$G$2:$G$27)</f>
        <v>0</v>
      </c>
      <c r="T47" s="85" t="s">
        <v>10</v>
      </c>
      <c r="U47" s="86">
        <f t="shared" si="11"/>
        <v>0</v>
      </c>
    </row>
    <row r="48" spans="1:23" ht="14.4" customHeight="1" x14ac:dyDescent="0.25">
      <c r="A48" s="83">
        <v>38</v>
      </c>
      <c r="B48" s="81" t="s">
        <v>79</v>
      </c>
      <c r="C48" s="117">
        <v>42822</v>
      </c>
      <c r="D48" s="118"/>
      <c r="E48" s="118"/>
      <c r="F48" s="87">
        <v>0</v>
      </c>
      <c r="G48" s="160"/>
      <c r="H48" s="125"/>
      <c r="I48" s="108">
        <f t="shared" si="7"/>
        <v>0</v>
      </c>
      <c r="J48" s="82" t="s">
        <v>27</v>
      </c>
      <c r="K48" s="113">
        <v>77720.375</v>
      </c>
      <c r="L48" s="97" t="s">
        <v>10</v>
      </c>
      <c r="M48" s="102">
        <f t="shared" si="8"/>
        <v>0</v>
      </c>
      <c r="N48" s="99"/>
      <c r="O48" s="100">
        <f t="shared" si="9"/>
        <v>0</v>
      </c>
      <c r="P48" s="101" t="s">
        <v>12</v>
      </c>
      <c r="Q48" s="98">
        <f t="shared" si="10"/>
        <v>0</v>
      </c>
      <c r="R48" s="85" t="s">
        <v>12</v>
      </c>
      <c r="S48" s="157">
        <f>SUMIF(Invoices!$D$2:$D$27,' Accting USE Data Entry Form'!$B48,Invoices!$G$2:$G$27)</f>
        <v>0</v>
      </c>
      <c r="T48" s="85" t="s">
        <v>10</v>
      </c>
      <c r="U48" s="86">
        <f t="shared" si="11"/>
        <v>0</v>
      </c>
    </row>
    <row r="49" spans="1:21" ht="14.4" customHeight="1" x14ac:dyDescent="0.25">
      <c r="A49" s="83">
        <v>39</v>
      </c>
      <c r="B49" s="81" t="s">
        <v>80</v>
      </c>
      <c r="C49" s="117">
        <v>42829</v>
      </c>
      <c r="D49" s="118"/>
      <c r="E49" s="118"/>
      <c r="F49" s="87">
        <v>0</v>
      </c>
      <c r="G49" s="160"/>
      <c r="H49" s="125"/>
      <c r="I49" s="108">
        <f t="shared" si="7"/>
        <v>0</v>
      </c>
      <c r="J49" s="82" t="s">
        <v>27</v>
      </c>
      <c r="K49" s="113">
        <v>77720.375</v>
      </c>
      <c r="L49" s="97" t="s">
        <v>10</v>
      </c>
      <c r="M49" s="102">
        <f t="shared" si="8"/>
        <v>0</v>
      </c>
      <c r="N49" s="99"/>
      <c r="O49" s="100">
        <f t="shared" si="9"/>
        <v>0</v>
      </c>
      <c r="P49" s="101" t="s">
        <v>12</v>
      </c>
      <c r="Q49" s="98">
        <f t="shared" si="10"/>
        <v>0</v>
      </c>
      <c r="R49" s="85" t="s">
        <v>12</v>
      </c>
      <c r="S49" s="157">
        <f>SUMIF(Invoices!$D$2:$D$27,' Accting USE Data Entry Form'!$B49,Invoices!$G$2:$G$27)</f>
        <v>0</v>
      </c>
      <c r="T49" s="85" t="s">
        <v>10</v>
      </c>
      <c r="U49" s="86">
        <f t="shared" si="11"/>
        <v>0</v>
      </c>
    </row>
    <row r="50" spans="1:21" ht="14.4" customHeight="1" x14ac:dyDescent="0.25">
      <c r="A50" s="83">
        <v>40</v>
      </c>
      <c r="B50" s="81" t="s">
        <v>81</v>
      </c>
      <c r="C50" s="117">
        <v>42836</v>
      </c>
      <c r="D50" s="118"/>
      <c r="E50" s="118"/>
      <c r="F50" s="87">
        <v>0</v>
      </c>
      <c r="G50" s="160"/>
      <c r="H50" s="125"/>
      <c r="I50" s="108">
        <f t="shared" si="7"/>
        <v>0</v>
      </c>
      <c r="J50" s="82" t="s">
        <v>27</v>
      </c>
      <c r="K50" s="113">
        <v>77720.375</v>
      </c>
      <c r="L50" s="97" t="s">
        <v>10</v>
      </c>
      <c r="M50" s="102">
        <f t="shared" si="8"/>
        <v>0</v>
      </c>
      <c r="N50" s="99"/>
      <c r="O50" s="100">
        <f t="shared" si="9"/>
        <v>0</v>
      </c>
      <c r="P50" s="101" t="s">
        <v>12</v>
      </c>
      <c r="Q50" s="98">
        <f t="shared" si="10"/>
        <v>0</v>
      </c>
      <c r="R50" s="85" t="s">
        <v>12</v>
      </c>
      <c r="S50" s="157">
        <f>SUMIF(Invoices!$D$2:$D$27,' Accting USE Data Entry Form'!$B50,Invoices!$G$2:$G$27)</f>
        <v>0</v>
      </c>
      <c r="T50" s="85" t="s">
        <v>10</v>
      </c>
      <c r="U50" s="86">
        <f t="shared" si="11"/>
        <v>0</v>
      </c>
    </row>
    <row r="51" spans="1:21" ht="14.4" customHeight="1" x14ac:dyDescent="0.25">
      <c r="A51" s="83">
        <v>41</v>
      </c>
      <c r="B51" s="81" t="s">
        <v>82</v>
      </c>
      <c r="C51" s="117">
        <v>42843</v>
      </c>
      <c r="D51" s="118"/>
      <c r="E51" s="118"/>
      <c r="F51" s="87">
        <v>0</v>
      </c>
      <c r="G51" s="160"/>
      <c r="H51" s="125"/>
      <c r="I51" s="108">
        <f t="shared" si="7"/>
        <v>0</v>
      </c>
      <c r="J51" s="82" t="s">
        <v>27</v>
      </c>
      <c r="K51" s="113">
        <v>77720.375</v>
      </c>
      <c r="L51" s="97" t="s">
        <v>10</v>
      </c>
      <c r="M51" s="102">
        <f t="shared" si="8"/>
        <v>0</v>
      </c>
      <c r="N51" s="99"/>
      <c r="O51" s="100">
        <f t="shared" si="9"/>
        <v>0</v>
      </c>
      <c r="P51" s="101" t="s">
        <v>12</v>
      </c>
      <c r="Q51" s="98">
        <f t="shared" si="10"/>
        <v>0</v>
      </c>
      <c r="R51" s="85" t="s">
        <v>12</v>
      </c>
      <c r="S51" s="157">
        <f>SUMIF(Invoices!$D$2:$D$27,' Accting USE Data Entry Form'!$B51,Invoices!$G$2:$G$27)</f>
        <v>0</v>
      </c>
      <c r="T51" s="85" t="s">
        <v>10</v>
      </c>
      <c r="U51" s="86">
        <f t="shared" si="11"/>
        <v>0</v>
      </c>
    </row>
    <row r="52" spans="1:21" ht="14.4" customHeight="1" x14ac:dyDescent="0.25">
      <c r="A52" s="83">
        <v>42</v>
      </c>
      <c r="B52" s="81" t="s">
        <v>83</v>
      </c>
      <c r="C52" s="117">
        <v>42850</v>
      </c>
      <c r="D52" s="118"/>
      <c r="E52" s="118"/>
      <c r="F52" s="87">
        <v>0</v>
      </c>
      <c r="G52" s="160"/>
      <c r="H52" s="125"/>
      <c r="I52" s="108">
        <f t="shared" si="7"/>
        <v>0</v>
      </c>
      <c r="J52" s="82" t="s">
        <v>27</v>
      </c>
      <c r="K52" s="113">
        <v>77720.375</v>
      </c>
      <c r="L52" s="97" t="s">
        <v>10</v>
      </c>
      <c r="M52" s="102">
        <f t="shared" si="8"/>
        <v>0</v>
      </c>
      <c r="N52" s="99"/>
      <c r="O52" s="100">
        <f t="shared" si="9"/>
        <v>0</v>
      </c>
      <c r="P52" s="101" t="s">
        <v>12</v>
      </c>
      <c r="Q52" s="98">
        <f t="shared" si="10"/>
        <v>0</v>
      </c>
      <c r="R52" s="85" t="s">
        <v>12</v>
      </c>
      <c r="S52" s="157">
        <f>SUMIF(Invoices!$D$2:$D$27,' Accting USE Data Entry Form'!$B52,Invoices!$G$2:$G$27)</f>
        <v>0</v>
      </c>
      <c r="T52" s="85" t="s">
        <v>10</v>
      </c>
      <c r="U52" s="86">
        <f t="shared" si="11"/>
        <v>0</v>
      </c>
    </row>
    <row r="53" spans="1:21" ht="14.4" customHeight="1" x14ac:dyDescent="0.25">
      <c r="A53" s="83">
        <v>43</v>
      </c>
      <c r="B53" s="81" t="s">
        <v>84</v>
      </c>
      <c r="C53" s="117">
        <v>42857</v>
      </c>
      <c r="D53" s="118"/>
      <c r="E53" s="118"/>
      <c r="F53" s="87">
        <v>0</v>
      </c>
      <c r="G53" s="160"/>
      <c r="H53" s="125"/>
      <c r="I53" s="108">
        <f t="shared" si="7"/>
        <v>0</v>
      </c>
      <c r="J53" s="82" t="s">
        <v>27</v>
      </c>
      <c r="K53" s="113">
        <v>77720.375</v>
      </c>
      <c r="L53" s="97" t="s">
        <v>10</v>
      </c>
      <c r="M53" s="102">
        <f t="shared" si="8"/>
        <v>0</v>
      </c>
      <c r="N53" s="99"/>
      <c r="O53" s="100">
        <f t="shared" si="9"/>
        <v>0</v>
      </c>
      <c r="P53" s="101" t="s">
        <v>12</v>
      </c>
      <c r="Q53" s="98">
        <f t="shared" si="10"/>
        <v>0</v>
      </c>
      <c r="R53" s="85" t="s">
        <v>12</v>
      </c>
      <c r="S53" s="157">
        <f>SUMIF(Invoices!$D$2:$D$27,' Accting USE Data Entry Form'!$B53,Invoices!$G$2:$G$27)</f>
        <v>0</v>
      </c>
      <c r="T53" s="85" t="s">
        <v>10</v>
      </c>
      <c r="U53" s="86">
        <f t="shared" si="11"/>
        <v>0</v>
      </c>
    </row>
    <row r="54" spans="1:21" ht="14.4" customHeight="1" x14ac:dyDescent="0.25">
      <c r="A54" s="83">
        <v>44</v>
      </c>
      <c r="B54" s="81" t="s">
        <v>85</v>
      </c>
      <c r="C54" s="117">
        <v>42864</v>
      </c>
      <c r="D54" s="118"/>
      <c r="E54" s="118"/>
      <c r="F54" s="87">
        <v>0</v>
      </c>
      <c r="G54" s="160"/>
      <c r="H54" s="125"/>
      <c r="I54" s="108">
        <f t="shared" si="7"/>
        <v>0</v>
      </c>
      <c r="J54" s="82" t="s">
        <v>27</v>
      </c>
      <c r="K54" s="113">
        <v>77720.375</v>
      </c>
      <c r="L54" s="97" t="s">
        <v>10</v>
      </c>
      <c r="M54" s="102">
        <f t="shared" si="8"/>
        <v>0</v>
      </c>
      <c r="N54" s="99"/>
      <c r="O54" s="100">
        <f t="shared" si="9"/>
        <v>0</v>
      </c>
      <c r="P54" s="101" t="s">
        <v>12</v>
      </c>
      <c r="Q54" s="98">
        <f t="shared" si="10"/>
        <v>0</v>
      </c>
      <c r="R54" s="85" t="s">
        <v>12</v>
      </c>
      <c r="S54" s="157">
        <f>SUMIF(Invoices!$D$2:$D$27,' Accting USE Data Entry Form'!$B54,Invoices!$G$2:$G$27)</f>
        <v>0</v>
      </c>
      <c r="T54" s="85" t="s">
        <v>10</v>
      </c>
      <c r="U54" s="86">
        <f t="shared" si="11"/>
        <v>0</v>
      </c>
    </row>
    <row r="55" spans="1:21" ht="14.4" customHeight="1" x14ac:dyDescent="0.25">
      <c r="A55" s="83">
        <v>45</v>
      </c>
      <c r="B55" s="81" t="s">
        <v>86</v>
      </c>
      <c r="C55" s="117">
        <v>42871</v>
      </c>
      <c r="D55" s="118"/>
      <c r="E55" s="118"/>
      <c r="F55" s="87">
        <v>0</v>
      </c>
      <c r="G55" s="160"/>
      <c r="H55" s="125"/>
      <c r="I55" s="108">
        <f t="shared" si="7"/>
        <v>0</v>
      </c>
      <c r="J55" s="82" t="s">
        <v>27</v>
      </c>
      <c r="K55" s="113">
        <v>77720.375</v>
      </c>
      <c r="L55" s="97" t="s">
        <v>10</v>
      </c>
      <c r="M55" s="102">
        <f t="shared" si="8"/>
        <v>0</v>
      </c>
      <c r="N55" s="99"/>
      <c r="O55" s="100">
        <f t="shared" si="9"/>
        <v>0</v>
      </c>
      <c r="P55" s="101" t="s">
        <v>12</v>
      </c>
      <c r="Q55" s="98">
        <f t="shared" si="10"/>
        <v>0</v>
      </c>
      <c r="R55" s="85" t="s">
        <v>12</v>
      </c>
      <c r="S55" s="157">
        <f>SUMIF(Invoices!$D$2:$D$27,' Accting USE Data Entry Form'!$B55,Invoices!$G$2:$G$27)</f>
        <v>0</v>
      </c>
      <c r="T55" s="85" t="s">
        <v>10</v>
      </c>
      <c r="U55" s="86">
        <f t="shared" si="11"/>
        <v>0</v>
      </c>
    </row>
    <row r="56" spans="1:21" ht="14.4" customHeight="1" x14ac:dyDescent="0.25">
      <c r="A56" s="83">
        <v>46</v>
      </c>
      <c r="B56" s="81" t="s">
        <v>87</v>
      </c>
      <c r="C56" s="117">
        <v>42878</v>
      </c>
      <c r="D56" s="117"/>
      <c r="E56" s="117"/>
      <c r="F56" s="114">
        <v>0</v>
      </c>
      <c r="G56" s="161"/>
      <c r="H56" s="126"/>
      <c r="I56" s="108">
        <f t="shared" si="7"/>
        <v>0</v>
      </c>
      <c r="J56" s="82" t="s">
        <v>27</v>
      </c>
      <c r="K56" s="113">
        <v>77720.375</v>
      </c>
      <c r="L56" s="97" t="s">
        <v>10</v>
      </c>
      <c r="M56" s="102">
        <f t="shared" si="8"/>
        <v>0</v>
      </c>
      <c r="N56" s="99"/>
      <c r="O56" s="100">
        <f t="shared" si="9"/>
        <v>0</v>
      </c>
      <c r="P56" s="101" t="s">
        <v>12</v>
      </c>
      <c r="Q56" s="98">
        <f t="shared" si="10"/>
        <v>0</v>
      </c>
      <c r="R56" s="85" t="s">
        <v>12</v>
      </c>
      <c r="S56" s="157">
        <f>SUMIF(Invoices!$D$2:$D$27,' Accting USE Data Entry Form'!$B56,Invoices!$G$2:$G$27)</f>
        <v>0</v>
      </c>
      <c r="T56" s="85" t="s">
        <v>10</v>
      </c>
      <c r="U56" s="86">
        <f t="shared" si="11"/>
        <v>0</v>
      </c>
    </row>
    <row r="57" spans="1:21" ht="14.4" customHeight="1" x14ac:dyDescent="0.25">
      <c r="A57" s="83">
        <v>47</v>
      </c>
      <c r="B57" s="106" t="s">
        <v>100</v>
      </c>
      <c r="C57" s="118"/>
      <c r="D57" s="118"/>
      <c r="E57" s="118"/>
      <c r="F57" s="87"/>
      <c r="G57" s="160"/>
      <c r="H57" s="125"/>
      <c r="I57" s="108"/>
      <c r="J57" s="82" t="s">
        <v>27</v>
      </c>
      <c r="K57" s="113"/>
      <c r="L57" s="97" t="s">
        <v>10</v>
      </c>
      <c r="M57" s="102">
        <f>I57*K57</f>
        <v>0</v>
      </c>
      <c r="N57" s="99"/>
      <c r="O57" s="100">
        <f>+M57</f>
        <v>0</v>
      </c>
      <c r="P57" s="101" t="s">
        <v>12</v>
      </c>
      <c r="Q57" s="98">
        <f>O57-S57</f>
        <v>0</v>
      </c>
      <c r="R57" s="85" t="s">
        <v>12</v>
      </c>
      <c r="S57" s="157">
        <f>SUMIF(Invoices!$D$2:$D$25,' Accting USE Data Entry Form'!$B57,Invoices!$G$2:$G$25)</f>
        <v>0</v>
      </c>
      <c r="T57" s="85" t="s">
        <v>10</v>
      </c>
      <c r="U57" s="86">
        <f t="shared" si="4"/>
        <v>0</v>
      </c>
    </row>
    <row r="58" spans="1:21" ht="14.4" customHeight="1" x14ac:dyDescent="0.25">
      <c r="A58" s="83">
        <v>48</v>
      </c>
      <c r="B58" s="106" t="s">
        <v>100</v>
      </c>
      <c r="C58" s="118"/>
      <c r="D58" s="118"/>
      <c r="E58" s="118"/>
      <c r="F58" s="87"/>
      <c r="G58" s="160"/>
      <c r="H58" s="125"/>
      <c r="I58" s="108"/>
      <c r="J58" s="82" t="s">
        <v>27</v>
      </c>
      <c r="K58" s="113"/>
      <c r="L58" s="97" t="s">
        <v>10</v>
      </c>
      <c r="M58" s="102">
        <f>I58*K58</f>
        <v>0</v>
      </c>
      <c r="N58" s="99"/>
      <c r="O58" s="100">
        <f>+M58</f>
        <v>0</v>
      </c>
      <c r="P58" s="101" t="s">
        <v>12</v>
      </c>
      <c r="Q58" s="98">
        <f>O58-S58</f>
        <v>0</v>
      </c>
      <c r="R58" s="85" t="s">
        <v>12</v>
      </c>
      <c r="S58" s="157">
        <f>SUMIF(Invoices!$D$2:$D$27,' Accting USE Data Entry Form'!$B58,Invoices!$G$2:$G$27)</f>
        <v>0</v>
      </c>
      <c r="T58" s="85" t="s">
        <v>10</v>
      </c>
      <c r="U58" s="86">
        <f t="shared" si="4"/>
        <v>0</v>
      </c>
    </row>
    <row r="59" spans="1:21" ht="14.4" customHeight="1" x14ac:dyDescent="0.25">
      <c r="A59" s="83">
        <v>49</v>
      </c>
      <c r="B59" s="106" t="s">
        <v>100</v>
      </c>
      <c r="C59" s="118"/>
      <c r="D59" s="118"/>
      <c r="E59" s="118"/>
      <c r="F59" s="87"/>
      <c r="G59" s="160"/>
      <c r="H59" s="125"/>
      <c r="I59" s="108"/>
      <c r="J59" s="82" t="s">
        <v>27</v>
      </c>
      <c r="K59" s="113"/>
      <c r="L59" s="97" t="s">
        <v>10</v>
      </c>
      <c r="M59" s="102">
        <f>I59*K59</f>
        <v>0</v>
      </c>
      <c r="N59" s="99"/>
      <c r="O59" s="100">
        <f>+M59</f>
        <v>0</v>
      </c>
      <c r="P59" s="101" t="s">
        <v>12</v>
      </c>
      <c r="Q59" s="98">
        <f>O59-S59</f>
        <v>0</v>
      </c>
      <c r="R59" s="85" t="s">
        <v>12</v>
      </c>
      <c r="S59" s="157">
        <f>SUMIF(Invoices!$D$2:$D$25,' Accting USE Data Entry Form'!$B59,Invoices!$G$2:$G$25)</f>
        <v>0</v>
      </c>
      <c r="T59" s="85" t="s">
        <v>10</v>
      </c>
      <c r="U59" s="86">
        <f t="shared" si="4"/>
        <v>0</v>
      </c>
    </row>
    <row r="60" spans="1:21" ht="14.4" customHeight="1" x14ac:dyDescent="0.25">
      <c r="A60" s="83">
        <v>50</v>
      </c>
      <c r="B60" s="106" t="s">
        <v>100</v>
      </c>
      <c r="C60" s="118"/>
      <c r="D60" s="118"/>
      <c r="E60" s="118"/>
      <c r="F60" s="87"/>
      <c r="G60" s="160"/>
      <c r="H60" s="125"/>
      <c r="I60" s="108"/>
      <c r="J60" s="82" t="s">
        <v>27</v>
      </c>
      <c r="K60" s="113"/>
      <c r="L60" s="97" t="s">
        <v>10</v>
      </c>
      <c r="M60" s="102">
        <f>I60*K60</f>
        <v>0</v>
      </c>
      <c r="N60" s="99"/>
      <c r="O60" s="100">
        <f>+M60</f>
        <v>0</v>
      </c>
      <c r="P60" s="101" t="s">
        <v>12</v>
      </c>
      <c r="Q60" s="98">
        <f>O60-S60</f>
        <v>0</v>
      </c>
      <c r="R60" s="85" t="s">
        <v>12</v>
      </c>
      <c r="S60" s="157">
        <f>SUMIF(Invoices!$D$2:$D$25,' Accting USE Data Entry Form'!$B60,Invoices!$G$2:$G$25)</f>
        <v>0</v>
      </c>
      <c r="T60" s="85" t="s">
        <v>10</v>
      </c>
      <c r="U60" s="86">
        <f t="shared" si="4"/>
        <v>0</v>
      </c>
    </row>
    <row r="61" spans="1:21" ht="14.4" customHeight="1" x14ac:dyDescent="0.25">
      <c r="A61" s="83">
        <v>51</v>
      </c>
      <c r="B61" s="106" t="s">
        <v>100</v>
      </c>
      <c r="C61" s="119"/>
      <c r="D61" s="119"/>
      <c r="E61" s="119"/>
      <c r="F61" s="87"/>
      <c r="G61" s="160"/>
      <c r="H61" s="127"/>
      <c r="I61" s="108"/>
      <c r="J61" s="33" t="s">
        <v>27</v>
      </c>
      <c r="K61" s="113"/>
      <c r="L61" s="97" t="s">
        <v>10</v>
      </c>
      <c r="M61" s="102">
        <f>I61*K61</f>
        <v>0</v>
      </c>
      <c r="N61" s="99"/>
      <c r="O61" s="100">
        <f>+M61</f>
        <v>0</v>
      </c>
      <c r="P61" s="101" t="s">
        <v>12</v>
      </c>
      <c r="Q61" s="98">
        <f>O61-S61</f>
        <v>0</v>
      </c>
      <c r="R61" s="85" t="s">
        <v>12</v>
      </c>
      <c r="S61" s="157">
        <f>SUMIF(Invoices!$D$2:$D$27,' Accting USE Data Entry Form'!$B61,Invoices!$G$2:$G$27)</f>
        <v>0</v>
      </c>
      <c r="T61" s="85" t="s">
        <v>10</v>
      </c>
      <c r="U61" s="86">
        <f t="shared" si="4"/>
        <v>0</v>
      </c>
    </row>
    <row r="62" spans="1:21" ht="14.4" customHeight="1" x14ac:dyDescent="0.25">
      <c r="A62" s="74"/>
      <c r="I62" s="75">
        <f>M62/K62</f>
        <v>0.54766703823175023</v>
      </c>
      <c r="J62" s="76"/>
      <c r="K62" s="77">
        <f>SUM(K11:K61)</f>
        <v>9559285.3699999973</v>
      </c>
      <c r="L62" s="61"/>
      <c r="M62" s="77">
        <f>SUM(M11:M61)</f>
        <v>5235305.5061999988</v>
      </c>
      <c r="N62" s="61"/>
      <c r="O62" s="77">
        <f>SUM(O11:O61)</f>
        <v>5235305.5061999988</v>
      </c>
      <c r="P62" s="76"/>
      <c r="Q62" s="77">
        <f>SUM(Q11:Q61)</f>
        <v>59545.93670000002</v>
      </c>
      <c r="R62" s="76"/>
      <c r="S62" s="77">
        <f>SUM(S11:S61)</f>
        <v>5175759.5694999993</v>
      </c>
      <c r="T62" s="76"/>
      <c r="U62" s="77">
        <f>SUM(U11:U61)</f>
        <v>0</v>
      </c>
    </row>
    <row r="63" spans="1:21" ht="14.4" customHeight="1" x14ac:dyDescent="0.25">
      <c r="L63" s="60"/>
      <c r="N63" s="60"/>
    </row>
    <row r="64" spans="1:21" ht="14.4" customHeight="1" x14ac:dyDescent="0.25">
      <c r="L64" s="60"/>
      <c r="N64" s="60"/>
    </row>
    <row r="65" spans="1:19" ht="14.4" customHeight="1" thickBot="1" x14ac:dyDescent="0.3">
      <c r="A65" s="63" t="s">
        <v>7</v>
      </c>
      <c r="K65" s="188" t="s">
        <v>48</v>
      </c>
      <c r="L65" s="188"/>
      <c r="M65" s="188"/>
      <c r="N65" s="188"/>
      <c r="O65" s="188"/>
      <c r="P65" s="188"/>
      <c r="Q65" s="188"/>
      <c r="R65" s="11"/>
      <c r="S65" s="96">
        <f>S5</f>
        <v>42794</v>
      </c>
    </row>
    <row r="66" spans="1:19" ht="14.4" customHeight="1" x14ac:dyDescent="0.25">
      <c r="L66" s="2"/>
      <c r="M66" s="64"/>
      <c r="N66" s="2"/>
      <c r="O66" s="4"/>
      <c r="S66" s="66" t="s">
        <v>3</v>
      </c>
    </row>
    <row r="67" spans="1:19" ht="14.4" customHeight="1" x14ac:dyDescent="0.25">
      <c r="L67" s="2"/>
      <c r="M67" s="64"/>
      <c r="N67" s="2"/>
      <c r="O67" s="4"/>
      <c r="S67" s="66"/>
    </row>
    <row r="68" spans="1:19" ht="14.4" customHeight="1" x14ac:dyDescent="0.25">
      <c r="A68" s="63" t="s">
        <v>8</v>
      </c>
      <c r="L68" s="2"/>
      <c r="M68" s="69"/>
      <c r="N68" s="8"/>
      <c r="O68" s="10"/>
      <c r="P68" s="11"/>
      <c r="Q68" s="67"/>
      <c r="R68" s="11"/>
      <c r="S68" s="67"/>
    </row>
    <row r="69" spans="1:19" x14ac:dyDescent="0.25">
      <c r="S69" s="66" t="s">
        <v>3</v>
      </c>
    </row>
    <row r="73" spans="1:19" x14ac:dyDescent="0.25">
      <c r="B73" s="162">
        <f>3547*4</f>
        <v>14188</v>
      </c>
    </row>
    <row r="74" spans="1:19" x14ac:dyDescent="0.25">
      <c r="B74" s="162">
        <f>3547*6</f>
        <v>21282</v>
      </c>
    </row>
  </sheetData>
  <sheetProtection selectLockedCells="1"/>
  <mergeCells count="5">
    <mergeCell ref="A1:U1"/>
    <mergeCell ref="A2:U2"/>
    <mergeCell ref="A3:U3"/>
    <mergeCell ref="K65:Q65"/>
    <mergeCell ref="S6:S7"/>
  </mergeCells>
  <phoneticPr fontId="7" type="noConversion"/>
  <conditionalFormatting sqref="A11:U1101">
    <cfRule type="expression" dxfId="5" priority="1">
      <formula>$I11=100%</formula>
    </cfRule>
  </conditionalFormatting>
  <pageMargins left="0.75" right="0.75" top="1" bottom="1" header="0.5" footer="0.5"/>
  <pageSetup scale="58" orientation="landscape" horizontalDpi="200" verticalDpi="200" r:id="rId1"/>
  <headerFooter alignWithMargins="0">
    <oddFooter>&amp;L&amp;Z&amp;F &amp;A</oddFooter>
  </headerFooter>
  <ignoredErrors>
    <ignoredError sqref="Q41 M41 S62 M11:M39 Q11:Q39 Q57:Q62 M57:M6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S5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showGridLines="0" zoomScale="85" zoomScaleNormal="85" workbookViewId="0">
      <pane xSplit="2" ySplit="1" topLeftCell="C5" activePane="bottomRight" state="frozen"/>
      <selection pane="topRight" activeCell="C1" sqref="C1"/>
      <selection pane="bottomLeft" activeCell="A11" sqref="A11"/>
      <selection pane="bottomRight" activeCell="D11" sqref="D11"/>
    </sheetView>
  </sheetViews>
  <sheetFormatPr defaultColWidth="29.5546875" defaultRowHeight="13.2" x14ac:dyDescent="0.25"/>
  <cols>
    <col min="1" max="1" width="11.5546875" style="62" customWidth="1"/>
    <col min="2" max="2" width="52.109375" customWidth="1"/>
    <col min="3" max="3" width="10.44140625" style="129" customWidth="1"/>
    <col min="4" max="4" width="16.6640625" bestFit="1" customWidth="1"/>
    <col min="5" max="6" width="16.6640625" customWidth="1"/>
  </cols>
  <sheetData>
    <row r="1" spans="1:7" s="1" customFormat="1" x14ac:dyDescent="0.25">
      <c r="A1" s="151" t="s">
        <v>1</v>
      </c>
      <c r="B1" s="152" t="s">
        <v>89</v>
      </c>
      <c r="C1" s="152" t="s">
        <v>91</v>
      </c>
      <c r="D1" s="152" t="s">
        <v>24</v>
      </c>
      <c r="E1" s="152" t="s">
        <v>111</v>
      </c>
      <c r="F1" s="152" t="s">
        <v>112</v>
      </c>
      <c r="G1" s="152" t="s">
        <v>104</v>
      </c>
    </row>
    <row r="2" spans="1:7" ht="14.4" customHeight="1" x14ac:dyDescent="0.25">
      <c r="A2" s="88">
        <v>1</v>
      </c>
      <c r="B2" s="89" t="s">
        <v>49</v>
      </c>
      <c r="C2" s="115">
        <v>42186</v>
      </c>
      <c r="D2" s="134">
        <v>27286.996000000003</v>
      </c>
      <c r="E2" s="191">
        <f ca="1">SUMIF(Invoices!$I$2:$I$1048576,A2:$A$53,Invoices!$G$2:$G$2001)</f>
        <v>27287</v>
      </c>
      <c r="F2" s="134">
        <f ca="1">D2-E2</f>
        <v>-3.9999999971769284E-3</v>
      </c>
      <c r="G2" s="133"/>
    </row>
    <row r="3" spans="1:7" ht="14.4" customHeight="1" x14ac:dyDescent="0.25">
      <c r="A3" s="83">
        <v>2</v>
      </c>
      <c r="B3" s="84" t="s">
        <v>50</v>
      </c>
      <c r="C3" s="116">
        <v>42302</v>
      </c>
      <c r="D3" s="135">
        <v>54573.992000000006</v>
      </c>
      <c r="E3" s="134">
        <f ca="1">SUMIF(Invoices!$I$2:$I$1048576,A3:$A$45,Invoices!$G$2:$G$2001)</f>
        <v>54573.99</v>
      </c>
      <c r="F3" s="134">
        <f t="shared" ref="F3:F45" ca="1" si="0">D3-E3</f>
        <v>2.0000000076834112E-3</v>
      </c>
      <c r="G3" s="150"/>
    </row>
    <row r="4" spans="1:7" ht="14.4" customHeight="1" x14ac:dyDescent="0.25">
      <c r="A4" s="83">
        <v>3</v>
      </c>
      <c r="B4" s="84" t="s">
        <v>51</v>
      </c>
      <c r="C4" s="116">
        <v>42333</v>
      </c>
      <c r="D4" s="134">
        <v>54573.992000000006</v>
      </c>
      <c r="E4" s="134">
        <f ca="1">SUMIF(Invoices!$I$2:$I$1048576,A4:$A$45,Invoices!$G$2:$G$2001)</f>
        <v>54573.99</v>
      </c>
      <c r="F4" s="134">
        <f t="shared" ca="1" si="0"/>
        <v>2.0000000076834112E-3</v>
      </c>
      <c r="G4" s="133"/>
    </row>
    <row r="5" spans="1:7" ht="14.4" customHeight="1" x14ac:dyDescent="0.25">
      <c r="A5" s="83">
        <v>4</v>
      </c>
      <c r="B5" s="84" t="s">
        <v>52</v>
      </c>
      <c r="C5" s="116">
        <v>42391</v>
      </c>
      <c r="D5" s="135">
        <v>114938.04</v>
      </c>
      <c r="E5" s="134">
        <f ca="1">SUMIF(Invoices!$I$2:$I$1048576,A5:$A$45,Invoices!$G$2:$G$2001)</f>
        <v>114938.04</v>
      </c>
      <c r="F5" s="134">
        <f t="shared" ca="1" si="0"/>
        <v>0</v>
      </c>
      <c r="G5" s="150"/>
    </row>
    <row r="6" spans="1:7" ht="14.4" customHeight="1" x14ac:dyDescent="0.25">
      <c r="A6" s="83">
        <v>5</v>
      </c>
      <c r="B6" s="84" t="s">
        <v>53</v>
      </c>
      <c r="C6" s="116">
        <v>42433</v>
      </c>
      <c r="D6" s="134">
        <v>229876.08</v>
      </c>
      <c r="E6" s="134">
        <f ca="1">SUMIF(Invoices!$I$2:$I$1048576,A6:$A$45,Invoices!$G$2:$G$2001)</f>
        <v>229876.08</v>
      </c>
      <c r="F6" s="134">
        <f t="shared" ca="1" si="0"/>
        <v>0</v>
      </c>
      <c r="G6" s="133"/>
    </row>
    <row r="7" spans="1:7" ht="14.4" customHeight="1" x14ac:dyDescent="0.25">
      <c r="A7" s="83">
        <v>6</v>
      </c>
      <c r="B7" s="84" t="s">
        <v>54</v>
      </c>
      <c r="C7" s="116">
        <v>42562</v>
      </c>
      <c r="D7" s="135">
        <v>229876.08</v>
      </c>
      <c r="E7" s="134">
        <f ca="1">SUMIF(Invoices!$I$2:$I$1048576,A7:$A$45,Invoices!$G$2:$G$2001)</f>
        <v>229876.08</v>
      </c>
      <c r="F7" s="134">
        <f t="shared" ca="1" si="0"/>
        <v>0</v>
      </c>
      <c r="G7" s="150"/>
    </row>
    <row r="8" spans="1:7" ht="14.4" customHeight="1" x14ac:dyDescent="0.25">
      <c r="A8" s="83">
        <v>7</v>
      </c>
      <c r="B8" s="84" t="s">
        <v>55</v>
      </c>
      <c r="C8" s="116">
        <v>42391</v>
      </c>
      <c r="D8" s="110">
        <v>777203.75</v>
      </c>
      <c r="E8" s="134">
        <f ca="1">SUMIF(Invoices!$I$2:$I$1048576,A8:$A$45,Invoices!$G$2:$G$2001)</f>
        <v>777203.75</v>
      </c>
      <c r="F8" s="134">
        <f t="shared" ca="1" si="0"/>
        <v>0</v>
      </c>
      <c r="G8" s="133"/>
    </row>
    <row r="9" spans="1:7" ht="14.4" customHeight="1" x14ac:dyDescent="0.25">
      <c r="A9" s="83">
        <v>8</v>
      </c>
      <c r="B9" s="81" t="s">
        <v>56</v>
      </c>
      <c r="C9" s="117">
        <v>42591</v>
      </c>
      <c r="D9" s="112">
        <v>2176170.5</v>
      </c>
      <c r="E9" s="134">
        <f ca="1">SUMIF(Invoices!$I$2:$I$1048576,A9:$A$45,Invoices!$G$2:$G$2001)</f>
        <v>2176170.5</v>
      </c>
      <c r="F9" s="134">
        <f t="shared" ca="1" si="0"/>
        <v>0</v>
      </c>
      <c r="G9" s="150"/>
    </row>
    <row r="10" spans="1:7" ht="14.4" customHeight="1" x14ac:dyDescent="0.25">
      <c r="A10" s="83">
        <v>9</v>
      </c>
      <c r="B10" s="81" t="s">
        <v>57</v>
      </c>
      <c r="C10" s="117">
        <v>42668</v>
      </c>
      <c r="D10" s="112">
        <v>233161.13</v>
      </c>
      <c r="E10" s="134">
        <f ca="1">SUMIF(Invoices!$I$2:$I$1048576,A10:$A$45,Invoices!$G$2:$G$2001)</f>
        <v>233161.13</v>
      </c>
      <c r="F10" s="134">
        <f t="shared" ca="1" si="0"/>
        <v>0</v>
      </c>
      <c r="G10" s="133"/>
    </row>
    <row r="11" spans="1:7" ht="14.4" customHeight="1" x14ac:dyDescent="0.25">
      <c r="A11" s="83">
        <v>10</v>
      </c>
      <c r="B11" s="81" t="s">
        <v>58</v>
      </c>
      <c r="C11" s="117">
        <v>42675</v>
      </c>
      <c r="D11" s="112">
        <v>233161.13</v>
      </c>
      <c r="E11" s="134">
        <f ca="1">SUMIF(Invoices!$I$2:$I$1048576,A11:$A$45,Invoices!$G$2:$G$2001)</f>
        <v>209845.01700000002</v>
      </c>
      <c r="F11" s="134">
        <f t="shared" ca="1" si="0"/>
        <v>23316.112999999983</v>
      </c>
      <c r="G11" s="150"/>
    </row>
    <row r="12" spans="1:7" ht="14.4" customHeight="1" x14ac:dyDescent="0.25">
      <c r="A12" s="83">
        <v>11</v>
      </c>
      <c r="B12" s="81" t="s">
        <v>59</v>
      </c>
      <c r="C12" s="117">
        <v>42682</v>
      </c>
      <c r="D12" s="112">
        <v>233161.13</v>
      </c>
      <c r="E12" s="134">
        <f ca="1">SUMIF(Invoices!$I$2:$I$1048576,A12:$A$45,Invoices!$G$2:$G$2001)</f>
        <v>233161.125</v>
      </c>
      <c r="F12" s="134">
        <f t="shared" ca="1" si="0"/>
        <v>5.0000000046566129E-3</v>
      </c>
      <c r="G12" s="133"/>
    </row>
    <row r="13" spans="1:7" ht="14.4" customHeight="1" x14ac:dyDescent="0.25">
      <c r="A13" s="83">
        <v>12</v>
      </c>
      <c r="B13" s="81" t="s">
        <v>60</v>
      </c>
      <c r="C13" s="117">
        <v>42689</v>
      </c>
      <c r="D13" s="112">
        <v>233161.13</v>
      </c>
      <c r="E13" s="134">
        <f ca="1">SUMIF(Invoices!$I$2:$I$1048576,A13:$A$45,Invoices!$G$2:$G$2001)</f>
        <v>116580.5625</v>
      </c>
      <c r="F13" s="134">
        <f t="shared" ca="1" si="0"/>
        <v>116580.5675</v>
      </c>
      <c r="G13" s="150"/>
    </row>
    <row r="14" spans="1:7" ht="14.4" customHeight="1" x14ac:dyDescent="0.25">
      <c r="A14" s="83">
        <v>13</v>
      </c>
      <c r="B14" s="81" t="s">
        <v>61</v>
      </c>
      <c r="C14" s="117">
        <v>42696</v>
      </c>
      <c r="D14" s="112">
        <v>233161.13</v>
      </c>
      <c r="E14" s="134">
        <f ca="1">SUMIF(Invoices!$I$2:$I$1048576,A14:$A$45,Invoices!$G$2:$G$2001)</f>
        <v>233161.125</v>
      </c>
      <c r="F14" s="134">
        <f t="shared" ca="1" si="0"/>
        <v>5.0000000046566129E-3</v>
      </c>
      <c r="G14" s="133"/>
    </row>
    <row r="15" spans="1:7" ht="14.4" customHeight="1" x14ac:dyDescent="0.25">
      <c r="A15" s="83">
        <v>14</v>
      </c>
      <c r="B15" s="81" t="s">
        <v>62</v>
      </c>
      <c r="C15" s="117">
        <v>42703</v>
      </c>
      <c r="D15" s="112">
        <v>233161.13</v>
      </c>
      <c r="E15" s="134">
        <f ca="1">SUMIF(Invoices!$I$2:$I$1048576,A15:$A$45,Invoices!$G$2:$G$2001)</f>
        <v>233161.13</v>
      </c>
      <c r="F15" s="134">
        <f t="shared" ca="1" si="0"/>
        <v>0</v>
      </c>
      <c r="G15" s="150"/>
    </row>
    <row r="16" spans="1:7" ht="14.4" customHeight="1" x14ac:dyDescent="0.25">
      <c r="A16" s="83">
        <v>15</v>
      </c>
      <c r="B16" s="81" t="s">
        <v>63</v>
      </c>
      <c r="C16" s="117">
        <v>42710</v>
      </c>
      <c r="D16" s="112">
        <v>233161.13</v>
      </c>
      <c r="E16" s="134">
        <f ca="1">SUMIF(Invoices!$I$2:$I$1048576,A16:$A$45,Invoices!$G$2:$G$2001)</f>
        <v>0</v>
      </c>
      <c r="F16" s="134">
        <f t="shared" ca="1" si="0"/>
        <v>233161.13</v>
      </c>
      <c r="G16" s="133"/>
    </row>
    <row r="17" spans="1:7" ht="14.4" customHeight="1" x14ac:dyDescent="0.25">
      <c r="A17" s="83">
        <v>16</v>
      </c>
      <c r="B17" s="81" t="s">
        <v>64</v>
      </c>
      <c r="C17" s="117">
        <v>42717</v>
      </c>
      <c r="D17" s="112">
        <v>233161.13</v>
      </c>
      <c r="E17" s="134">
        <f ca="1">SUMIF(Invoices!$I$2:$I$1048576,A17:$A$45,Invoices!$G$2:$G$2001)</f>
        <v>0</v>
      </c>
      <c r="F17" s="134">
        <f t="shared" ca="1" si="0"/>
        <v>233161.13</v>
      </c>
      <c r="G17" s="150"/>
    </row>
    <row r="18" spans="1:7" ht="14.4" customHeight="1" x14ac:dyDescent="0.25">
      <c r="A18" s="83">
        <v>17</v>
      </c>
      <c r="B18" s="81" t="s">
        <v>65</v>
      </c>
      <c r="C18" s="117">
        <v>42724</v>
      </c>
      <c r="D18" s="112">
        <v>233161.13</v>
      </c>
      <c r="E18" s="134">
        <f ca="1">SUMIF(Invoices!$I$2:$I$1048576,A18:$A$45,Invoices!$G$2:$G$2001)</f>
        <v>0</v>
      </c>
      <c r="F18" s="134">
        <f t="shared" ca="1" si="0"/>
        <v>233161.13</v>
      </c>
      <c r="G18" s="133"/>
    </row>
    <row r="19" spans="1:7" ht="14.4" customHeight="1" x14ac:dyDescent="0.25">
      <c r="A19" s="83">
        <v>18</v>
      </c>
      <c r="B19" s="81" t="s">
        <v>66</v>
      </c>
      <c r="C19" s="117">
        <v>42731</v>
      </c>
      <c r="D19" s="112">
        <v>233161.13</v>
      </c>
      <c r="E19" s="134">
        <f ca="1">SUMIF(Invoices!$I$2:$I$1048576,A19:$A$45,Invoices!$G$2:$G$2001)</f>
        <v>0</v>
      </c>
      <c r="F19" s="134">
        <f t="shared" ca="1" si="0"/>
        <v>233161.13</v>
      </c>
      <c r="G19" s="150"/>
    </row>
    <row r="20" spans="1:7" ht="14.4" customHeight="1" x14ac:dyDescent="0.25">
      <c r="A20" s="83">
        <v>19</v>
      </c>
      <c r="B20" s="81" t="s">
        <v>67</v>
      </c>
      <c r="C20" s="117">
        <v>42738</v>
      </c>
      <c r="D20" s="113">
        <v>155440.75</v>
      </c>
      <c r="E20" s="134">
        <f ca="1">SUMIF(Invoices!$I$2:$I$1048576,A20:$A$45,Invoices!$G$2:$G$2001)</f>
        <v>0</v>
      </c>
      <c r="F20" s="134">
        <f t="shared" ca="1" si="0"/>
        <v>155440.75</v>
      </c>
      <c r="G20" s="133"/>
    </row>
    <row r="21" spans="1:7" ht="14.4" customHeight="1" x14ac:dyDescent="0.25">
      <c r="A21" s="83">
        <v>20</v>
      </c>
      <c r="B21" s="81" t="s">
        <v>68</v>
      </c>
      <c r="C21" s="117">
        <v>42745</v>
      </c>
      <c r="D21" s="113">
        <v>155440.75</v>
      </c>
      <c r="E21" s="134">
        <f ca="1">SUMIF(Invoices!$I$2:$I$1048576,A21:$A$45,Invoices!$G$2:$G$2001)</f>
        <v>0</v>
      </c>
      <c r="F21" s="134">
        <f t="shared" ca="1" si="0"/>
        <v>155440.75</v>
      </c>
      <c r="G21" s="150"/>
    </row>
    <row r="22" spans="1:7" ht="14.4" customHeight="1" x14ac:dyDescent="0.25">
      <c r="A22" s="83">
        <v>21</v>
      </c>
      <c r="B22" s="81" t="s">
        <v>69</v>
      </c>
      <c r="C22" s="117">
        <v>42752</v>
      </c>
      <c r="D22" s="113">
        <v>155440.75</v>
      </c>
      <c r="E22" s="134">
        <f ca="1">SUMIF(Invoices!$I$2:$I$1048576,A22:$A$45,Invoices!$G$2:$G$2001)</f>
        <v>0</v>
      </c>
      <c r="F22" s="134">
        <f t="shared" ca="1" si="0"/>
        <v>155440.75</v>
      </c>
      <c r="G22" s="133"/>
    </row>
    <row r="23" spans="1:7" ht="14.4" customHeight="1" x14ac:dyDescent="0.25">
      <c r="A23" s="83">
        <v>22</v>
      </c>
      <c r="B23" s="81" t="s">
        <v>70</v>
      </c>
      <c r="C23" s="117">
        <v>42759</v>
      </c>
      <c r="D23" s="113">
        <v>155440.75</v>
      </c>
      <c r="E23" s="134">
        <f ca="1">SUMIF(Invoices!$I$2:$I$1048576,A23:$A$45,Invoices!$G$2:$G$2001)</f>
        <v>0</v>
      </c>
      <c r="F23" s="134">
        <f t="shared" ca="1" si="0"/>
        <v>155440.75</v>
      </c>
      <c r="G23" s="150"/>
    </row>
    <row r="24" spans="1:7" ht="14.4" customHeight="1" x14ac:dyDescent="0.25">
      <c r="A24" s="83">
        <v>23</v>
      </c>
      <c r="B24" s="81" t="s">
        <v>114</v>
      </c>
      <c r="C24" s="117">
        <v>42995</v>
      </c>
      <c r="D24" s="113">
        <v>262347.64</v>
      </c>
      <c r="E24" s="134">
        <f ca="1">SUMIF(Invoices!$I$2:$I$1048576,A24:$A$45,Invoices!$G$2:$G$2001)</f>
        <v>65586.91</v>
      </c>
      <c r="F24" s="134">
        <f t="shared" ca="1" si="0"/>
        <v>196760.73</v>
      </c>
      <c r="G24" s="134"/>
    </row>
    <row r="25" spans="1:7" ht="14.4" customHeight="1" x14ac:dyDescent="0.25">
      <c r="A25" s="83">
        <v>24</v>
      </c>
      <c r="B25" s="81" t="s">
        <v>93</v>
      </c>
      <c r="C25" s="117">
        <v>42691</v>
      </c>
      <c r="D25" s="113">
        <v>300000</v>
      </c>
      <c r="E25" s="134">
        <f ca="1">SUMIF(Invoices!$I$2:$I$1048576,A25:$A$45,Invoices!$G$2:$G$2001)</f>
        <v>50000</v>
      </c>
      <c r="F25" s="134">
        <f t="shared" ca="1" si="0"/>
        <v>250000</v>
      </c>
      <c r="G25" s="150"/>
    </row>
    <row r="26" spans="1:7" ht="14.4" customHeight="1" x14ac:dyDescent="0.25">
      <c r="A26" s="83">
        <v>25</v>
      </c>
      <c r="B26" s="81" t="s">
        <v>94</v>
      </c>
      <c r="C26" s="117">
        <v>42995</v>
      </c>
      <c r="D26" s="113">
        <v>2545</v>
      </c>
      <c r="E26" s="134">
        <f ca="1">SUMIF(Invoices!$I$2:$I$1048576,A26:$A$45,Invoices!$G$2:$G$2001)</f>
        <v>2545</v>
      </c>
      <c r="F26" s="134">
        <f t="shared" ca="1" si="0"/>
        <v>0</v>
      </c>
      <c r="G26" s="133"/>
    </row>
    <row r="27" spans="1:7" ht="14.4" customHeight="1" x14ac:dyDescent="0.25">
      <c r="A27" s="83">
        <v>26</v>
      </c>
      <c r="B27" s="81" t="s">
        <v>95</v>
      </c>
      <c r="C27" s="117">
        <v>42643</v>
      </c>
      <c r="D27" s="113">
        <v>59400</v>
      </c>
      <c r="E27" s="134">
        <f ca="1">SUMIF(Invoices!$I$2:$I$1048576,A27:$A$45,Invoices!$G$2:$G$2001)</f>
        <v>59400</v>
      </c>
      <c r="F27" s="134">
        <f t="shared" ca="1" si="0"/>
        <v>0</v>
      </c>
      <c r="G27" s="150"/>
    </row>
    <row r="28" spans="1:7" ht="14.4" customHeight="1" x14ac:dyDescent="0.25">
      <c r="A28" s="83">
        <v>27</v>
      </c>
      <c r="B28" s="81" t="s">
        <v>71</v>
      </c>
      <c r="C28" s="117">
        <v>42766</v>
      </c>
      <c r="D28" s="113">
        <v>155440.75</v>
      </c>
      <c r="E28" s="134">
        <f ca="1">SUMIF(Invoices!$I$2:$I$1048576,A28:$A$45,Invoices!$G$2:$G$2001)</f>
        <v>0</v>
      </c>
      <c r="F28" s="134">
        <f t="shared" ca="1" si="0"/>
        <v>155440.75</v>
      </c>
      <c r="G28" s="133"/>
    </row>
    <row r="29" spans="1:7" ht="14.4" customHeight="1" x14ac:dyDescent="0.25">
      <c r="A29" s="83">
        <v>28</v>
      </c>
      <c r="B29" s="81" t="s">
        <v>72</v>
      </c>
      <c r="C29" s="117">
        <v>42773</v>
      </c>
      <c r="D29" s="113">
        <v>155440.75</v>
      </c>
      <c r="E29" s="134">
        <f ca="1">SUMIF(Invoices!$I$2:$I$1048576,A29:$A$45,Invoices!$G$2:$G$2001)</f>
        <v>0</v>
      </c>
      <c r="F29" s="134">
        <f t="shared" ca="1" si="0"/>
        <v>155440.75</v>
      </c>
      <c r="G29" s="150"/>
    </row>
    <row r="30" spans="1:7" ht="14.4" customHeight="1" x14ac:dyDescent="0.25">
      <c r="A30" s="83">
        <v>29</v>
      </c>
      <c r="B30" s="81" t="s">
        <v>99</v>
      </c>
      <c r="C30" s="117">
        <v>43008</v>
      </c>
      <c r="D30" s="113">
        <v>25000</v>
      </c>
      <c r="E30" s="134">
        <f ca="1">SUMIF(Invoices!$I$2:$I$1048576,A30:$A$45,Invoices!$G$2:$G$2001)</f>
        <v>25000</v>
      </c>
      <c r="F30" s="134">
        <f t="shared" ca="1" si="0"/>
        <v>0</v>
      </c>
      <c r="G30" s="133"/>
    </row>
    <row r="31" spans="1:7" ht="14.4" customHeight="1" x14ac:dyDescent="0.25">
      <c r="A31" s="83">
        <v>30</v>
      </c>
      <c r="B31" s="81" t="s">
        <v>113</v>
      </c>
      <c r="C31" s="117">
        <v>43008</v>
      </c>
      <c r="D31" s="113">
        <v>415000</v>
      </c>
      <c r="E31" s="134">
        <f ca="1">SUMIF(Invoices!$I$2:$I$1048576,A31:$A$45,Invoices!$G$2:$G$2001)</f>
        <v>49658.140000000007</v>
      </c>
      <c r="F31" s="134">
        <f t="shared" ca="1" si="0"/>
        <v>365341.86</v>
      </c>
      <c r="G31" s="150"/>
    </row>
    <row r="32" spans="1:7" ht="14.4" customHeight="1" x14ac:dyDescent="0.25">
      <c r="A32" s="83">
        <v>31</v>
      </c>
      <c r="B32" s="81" t="s">
        <v>115</v>
      </c>
      <c r="C32" s="117">
        <v>42787</v>
      </c>
      <c r="D32" s="113">
        <v>11830</v>
      </c>
      <c r="E32" s="134">
        <f ca="1">SUMIF(Invoices!$I$2:$I$1048576,A32:$A$45,Invoices!$G$2:$G$2001)</f>
        <v>0</v>
      </c>
      <c r="F32" s="134">
        <f t="shared" ca="1" si="0"/>
        <v>11830</v>
      </c>
      <c r="G32" s="133"/>
    </row>
    <row r="33" spans="1:7" ht="14.4" customHeight="1" x14ac:dyDescent="0.25">
      <c r="A33" s="83">
        <v>32</v>
      </c>
      <c r="B33" s="81" t="s">
        <v>73</v>
      </c>
      <c r="C33" s="117">
        <v>42787</v>
      </c>
      <c r="D33" s="113">
        <v>155440.75</v>
      </c>
      <c r="E33" s="134">
        <f ca="1">SUMIF(Invoices!$I$2:$I$1048576,A33:$A$45,Invoices!$G$2:$G$2001)</f>
        <v>0</v>
      </c>
      <c r="F33" s="134">
        <f t="shared" ca="1" si="0"/>
        <v>155440.75</v>
      </c>
      <c r="G33" s="150"/>
    </row>
    <row r="34" spans="1:7" ht="14.4" customHeight="1" x14ac:dyDescent="0.25">
      <c r="A34" s="83">
        <v>33</v>
      </c>
      <c r="B34" s="81" t="s">
        <v>74</v>
      </c>
      <c r="C34" s="117">
        <v>42787</v>
      </c>
      <c r="D34" s="113">
        <v>155440.75</v>
      </c>
      <c r="E34" s="134">
        <f ca="1">SUMIF(Invoices!$I$2:$I$1048576,A34:$A$45,Invoices!$G$2:$G$2001)</f>
        <v>0</v>
      </c>
      <c r="F34" s="134">
        <f t="shared" ca="1" si="0"/>
        <v>155440.75</v>
      </c>
      <c r="G34" s="133"/>
    </row>
    <row r="35" spans="1:7" ht="14.4" customHeight="1" x14ac:dyDescent="0.25">
      <c r="A35" s="83">
        <v>34</v>
      </c>
      <c r="B35" s="81" t="s">
        <v>75</v>
      </c>
      <c r="C35" s="117">
        <v>42794</v>
      </c>
      <c r="D35" s="113">
        <v>155440.75</v>
      </c>
      <c r="E35" s="134">
        <f ca="1">SUMIF(Invoices!$I$2:$I$1048576,A35:$A$45,Invoices!$G$2:$G$2001)</f>
        <v>0</v>
      </c>
      <c r="F35" s="134">
        <f t="shared" ca="1" si="0"/>
        <v>155440.75</v>
      </c>
      <c r="G35" s="150"/>
    </row>
    <row r="36" spans="1:7" ht="14.4" customHeight="1" x14ac:dyDescent="0.25">
      <c r="A36" s="83">
        <v>35</v>
      </c>
      <c r="B36" s="81" t="s">
        <v>76</v>
      </c>
      <c r="C36" s="117">
        <v>42801</v>
      </c>
      <c r="D36" s="113">
        <v>155440.75</v>
      </c>
      <c r="E36" s="134">
        <f ca="1">SUMIF(Invoices!$I$2:$I$1048576,A36:$A$45,Invoices!$G$2:$G$2001)</f>
        <v>0</v>
      </c>
      <c r="F36" s="134">
        <f t="shared" ca="1" si="0"/>
        <v>155440.75</v>
      </c>
      <c r="G36" s="133"/>
    </row>
    <row r="37" spans="1:7" ht="14.4" customHeight="1" x14ac:dyDescent="0.25">
      <c r="A37" s="83">
        <v>36</v>
      </c>
      <c r="B37" s="81" t="s">
        <v>77</v>
      </c>
      <c r="C37" s="117">
        <v>42808</v>
      </c>
      <c r="D37" s="113">
        <v>155440.75</v>
      </c>
      <c r="E37" s="134">
        <f ca="1">SUMIF(Invoices!$I$2:$I$1048576,A37:$A$45,Invoices!$G$2:$G$2001)</f>
        <v>0</v>
      </c>
      <c r="F37" s="134">
        <f t="shared" ca="1" si="0"/>
        <v>155440.75</v>
      </c>
      <c r="G37" s="150"/>
    </row>
    <row r="38" spans="1:7" ht="14.4" customHeight="1" x14ac:dyDescent="0.25">
      <c r="A38" s="83">
        <v>37</v>
      </c>
      <c r="B38" s="81" t="s">
        <v>78</v>
      </c>
      <c r="C38" s="117">
        <v>42815</v>
      </c>
      <c r="D38" s="113">
        <v>77720.375</v>
      </c>
      <c r="E38" s="134">
        <f ca="1">SUMIF(Invoices!$I$2:$I$1048576,A38:$A$45,Invoices!$G$2:$G$2001)</f>
        <v>0</v>
      </c>
      <c r="F38" s="134">
        <f t="shared" ca="1" si="0"/>
        <v>77720.375</v>
      </c>
      <c r="G38" s="133"/>
    </row>
    <row r="39" spans="1:7" ht="14.4" customHeight="1" x14ac:dyDescent="0.25">
      <c r="A39" s="83">
        <v>38</v>
      </c>
      <c r="B39" s="81" t="s">
        <v>79</v>
      </c>
      <c r="C39" s="117">
        <v>42822</v>
      </c>
      <c r="D39" s="113">
        <v>77720.375</v>
      </c>
      <c r="E39" s="134">
        <f ca="1">SUMIF(Invoices!$I$2:$I$1048576,A39:$A$45,Invoices!$G$2:$G$2001)</f>
        <v>0</v>
      </c>
      <c r="F39" s="134">
        <f t="shared" ca="1" si="0"/>
        <v>77720.375</v>
      </c>
      <c r="G39" s="150"/>
    </row>
    <row r="40" spans="1:7" ht="14.4" customHeight="1" x14ac:dyDescent="0.25">
      <c r="A40" s="83">
        <v>39</v>
      </c>
      <c r="B40" s="81" t="s">
        <v>80</v>
      </c>
      <c r="C40" s="117">
        <v>42829</v>
      </c>
      <c r="D40" s="113">
        <v>77720.375</v>
      </c>
      <c r="E40" s="134">
        <f ca="1">SUMIF(Invoices!$I$2:$I$1048576,A40:$A$45,Invoices!$G$2:$G$2001)</f>
        <v>0</v>
      </c>
      <c r="F40" s="134">
        <f t="shared" ca="1" si="0"/>
        <v>77720.375</v>
      </c>
      <c r="G40" s="133"/>
    </row>
    <row r="41" spans="1:7" ht="14.4" customHeight="1" x14ac:dyDescent="0.25">
      <c r="A41" s="83">
        <v>40</v>
      </c>
      <c r="B41" s="81" t="s">
        <v>81</v>
      </c>
      <c r="C41" s="117">
        <v>42836</v>
      </c>
      <c r="D41" s="113">
        <v>77720.375</v>
      </c>
      <c r="E41" s="134">
        <f ca="1">SUMIF(Invoices!$I$2:$I$1048576,A41:$A$45,Invoices!$G$2:$G$2001)</f>
        <v>0</v>
      </c>
      <c r="F41" s="134">
        <f t="shared" ca="1" si="0"/>
        <v>77720.375</v>
      </c>
      <c r="G41" s="150"/>
    </row>
    <row r="42" spans="1:7" ht="14.4" customHeight="1" x14ac:dyDescent="0.25">
      <c r="A42" s="83">
        <v>41</v>
      </c>
      <c r="B42" s="81" t="s">
        <v>82</v>
      </c>
      <c r="C42" s="117">
        <v>42843</v>
      </c>
      <c r="D42" s="113">
        <v>77720.375</v>
      </c>
      <c r="E42" s="134">
        <f ca="1">SUMIF(Invoices!$I$2:$I$1048576,A42:$A$45,Invoices!$G$2:$G$2001)</f>
        <v>0</v>
      </c>
      <c r="F42" s="134">
        <f t="shared" ca="1" si="0"/>
        <v>77720.375</v>
      </c>
      <c r="G42" s="133"/>
    </row>
    <row r="43" spans="1:7" ht="14.4" customHeight="1" x14ac:dyDescent="0.25">
      <c r="A43" s="83">
        <v>42</v>
      </c>
      <c r="B43" s="81" t="s">
        <v>83</v>
      </c>
      <c r="C43" s="117">
        <v>42850</v>
      </c>
      <c r="D43" s="113">
        <v>77720.375</v>
      </c>
      <c r="E43" s="134">
        <f ca="1">SUMIF(Invoices!$I$2:$I$1048576,A43:$A$45,Invoices!$G$2:$G$2001)</f>
        <v>0</v>
      </c>
      <c r="F43" s="134">
        <f t="shared" ca="1" si="0"/>
        <v>77720.375</v>
      </c>
      <c r="G43" s="150"/>
    </row>
    <row r="44" spans="1:7" ht="14.4" customHeight="1" x14ac:dyDescent="0.25">
      <c r="A44" s="83">
        <v>43</v>
      </c>
      <c r="B44" s="81" t="s">
        <v>84</v>
      </c>
      <c r="C44" s="117">
        <v>42857</v>
      </c>
      <c r="D44" s="113">
        <v>77720.375</v>
      </c>
      <c r="E44" s="134">
        <f ca="1">SUMIF(Invoices!$I$2:$I$1048576,A44:$A$45,Invoices!$G$2:$G$2001)</f>
        <v>0</v>
      </c>
      <c r="F44" s="134">
        <f t="shared" ca="1" si="0"/>
        <v>77720.375</v>
      </c>
      <c r="G44" s="133"/>
    </row>
    <row r="45" spans="1:7" ht="14.4" customHeight="1" x14ac:dyDescent="0.25">
      <c r="A45" s="83">
        <v>44</v>
      </c>
      <c r="B45" s="81" t="s">
        <v>85</v>
      </c>
      <c r="C45" s="117">
        <v>42864</v>
      </c>
      <c r="D45" s="113">
        <v>77720.375</v>
      </c>
      <c r="E45" s="134">
        <f ca="1">SUMIF(Invoices!$I$2:$I$1048576,A45:$A$45,Invoices!$G$2:$G$2001)</f>
        <v>0</v>
      </c>
      <c r="F45" s="134">
        <f t="shared" ca="1" si="0"/>
        <v>77720.375</v>
      </c>
      <c r="G45" s="132"/>
    </row>
    <row r="46" spans="1:7" x14ac:dyDescent="0.25">
      <c r="A46" s="83">
        <v>45</v>
      </c>
      <c r="B46" s="81" t="s">
        <v>86</v>
      </c>
      <c r="C46" s="117">
        <v>42871</v>
      </c>
      <c r="D46" s="113">
        <v>77720.375</v>
      </c>
      <c r="E46" s="194">
        <f ca="1">SUMIF(Invoices!$I$2:$I$1048576,A$45:$A46,Invoices!$G$2:$G$2001)</f>
        <v>0</v>
      </c>
      <c r="F46" s="194">
        <f t="shared" ref="F46:F47" ca="1" si="1">D46-E46</f>
        <v>77720.375</v>
      </c>
      <c r="G46" s="196"/>
    </row>
    <row r="47" spans="1:7" x14ac:dyDescent="0.25">
      <c r="A47" s="83">
        <v>46</v>
      </c>
      <c r="B47" s="81" t="s">
        <v>87</v>
      </c>
      <c r="C47" s="117">
        <v>42878</v>
      </c>
      <c r="D47" s="113">
        <v>77720.375</v>
      </c>
      <c r="E47" s="195">
        <f ca="1">SUMIF(Invoices!$I$2:$I$1048576,A$45:$A47,Invoices!$G$2:$G$2001)</f>
        <v>0</v>
      </c>
      <c r="F47" s="195">
        <f t="shared" ca="1" si="1"/>
        <v>77720.375</v>
      </c>
      <c r="G47" s="197"/>
    </row>
    <row r="48" spans="1:7" x14ac:dyDescent="0.25">
      <c r="A48" s="198"/>
      <c r="B48" s="199"/>
      <c r="C48" s="192"/>
      <c r="D48" s="113">
        <v>77720.375</v>
      </c>
      <c r="E48" s="194">
        <f ca="1">SUMIF(Invoices!$I$2:$I$1048576,A$47:$A48,Invoices!$G$2:$G$2001)</f>
        <v>0</v>
      </c>
      <c r="F48" s="194">
        <f t="shared" ref="F48:F53" ca="1" si="2">D48-E48</f>
        <v>77720.375</v>
      </c>
      <c r="G48" s="196"/>
    </row>
    <row r="49" spans="1:7" x14ac:dyDescent="0.25">
      <c r="A49" s="198"/>
      <c r="B49" s="199"/>
      <c r="C49" s="193"/>
      <c r="D49" s="113">
        <v>77720.375</v>
      </c>
      <c r="E49" s="195">
        <f ca="1">SUMIF(Invoices!$I$2:$I$1048576,A$47:$A49,Invoices!$G$2:$G$2001)</f>
        <v>0</v>
      </c>
      <c r="F49" s="195">
        <f t="shared" ca="1" si="2"/>
        <v>77720.375</v>
      </c>
      <c r="G49" s="197"/>
    </row>
    <row r="50" spans="1:7" x14ac:dyDescent="0.25">
      <c r="A50" s="198"/>
      <c r="B50" s="199"/>
      <c r="C50" s="193"/>
      <c r="D50" s="113">
        <v>77720.375</v>
      </c>
      <c r="E50" s="195">
        <f ca="1">SUMIF(Invoices!$I$2:$I$1048576,A$47:$A50,Invoices!$G$2:$G$2001)</f>
        <v>0</v>
      </c>
      <c r="F50" s="195">
        <f t="shared" ca="1" si="2"/>
        <v>77720.375</v>
      </c>
      <c r="G50" s="197"/>
    </row>
    <row r="51" spans="1:7" x14ac:dyDescent="0.25">
      <c r="A51" s="198"/>
      <c r="B51" s="199"/>
      <c r="C51" s="193"/>
      <c r="D51" s="113">
        <v>77720.375</v>
      </c>
      <c r="E51" s="195">
        <f ca="1">SUMIF(Invoices!$I$2:$I$1048576,A$47:$A51,Invoices!$G$2:$G$2001)</f>
        <v>0</v>
      </c>
      <c r="F51" s="195">
        <f t="shared" ca="1" si="2"/>
        <v>77720.375</v>
      </c>
      <c r="G51" s="197"/>
    </row>
    <row r="52" spans="1:7" x14ac:dyDescent="0.25">
      <c r="A52" s="198"/>
      <c r="B52" s="199"/>
      <c r="C52" s="193"/>
      <c r="D52" s="113">
        <v>77720.375</v>
      </c>
      <c r="E52" s="195">
        <f ca="1">SUMIF(Invoices!$I$2:$I$1048576,A$47:$A52,Invoices!$G$2:$G$2001)</f>
        <v>0</v>
      </c>
      <c r="F52" s="195">
        <f t="shared" ca="1" si="2"/>
        <v>77720.375</v>
      </c>
      <c r="G52" s="197"/>
    </row>
    <row r="53" spans="1:7" x14ac:dyDescent="0.25">
      <c r="A53" s="198"/>
      <c r="B53" s="199"/>
      <c r="C53" s="193"/>
      <c r="D53" s="113">
        <v>77720.375</v>
      </c>
      <c r="E53" s="195">
        <f ca="1">SUMIF(Invoices!$I$2:$I$1048576,A$47:$A53,Invoices!$G$2:$G$2001)</f>
        <v>0</v>
      </c>
      <c r="F53" s="195">
        <f t="shared" ca="1" si="2"/>
        <v>77720.375</v>
      </c>
      <c r="G53" s="197"/>
    </row>
  </sheetData>
  <sheetProtection selectLockedCells="1"/>
  <conditionalFormatting sqref="A54:F1077 D2:F7 C48:C53 E8:F53">
    <cfRule type="expression" dxfId="4" priority="8">
      <formula>#REF!=100%</formula>
    </cfRule>
  </conditionalFormatting>
  <conditionalFormatting sqref="A2:B53">
    <cfRule type="expression" dxfId="3" priority="3">
      <formula>$I2=100%</formula>
    </cfRule>
  </conditionalFormatting>
  <conditionalFormatting sqref="D8:D53">
    <cfRule type="expression" dxfId="2" priority="2">
      <formula>$I8=100%</formula>
    </cfRule>
  </conditionalFormatting>
  <conditionalFormatting sqref="C2:C47">
    <cfRule type="expression" dxfId="0" priority="1">
      <formula>$I2=100%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8"/>
  <sheetViews>
    <sheetView workbookViewId="0">
      <selection activeCell="H17" sqref="H17"/>
    </sheetView>
  </sheetViews>
  <sheetFormatPr defaultRowHeight="13.2" x14ac:dyDescent="0.25"/>
  <cols>
    <col min="1" max="1" width="10.5546875" style="91" customWidth="1"/>
    <col min="2" max="2" width="13.5546875" style="91" customWidth="1"/>
    <col min="3" max="3" width="16.77734375" style="131" bestFit="1" customWidth="1"/>
    <col min="4" max="4" width="54.33203125" customWidth="1"/>
    <col min="5" max="5" width="18.6640625" customWidth="1"/>
    <col min="6" max="6" width="15.21875" customWidth="1"/>
    <col min="7" max="8" width="17" customWidth="1"/>
    <col min="9" max="9" width="11.33203125" style="129" customWidth="1"/>
    <col min="10" max="10" width="16.6640625" customWidth="1"/>
  </cols>
  <sheetData>
    <row r="1" spans="1:10" s="130" customFormat="1" ht="30.6" customHeight="1" x14ac:dyDescent="0.25">
      <c r="A1" s="155" t="s">
        <v>96</v>
      </c>
      <c r="B1" s="155" t="s">
        <v>97</v>
      </c>
      <c r="C1" s="156" t="s">
        <v>98</v>
      </c>
      <c r="D1" s="156" t="s">
        <v>89</v>
      </c>
      <c r="E1" s="156" t="s">
        <v>105</v>
      </c>
      <c r="F1" s="156" t="s">
        <v>107</v>
      </c>
      <c r="G1" s="156" t="s">
        <v>106</v>
      </c>
      <c r="H1" s="156" t="s">
        <v>112</v>
      </c>
      <c r="I1" s="155" t="s">
        <v>1</v>
      </c>
      <c r="J1" s="156" t="s">
        <v>108</v>
      </c>
    </row>
    <row r="2" spans="1:10" x14ac:dyDescent="0.25">
      <c r="A2" s="141">
        <v>15356</v>
      </c>
      <c r="B2" s="136">
        <v>42282</v>
      </c>
      <c r="C2" s="137">
        <v>27287</v>
      </c>
      <c r="D2" s="138" t="s">
        <v>49</v>
      </c>
      <c r="E2" s="139">
        <v>1</v>
      </c>
      <c r="F2" s="140">
        <v>42297</v>
      </c>
      <c r="G2" s="137">
        <f>Invoices!$C2*Invoices!$E2</f>
        <v>27287</v>
      </c>
      <c r="H2" s="137">
        <f>ZanonInvoices[[#This Row],[Invoice Amount]]-ZanonInvoices[[#This Row],[Dollar Approved]]</f>
        <v>0</v>
      </c>
      <c r="I2" s="141">
        <v>1</v>
      </c>
      <c r="J2" s="138"/>
    </row>
    <row r="3" spans="1:10" x14ac:dyDescent="0.25">
      <c r="A3" s="147">
        <v>15387</v>
      </c>
      <c r="B3" s="142">
        <v>42320</v>
      </c>
      <c r="C3" s="143">
        <v>54573.99</v>
      </c>
      <c r="D3" s="144" t="s">
        <v>50</v>
      </c>
      <c r="E3" s="145">
        <v>1</v>
      </c>
      <c r="F3" s="146">
        <v>42396</v>
      </c>
      <c r="G3" s="143">
        <f>Invoices!$C3*Invoices!$E3</f>
        <v>54573.99</v>
      </c>
      <c r="H3" s="143">
        <f>ZanonInvoices[[#This Row],[Invoice Amount]]-ZanonInvoices[[#This Row],[Dollar Approved]]</f>
        <v>0</v>
      </c>
      <c r="I3" s="147">
        <v>2</v>
      </c>
      <c r="J3" s="144"/>
    </row>
    <row r="4" spans="1:10" x14ac:dyDescent="0.25">
      <c r="A4" s="141">
        <v>15411</v>
      </c>
      <c r="B4" s="136">
        <v>42047</v>
      </c>
      <c r="C4" s="137">
        <v>54573.99</v>
      </c>
      <c r="D4" s="138" t="s">
        <v>51</v>
      </c>
      <c r="E4" s="139">
        <v>1</v>
      </c>
      <c r="F4" s="140">
        <v>42396</v>
      </c>
      <c r="G4" s="137">
        <f>Invoices!$C4*Invoices!$E4</f>
        <v>54573.99</v>
      </c>
      <c r="H4" s="137">
        <f>ZanonInvoices[[#This Row],[Invoice Amount]]-ZanonInvoices[[#This Row],[Dollar Approved]]</f>
        <v>0</v>
      </c>
      <c r="I4" s="141">
        <v>3</v>
      </c>
      <c r="J4" s="138"/>
    </row>
    <row r="5" spans="1:10" x14ac:dyDescent="0.25">
      <c r="A5" s="147">
        <v>16006</v>
      </c>
      <c r="B5" s="142">
        <v>42395</v>
      </c>
      <c r="C5" s="143">
        <v>114938.04</v>
      </c>
      <c r="D5" s="144" t="s">
        <v>52</v>
      </c>
      <c r="E5" s="145">
        <v>1</v>
      </c>
      <c r="F5" s="146">
        <v>42571</v>
      </c>
      <c r="G5" s="143">
        <f>Invoices!$C5*Invoices!$E5</f>
        <v>114938.04</v>
      </c>
      <c r="H5" s="143">
        <f>ZanonInvoices[[#This Row],[Invoice Amount]]-ZanonInvoices[[#This Row],[Dollar Approved]]</f>
        <v>0</v>
      </c>
      <c r="I5" s="147">
        <v>4</v>
      </c>
      <c r="J5" s="144"/>
    </row>
    <row r="6" spans="1:10" x14ac:dyDescent="0.25">
      <c r="A6" s="141">
        <v>16112</v>
      </c>
      <c r="B6" s="136">
        <v>42521</v>
      </c>
      <c r="C6" s="137">
        <v>229876.08</v>
      </c>
      <c r="D6" s="138" t="s">
        <v>53</v>
      </c>
      <c r="E6" s="139">
        <v>1</v>
      </c>
      <c r="F6" s="140">
        <v>42524</v>
      </c>
      <c r="G6" s="137">
        <f>Invoices!$C6*Invoices!$E6</f>
        <v>229876.08</v>
      </c>
      <c r="H6" s="137">
        <f>ZanonInvoices[[#This Row],[Invoice Amount]]-ZanonInvoices[[#This Row],[Dollar Approved]]</f>
        <v>0</v>
      </c>
      <c r="I6" s="141">
        <v>5</v>
      </c>
      <c r="J6" s="138"/>
    </row>
    <row r="7" spans="1:10" x14ac:dyDescent="0.25">
      <c r="A7" s="147">
        <v>16153</v>
      </c>
      <c r="B7" s="142">
        <v>42565</v>
      </c>
      <c r="C7" s="143">
        <v>348187.28</v>
      </c>
      <c r="D7" s="144" t="s">
        <v>55</v>
      </c>
      <c r="E7" s="145">
        <v>1</v>
      </c>
      <c r="F7" s="146">
        <v>42570</v>
      </c>
      <c r="G7" s="143">
        <f>Invoices!$C7*Invoices!$E7</f>
        <v>348187.28</v>
      </c>
      <c r="H7" s="143">
        <f>ZanonInvoices[[#This Row],[Invoice Amount]]-ZanonInvoices[[#This Row],[Dollar Approved]]</f>
        <v>0</v>
      </c>
      <c r="I7" s="147">
        <v>7</v>
      </c>
      <c r="J7" s="144"/>
    </row>
    <row r="8" spans="1:10" x14ac:dyDescent="0.25">
      <c r="A8" s="141">
        <v>16154</v>
      </c>
      <c r="B8" s="136">
        <v>42565</v>
      </c>
      <c r="C8" s="137">
        <v>65586.91</v>
      </c>
      <c r="D8" s="138" t="s">
        <v>114</v>
      </c>
      <c r="E8" s="139">
        <v>1</v>
      </c>
      <c r="F8" s="140">
        <v>42570</v>
      </c>
      <c r="G8" s="137">
        <f>Invoices!$C8*Invoices!$E8</f>
        <v>65586.91</v>
      </c>
      <c r="H8" s="137">
        <f>ZanonInvoices[[#This Row],[Invoice Amount]]-ZanonInvoices[[#This Row],[Dollar Approved]]</f>
        <v>0</v>
      </c>
      <c r="I8" s="141">
        <v>23</v>
      </c>
      <c r="J8" s="138"/>
    </row>
    <row r="9" spans="1:10" x14ac:dyDescent="0.25">
      <c r="A9" s="147">
        <v>16186</v>
      </c>
      <c r="B9" s="142">
        <v>42629</v>
      </c>
      <c r="C9" s="143">
        <v>429016.47</v>
      </c>
      <c r="D9" s="144" t="s">
        <v>55</v>
      </c>
      <c r="E9" s="145">
        <v>1</v>
      </c>
      <c r="F9" s="146">
        <v>42630</v>
      </c>
      <c r="G9" s="143">
        <f>Invoices!$C9*Invoices!$E9</f>
        <v>429016.47</v>
      </c>
      <c r="H9" s="143">
        <f>ZanonInvoices[[#This Row],[Invoice Amount]]-ZanonInvoices[[#This Row],[Dollar Approved]]</f>
        <v>0</v>
      </c>
      <c r="I9" s="147">
        <v>7</v>
      </c>
      <c r="J9" s="144"/>
    </row>
    <row r="10" spans="1:10" x14ac:dyDescent="0.25">
      <c r="A10" s="141">
        <v>16187</v>
      </c>
      <c r="B10" s="136">
        <v>42629</v>
      </c>
      <c r="C10" s="137">
        <v>2176170.5</v>
      </c>
      <c r="D10" s="138" t="s">
        <v>56</v>
      </c>
      <c r="E10" s="139">
        <v>1</v>
      </c>
      <c r="F10" s="140">
        <v>42632</v>
      </c>
      <c r="G10" s="137">
        <f>Invoices!$C10*Invoices!$E10</f>
        <v>2176170.5</v>
      </c>
      <c r="H10" s="137">
        <f>ZanonInvoices[[#This Row],[Invoice Amount]]-ZanonInvoices[[#This Row],[Dollar Approved]]</f>
        <v>0</v>
      </c>
      <c r="I10" s="141">
        <v>8</v>
      </c>
      <c r="J10" s="138"/>
    </row>
    <row r="11" spans="1:10" x14ac:dyDescent="0.25">
      <c r="A11" s="147">
        <v>16191</v>
      </c>
      <c r="B11" s="142">
        <v>42636</v>
      </c>
      <c r="C11" s="143">
        <v>114938.04</v>
      </c>
      <c r="D11" s="144" t="s">
        <v>54</v>
      </c>
      <c r="E11" s="145">
        <v>1</v>
      </c>
      <c r="F11" s="146">
        <v>42664</v>
      </c>
      <c r="G11" s="143">
        <f>Invoices!$C11*Invoices!$E11</f>
        <v>114938.04</v>
      </c>
      <c r="H11" s="143">
        <f>ZanonInvoices[[#This Row],[Invoice Amount]]-ZanonInvoices[[#This Row],[Dollar Approved]]</f>
        <v>0</v>
      </c>
      <c r="I11" s="147">
        <v>6</v>
      </c>
      <c r="J11" s="144" t="s">
        <v>109</v>
      </c>
    </row>
    <row r="12" spans="1:10" x14ac:dyDescent="0.25">
      <c r="A12" s="141">
        <v>16191</v>
      </c>
      <c r="B12" s="136">
        <v>42636</v>
      </c>
      <c r="C12" s="137">
        <v>2036</v>
      </c>
      <c r="D12" s="138" t="s">
        <v>94</v>
      </c>
      <c r="E12" s="139">
        <v>1</v>
      </c>
      <c r="F12" s="140">
        <v>42664</v>
      </c>
      <c r="G12" s="137">
        <f>Invoices!$C12*Invoices!$E12</f>
        <v>2036</v>
      </c>
      <c r="H12" s="137">
        <f>ZanonInvoices[[#This Row],[Invoice Amount]]-ZanonInvoices[[#This Row],[Dollar Approved]]</f>
        <v>0</v>
      </c>
      <c r="I12" s="141">
        <v>25</v>
      </c>
      <c r="J12" s="138"/>
    </row>
    <row r="13" spans="1:10" x14ac:dyDescent="0.25">
      <c r="A13" s="147">
        <v>16208</v>
      </c>
      <c r="B13" s="142">
        <v>42655</v>
      </c>
      <c r="C13" s="148">
        <v>114938.04</v>
      </c>
      <c r="D13" s="144" t="s">
        <v>54</v>
      </c>
      <c r="E13" s="145">
        <v>1</v>
      </c>
      <c r="F13" s="146">
        <v>42753</v>
      </c>
      <c r="G13" s="143">
        <f>Invoices!$C13*Invoices!$E13</f>
        <v>114938.04</v>
      </c>
      <c r="H13" s="143">
        <f>ZanonInvoices[[#This Row],[Invoice Amount]]-ZanonInvoices[[#This Row],[Dollar Approved]]</f>
        <v>0</v>
      </c>
      <c r="I13" s="147">
        <v>6</v>
      </c>
      <c r="J13" s="144" t="s">
        <v>110</v>
      </c>
    </row>
    <row r="14" spans="1:10" x14ac:dyDescent="0.25">
      <c r="A14" s="141">
        <v>16219</v>
      </c>
      <c r="B14" s="136">
        <v>42668</v>
      </c>
      <c r="C14" s="149">
        <v>509</v>
      </c>
      <c r="D14" s="138" t="s">
        <v>94</v>
      </c>
      <c r="E14" s="139">
        <v>1</v>
      </c>
      <c r="F14" s="140">
        <v>42717</v>
      </c>
      <c r="G14" s="137">
        <f>Invoices!$C14*Invoices!$E14</f>
        <v>509</v>
      </c>
      <c r="H14" s="137">
        <f>ZanonInvoices[[#This Row],[Invoice Amount]]-ZanonInvoices[[#This Row],[Dollar Approved]]</f>
        <v>0</v>
      </c>
      <c r="I14" s="141">
        <v>25</v>
      </c>
      <c r="J14" s="138"/>
    </row>
    <row r="15" spans="1:10" x14ac:dyDescent="0.25">
      <c r="A15" s="147">
        <v>16219</v>
      </c>
      <c r="B15" s="142">
        <v>42669</v>
      </c>
      <c r="C15" s="148">
        <v>12500</v>
      </c>
      <c r="D15" s="144" t="s">
        <v>99</v>
      </c>
      <c r="E15" s="145">
        <v>1</v>
      </c>
      <c r="F15" s="146">
        <v>42717</v>
      </c>
      <c r="G15" s="143">
        <f>Invoices!$C15*Invoices!$E15</f>
        <v>12500</v>
      </c>
      <c r="H15" s="143">
        <f>ZanonInvoices[[#This Row],[Invoice Amount]]-ZanonInvoices[[#This Row],[Dollar Approved]]</f>
        <v>0</v>
      </c>
      <c r="I15" s="147">
        <v>29</v>
      </c>
      <c r="J15" s="144"/>
    </row>
    <row r="16" spans="1:10" x14ac:dyDescent="0.25">
      <c r="A16" s="141">
        <v>16219</v>
      </c>
      <c r="B16" s="136">
        <v>42669</v>
      </c>
      <c r="C16" s="149">
        <v>233161.13</v>
      </c>
      <c r="D16" s="138" t="s">
        <v>57</v>
      </c>
      <c r="E16" s="139">
        <v>1</v>
      </c>
      <c r="F16" s="140">
        <v>42753</v>
      </c>
      <c r="G16" s="137">
        <f>Invoices!$C16*Invoices!$E16</f>
        <v>233161.13</v>
      </c>
      <c r="H16" s="137">
        <f>ZanonInvoices[[#This Row],[Invoice Amount]]-ZanonInvoices[[#This Row],[Dollar Approved]]</f>
        <v>0</v>
      </c>
      <c r="I16" s="141">
        <v>9</v>
      </c>
      <c r="J16" s="138"/>
    </row>
    <row r="17" spans="1:10" x14ac:dyDescent="0.25">
      <c r="A17" s="147">
        <v>16220</v>
      </c>
      <c r="B17" s="142">
        <v>42669</v>
      </c>
      <c r="C17" s="148">
        <v>233161.13</v>
      </c>
      <c r="D17" s="144" t="s">
        <v>58</v>
      </c>
      <c r="E17" s="145">
        <v>0.9</v>
      </c>
      <c r="F17" s="146">
        <v>42753</v>
      </c>
      <c r="G17" s="143">
        <f>Invoices!$C17*Invoices!$E17</f>
        <v>209845.01700000002</v>
      </c>
      <c r="H17" s="143">
        <f>ZanonInvoices[[#This Row],[Invoice Amount]]-ZanonInvoices[[#This Row],[Dollar Approved]]</f>
        <v>23316.112999999983</v>
      </c>
      <c r="I17" s="147">
        <v>10</v>
      </c>
      <c r="J17" s="144"/>
    </row>
    <row r="18" spans="1:10" x14ac:dyDescent="0.25">
      <c r="A18" s="141">
        <v>16220</v>
      </c>
      <c r="B18" s="136">
        <v>42669</v>
      </c>
      <c r="C18" s="149">
        <v>12500</v>
      </c>
      <c r="D18" s="138" t="s">
        <v>99</v>
      </c>
      <c r="E18" s="139">
        <v>1</v>
      </c>
      <c r="F18" s="140">
        <v>42723</v>
      </c>
      <c r="G18" s="137">
        <f>Invoices!$C18*Invoices!$E18</f>
        <v>12500</v>
      </c>
      <c r="H18" s="137">
        <f>ZanonInvoices[[#This Row],[Invoice Amount]]-ZanonInvoices[[#This Row],[Dollar Approved]]</f>
        <v>0</v>
      </c>
      <c r="I18" s="141">
        <v>29</v>
      </c>
      <c r="J18" s="138"/>
    </row>
    <row r="19" spans="1:10" x14ac:dyDescent="0.25">
      <c r="A19" s="141">
        <v>16287</v>
      </c>
      <c r="B19" s="136">
        <v>42731</v>
      </c>
      <c r="C19" s="149">
        <v>59400</v>
      </c>
      <c r="D19" s="138" t="s">
        <v>95</v>
      </c>
      <c r="E19" s="139">
        <v>1</v>
      </c>
      <c r="F19" s="140">
        <v>42753</v>
      </c>
      <c r="G19" s="137">
        <f>Invoices!$C19*Invoices!$E19</f>
        <v>59400</v>
      </c>
      <c r="H19" s="137">
        <f>ZanonInvoices[[#This Row],[Invoice Amount]]-ZanonInvoices[[#This Row],[Dollar Approved]]</f>
        <v>0</v>
      </c>
      <c r="I19" s="141">
        <v>26</v>
      </c>
      <c r="J19" s="138"/>
    </row>
    <row r="20" spans="1:10" x14ac:dyDescent="0.25">
      <c r="A20" s="141">
        <v>16288</v>
      </c>
      <c r="B20" s="136">
        <v>42731</v>
      </c>
      <c r="C20" s="149">
        <v>50000</v>
      </c>
      <c r="D20" s="138" t="s">
        <v>93</v>
      </c>
      <c r="E20" s="139">
        <v>1</v>
      </c>
      <c r="F20" s="140">
        <v>42753</v>
      </c>
      <c r="G20" s="137">
        <f>Invoices!$C20*Invoices!$E20</f>
        <v>50000</v>
      </c>
      <c r="H20" s="137">
        <f>ZanonInvoices[[#This Row],[Invoice Amount]]-ZanonInvoices[[#This Row],[Dollar Approved]]</f>
        <v>0</v>
      </c>
      <c r="I20" s="141">
        <v>24</v>
      </c>
      <c r="J20" s="138"/>
    </row>
    <row r="21" spans="1:10" x14ac:dyDescent="0.25">
      <c r="A21" s="141">
        <v>16251</v>
      </c>
      <c r="B21" s="136">
        <v>42696</v>
      </c>
      <c r="C21" s="149">
        <v>233161.125</v>
      </c>
      <c r="D21" s="138" t="s">
        <v>59</v>
      </c>
      <c r="E21" s="139">
        <v>1</v>
      </c>
      <c r="F21" s="140">
        <v>42753</v>
      </c>
      <c r="G21" s="137">
        <f>Invoices!$C21*Invoices!$E21</f>
        <v>233161.125</v>
      </c>
      <c r="H21" s="137">
        <f>ZanonInvoices[[#This Row],[Invoice Amount]]-ZanonInvoices[[#This Row],[Dollar Approved]]</f>
        <v>0</v>
      </c>
      <c r="I21" s="141">
        <v>11</v>
      </c>
      <c r="J21" s="138"/>
    </row>
    <row r="22" spans="1:10" x14ac:dyDescent="0.25">
      <c r="A22" s="141">
        <v>16251</v>
      </c>
      <c r="B22" s="136">
        <v>42696</v>
      </c>
      <c r="C22" s="149">
        <v>116580.5625</v>
      </c>
      <c r="D22" s="138" t="s">
        <v>60</v>
      </c>
      <c r="E22" s="139">
        <v>1</v>
      </c>
      <c r="F22" s="140">
        <v>42753</v>
      </c>
      <c r="G22" s="137">
        <f>Invoices!$C22*Invoices!$E22</f>
        <v>116580.5625</v>
      </c>
      <c r="H22" s="137">
        <f>ZanonInvoices[[#This Row],[Invoice Amount]]-ZanonInvoices[[#This Row],[Dollar Approved]]</f>
        <v>0</v>
      </c>
      <c r="I22" s="141">
        <v>12</v>
      </c>
      <c r="J22" s="138"/>
    </row>
    <row r="23" spans="1:10" x14ac:dyDescent="0.25">
      <c r="A23" s="141">
        <v>16251</v>
      </c>
      <c r="B23" s="136">
        <v>42696</v>
      </c>
      <c r="C23" s="149">
        <v>21282.06</v>
      </c>
      <c r="D23" s="138" t="s">
        <v>113</v>
      </c>
      <c r="E23" s="139">
        <v>1</v>
      </c>
      <c r="F23" s="140">
        <v>42753</v>
      </c>
      <c r="G23" s="137">
        <f>Invoices!$C23*Invoices!$E23</f>
        <v>21282.06</v>
      </c>
      <c r="H23" s="137">
        <f>ZanonInvoices[[#This Row],[Invoice Amount]]-ZanonInvoices[[#This Row],[Dollar Approved]]</f>
        <v>0</v>
      </c>
      <c r="I23" s="141">
        <v>30</v>
      </c>
      <c r="J23" s="138"/>
    </row>
    <row r="24" spans="1:10" x14ac:dyDescent="0.25">
      <c r="A24" s="141">
        <v>16253</v>
      </c>
      <c r="B24" s="136">
        <v>42696</v>
      </c>
      <c r="C24" s="149">
        <v>14188.04</v>
      </c>
      <c r="D24" s="138" t="s">
        <v>113</v>
      </c>
      <c r="E24" s="139">
        <v>1</v>
      </c>
      <c r="F24" s="140">
        <v>42753</v>
      </c>
      <c r="G24" s="137">
        <f>Invoices!$C24*Invoices!$E24</f>
        <v>14188.04</v>
      </c>
      <c r="H24" s="137">
        <f>ZanonInvoices[[#This Row],[Invoice Amount]]-ZanonInvoices[[#This Row],[Dollar Approved]]</f>
        <v>0</v>
      </c>
      <c r="I24" s="141">
        <v>30</v>
      </c>
      <c r="J24" s="138"/>
    </row>
    <row r="25" spans="1:10" x14ac:dyDescent="0.25">
      <c r="A25" s="141">
        <v>16253</v>
      </c>
      <c r="B25" s="136">
        <v>42696</v>
      </c>
      <c r="C25" s="149">
        <v>233161.125</v>
      </c>
      <c r="D25" s="138" t="s">
        <v>61</v>
      </c>
      <c r="E25" s="139">
        <v>1</v>
      </c>
      <c r="F25" s="140">
        <v>42753</v>
      </c>
      <c r="G25" s="137">
        <f>Invoices!$C25*Invoices!$E25</f>
        <v>233161.125</v>
      </c>
      <c r="H25" s="137">
        <f>ZanonInvoices[[#This Row],[Invoice Amount]]-ZanonInvoices[[#This Row],[Dollar Approved]]</f>
        <v>0</v>
      </c>
      <c r="I25" s="141">
        <v>13</v>
      </c>
      <c r="J25" s="138"/>
    </row>
    <row r="26" spans="1:10" x14ac:dyDescent="0.25">
      <c r="A26" s="163">
        <v>17007</v>
      </c>
      <c r="B26" s="164">
        <v>42979</v>
      </c>
      <c r="C26" s="165">
        <v>14188.04</v>
      </c>
      <c r="D26" s="166" t="s">
        <v>113</v>
      </c>
      <c r="E26" s="167">
        <v>1</v>
      </c>
      <c r="F26" s="168">
        <v>42781</v>
      </c>
      <c r="G26" s="169">
        <f>Invoices!$C26*Invoices!$E26</f>
        <v>14188.04</v>
      </c>
      <c r="H26" s="169">
        <f>ZanonInvoices[[#This Row],[Invoice Amount]]-ZanonInvoices[[#This Row],[Dollar Approved]]</f>
        <v>0</v>
      </c>
      <c r="I26" s="163">
        <v>30</v>
      </c>
      <c r="J26" s="166"/>
    </row>
    <row r="27" spans="1:10" x14ac:dyDescent="0.25">
      <c r="A27" s="163">
        <v>17007</v>
      </c>
      <c r="B27" s="164">
        <v>42979</v>
      </c>
      <c r="C27" s="165">
        <f>248705.2-15544.07</f>
        <v>233161.13</v>
      </c>
      <c r="D27" s="166" t="s">
        <v>62</v>
      </c>
      <c r="E27" s="167">
        <v>1</v>
      </c>
      <c r="F27" s="168">
        <v>42784</v>
      </c>
      <c r="G27" s="169">
        <f>Invoices!$C27*Invoices!$E27</f>
        <v>233161.13</v>
      </c>
      <c r="H27" s="169">
        <f>ZanonInvoices[[#This Row],[Invoice Amount]]-ZanonInvoices[[#This Row],[Dollar Approved]]</f>
        <v>0</v>
      </c>
      <c r="I27" s="163">
        <v>14</v>
      </c>
      <c r="J27" s="166"/>
    </row>
    <row r="28" spans="1:10" x14ac:dyDescent="0.25">
      <c r="A28" s="170" t="s">
        <v>117</v>
      </c>
      <c r="B28" s="170"/>
      <c r="C28" s="171"/>
      <c r="D28" s="172"/>
      <c r="E28" s="173"/>
      <c r="F28" s="173"/>
      <c r="G28" s="174">
        <f>SUBTOTAL(109,ZanonInvoices[Dollar Approved])</f>
        <v>5175759.5694999993</v>
      </c>
      <c r="H28" s="173"/>
      <c r="I28" s="170"/>
      <c r="J28" s="172">
        <f>SUBTOTAL(103,ZanonInvoices[Notes])</f>
        <v>2</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Form'!$B$11:$B$61</xm:f>
          </x14:formula1>
          <xm:sqref>D2:D27 D29:D1048576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D63"/>
  <sheetViews>
    <sheetView topLeftCell="A31" workbookViewId="0">
      <selection activeCell="I23" sqref="I23"/>
    </sheetView>
  </sheetViews>
  <sheetFormatPr defaultRowHeight="13.2" x14ac:dyDescent="0.25"/>
  <cols>
    <col min="2" max="2" width="12.6640625" customWidth="1"/>
    <col min="4" max="4" width="10.109375" bestFit="1" customWidth="1"/>
  </cols>
  <sheetData>
    <row r="3" spans="2:4" x14ac:dyDescent="0.25">
      <c r="B3" s="78" t="s">
        <v>92</v>
      </c>
      <c r="D3" t="s">
        <v>3</v>
      </c>
    </row>
    <row r="4" spans="2:4" x14ac:dyDescent="0.25">
      <c r="B4" s="79">
        <v>1</v>
      </c>
      <c r="D4" s="80">
        <v>42400</v>
      </c>
    </row>
    <row r="5" spans="2:4" x14ac:dyDescent="0.25">
      <c r="B5" s="79">
        <v>0.95</v>
      </c>
      <c r="D5" s="80">
        <v>42429</v>
      </c>
    </row>
    <row r="6" spans="2:4" x14ac:dyDescent="0.25">
      <c r="B6" s="79">
        <v>0.89999999999999991</v>
      </c>
      <c r="D6" s="80">
        <v>42460</v>
      </c>
    </row>
    <row r="7" spans="2:4" x14ac:dyDescent="0.25">
      <c r="B7" s="79">
        <v>0.84999999999999987</v>
      </c>
      <c r="D7" s="80">
        <v>42490</v>
      </c>
    </row>
    <row r="8" spans="2:4" x14ac:dyDescent="0.25">
      <c r="B8" s="79">
        <v>0.79999999999999982</v>
      </c>
      <c r="D8" s="80">
        <v>42521</v>
      </c>
    </row>
    <row r="9" spans="2:4" x14ac:dyDescent="0.25">
      <c r="B9" s="79">
        <v>0.74999999999999978</v>
      </c>
      <c r="D9" s="80">
        <v>42551</v>
      </c>
    </row>
    <row r="10" spans="2:4" x14ac:dyDescent="0.25">
      <c r="B10" s="79">
        <v>0.69999999999999973</v>
      </c>
      <c r="D10" s="80">
        <v>42582</v>
      </c>
    </row>
    <row r="11" spans="2:4" x14ac:dyDescent="0.25">
      <c r="B11" s="79">
        <v>0.64999999999999969</v>
      </c>
      <c r="D11" s="80">
        <v>42613</v>
      </c>
    </row>
    <row r="12" spans="2:4" x14ac:dyDescent="0.25">
      <c r="B12" s="79">
        <v>0.59999999999999964</v>
      </c>
      <c r="D12" s="80">
        <v>42643</v>
      </c>
    </row>
    <row r="13" spans="2:4" x14ac:dyDescent="0.25">
      <c r="B13" s="79">
        <v>0.5499999999999996</v>
      </c>
      <c r="D13" s="80">
        <v>42674</v>
      </c>
    </row>
    <row r="14" spans="2:4" x14ac:dyDescent="0.25">
      <c r="B14" s="79">
        <v>0.49999999999999961</v>
      </c>
      <c r="D14" s="80">
        <v>42704</v>
      </c>
    </row>
    <row r="15" spans="2:4" x14ac:dyDescent="0.25">
      <c r="B15" s="79">
        <v>0.44999999999999962</v>
      </c>
      <c r="D15" s="80">
        <v>42735</v>
      </c>
    </row>
    <row r="16" spans="2:4" x14ac:dyDescent="0.25">
      <c r="B16" s="79">
        <v>0.39999999999999963</v>
      </c>
      <c r="D16" s="80">
        <v>42766</v>
      </c>
    </row>
    <row r="17" spans="2:4" x14ac:dyDescent="0.25">
      <c r="B17" s="79">
        <v>0.34999999999999964</v>
      </c>
      <c r="D17" s="80">
        <v>42794</v>
      </c>
    </row>
    <row r="18" spans="2:4" x14ac:dyDescent="0.25">
      <c r="B18" s="79">
        <v>0.29999999999999966</v>
      </c>
      <c r="D18" s="80">
        <v>42825</v>
      </c>
    </row>
    <row r="19" spans="2:4" x14ac:dyDescent="0.25">
      <c r="B19" s="79">
        <v>0.24999999999999967</v>
      </c>
      <c r="D19" s="80">
        <v>42855</v>
      </c>
    </row>
    <row r="20" spans="2:4" x14ac:dyDescent="0.25">
      <c r="B20" s="79">
        <v>0.19999999999999968</v>
      </c>
      <c r="D20" s="80">
        <v>42886</v>
      </c>
    </row>
    <row r="21" spans="2:4" x14ac:dyDescent="0.25">
      <c r="B21" s="79">
        <v>0.14999999999999969</v>
      </c>
      <c r="D21" s="80">
        <v>42916</v>
      </c>
    </row>
    <row r="22" spans="2:4" x14ac:dyDescent="0.25">
      <c r="B22" s="79">
        <v>9.9999999999999686E-2</v>
      </c>
      <c r="D22" s="80">
        <v>42947</v>
      </c>
    </row>
    <row r="23" spans="2:4" x14ac:dyDescent="0.25">
      <c r="B23" s="79">
        <v>4.9999999999999684E-2</v>
      </c>
      <c r="D23" s="80">
        <v>42978</v>
      </c>
    </row>
    <row r="24" spans="2:4" x14ac:dyDescent="0.25">
      <c r="B24" s="79">
        <v>-3.1918911957973251E-16</v>
      </c>
      <c r="D24" s="80">
        <v>43008</v>
      </c>
    </row>
    <row r="25" spans="2:4" x14ac:dyDescent="0.25">
      <c r="D25" s="80">
        <v>43039</v>
      </c>
    </row>
    <row r="26" spans="2:4" x14ac:dyDescent="0.25">
      <c r="D26" s="80">
        <v>43069</v>
      </c>
    </row>
    <row r="27" spans="2:4" x14ac:dyDescent="0.25">
      <c r="D27" s="80">
        <v>43100</v>
      </c>
    </row>
    <row r="28" spans="2:4" x14ac:dyDescent="0.25">
      <c r="D28" s="80">
        <v>43131</v>
      </c>
    </row>
    <row r="29" spans="2:4" x14ac:dyDescent="0.25">
      <c r="D29" s="80">
        <v>43159</v>
      </c>
    </row>
    <row r="30" spans="2:4" x14ac:dyDescent="0.25">
      <c r="D30" s="80">
        <v>43190</v>
      </c>
    </row>
    <row r="31" spans="2:4" x14ac:dyDescent="0.25">
      <c r="D31" s="80">
        <v>43220</v>
      </c>
    </row>
    <row r="32" spans="2:4" x14ac:dyDescent="0.25">
      <c r="D32" s="80">
        <v>43251</v>
      </c>
    </row>
    <row r="33" spans="4:4" x14ac:dyDescent="0.25">
      <c r="D33" s="80">
        <v>43281</v>
      </c>
    </row>
    <row r="34" spans="4:4" x14ac:dyDescent="0.25">
      <c r="D34" s="80">
        <v>43312</v>
      </c>
    </row>
    <row r="35" spans="4:4" x14ac:dyDescent="0.25">
      <c r="D35" s="80">
        <v>43343</v>
      </c>
    </row>
    <row r="36" spans="4:4" x14ac:dyDescent="0.25">
      <c r="D36" s="80">
        <v>43373</v>
      </c>
    </row>
    <row r="37" spans="4:4" x14ac:dyDescent="0.25">
      <c r="D37" s="80">
        <v>43404</v>
      </c>
    </row>
    <row r="38" spans="4:4" x14ac:dyDescent="0.25">
      <c r="D38" s="80">
        <v>43434</v>
      </c>
    </row>
    <row r="39" spans="4:4" x14ac:dyDescent="0.25">
      <c r="D39" s="80">
        <v>43465</v>
      </c>
    </row>
    <row r="40" spans="4:4" x14ac:dyDescent="0.25">
      <c r="D40" s="80">
        <v>43496</v>
      </c>
    </row>
    <row r="41" spans="4:4" x14ac:dyDescent="0.25">
      <c r="D41" s="80">
        <v>43524</v>
      </c>
    </row>
    <row r="42" spans="4:4" x14ac:dyDescent="0.25">
      <c r="D42" s="80">
        <v>43555</v>
      </c>
    </row>
    <row r="43" spans="4:4" x14ac:dyDescent="0.25">
      <c r="D43" s="80">
        <v>43585</v>
      </c>
    </row>
    <row r="44" spans="4:4" x14ac:dyDescent="0.25">
      <c r="D44" s="80">
        <v>43616</v>
      </c>
    </row>
    <row r="45" spans="4:4" x14ac:dyDescent="0.25">
      <c r="D45" s="80">
        <v>43646</v>
      </c>
    </row>
    <row r="46" spans="4:4" x14ac:dyDescent="0.25">
      <c r="D46" s="80">
        <v>43677</v>
      </c>
    </row>
    <row r="47" spans="4:4" x14ac:dyDescent="0.25">
      <c r="D47" s="80">
        <v>43708</v>
      </c>
    </row>
    <row r="48" spans="4:4" x14ac:dyDescent="0.25">
      <c r="D48" s="80">
        <v>43738</v>
      </c>
    </row>
    <row r="49" spans="4:4" x14ac:dyDescent="0.25">
      <c r="D49" s="80">
        <v>43769</v>
      </c>
    </row>
    <row r="50" spans="4:4" x14ac:dyDescent="0.25">
      <c r="D50" s="80">
        <v>43799</v>
      </c>
    </row>
    <row r="51" spans="4:4" x14ac:dyDescent="0.25">
      <c r="D51" s="80">
        <v>43830</v>
      </c>
    </row>
    <row r="52" spans="4:4" x14ac:dyDescent="0.25">
      <c r="D52" s="80">
        <v>43861</v>
      </c>
    </row>
    <row r="53" spans="4:4" x14ac:dyDescent="0.25">
      <c r="D53" s="80">
        <v>43890</v>
      </c>
    </row>
    <row r="54" spans="4:4" x14ac:dyDescent="0.25">
      <c r="D54" s="80">
        <v>43921</v>
      </c>
    </row>
    <row r="55" spans="4:4" x14ac:dyDescent="0.25">
      <c r="D55" s="80">
        <v>43951</v>
      </c>
    </row>
    <row r="56" spans="4:4" x14ac:dyDescent="0.25">
      <c r="D56" s="80">
        <v>43982</v>
      </c>
    </row>
    <row r="57" spans="4:4" x14ac:dyDescent="0.25">
      <c r="D57" s="80">
        <v>44012</v>
      </c>
    </row>
    <row r="58" spans="4:4" x14ac:dyDescent="0.25">
      <c r="D58" s="80">
        <v>44043</v>
      </c>
    </row>
    <row r="59" spans="4:4" x14ac:dyDescent="0.25">
      <c r="D59" s="80">
        <v>44074</v>
      </c>
    </row>
    <row r="60" spans="4:4" x14ac:dyDescent="0.25">
      <c r="D60" s="80">
        <v>44104</v>
      </c>
    </row>
    <row r="61" spans="4:4" x14ac:dyDescent="0.25">
      <c r="D61" s="80">
        <v>44135</v>
      </c>
    </row>
    <row r="62" spans="4:4" x14ac:dyDescent="0.25">
      <c r="D62" s="80">
        <v>44165</v>
      </c>
    </row>
    <row r="63" spans="4:4" x14ac:dyDescent="0.25">
      <c r="D63" s="80">
        <v>44196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B980F716-6D0C-4DC0-ACE8-A4EF6688950C}">
  <ds:schemaRefs/>
</ds:datastoreItem>
</file>

<file path=customXml/itemProps2.xml><?xml version="1.0" encoding="utf-8"?>
<ds:datastoreItem xmlns:ds="http://schemas.openxmlformats.org/officeDocument/2006/customXml" ds:itemID="{3610C93E-F8F1-4E6F-8E78-5688F0BB69BD}">
  <ds:schemaRefs/>
</ds:datastoreItem>
</file>

<file path=customXml/itemProps3.xml><?xml version="1.0" encoding="utf-8"?>
<ds:datastoreItem xmlns:ds="http://schemas.openxmlformats.org/officeDocument/2006/customXml" ds:itemID="{9D3A1C76-AA85-4C79-BD09-49FDE4FF7BDB}">
  <ds:schemaRefs/>
</ds:datastoreItem>
</file>

<file path=customXml/itemProps4.xml><?xml version="1.0" encoding="utf-8"?>
<ds:datastoreItem xmlns:ds="http://schemas.openxmlformats.org/officeDocument/2006/customXml" ds:itemID="{D9AEC0D4-9BE5-4D9C-8D51-D1B5445265C0}">
  <ds:schemaRefs/>
</ds:datastoreItem>
</file>

<file path=customXml/itemProps5.xml><?xml version="1.0" encoding="utf-8"?>
<ds:datastoreItem xmlns:ds="http://schemas.openxmlformats.org/officeDocument/2006/customXml" ds:itemID="{C5141F93-CBA7-4C60-82EF-8193D4C62EC0}">
  <ds:schemaRefs/>
</ds:datastoreItem>
</file>

<file path=customXml/itemProps6.xml><?xml version="1.0" encoding="utf-8"?>
<ds:datastoreItem xmlns:ds="http://schemas.openxmlformats.org/officeDocument/2006/customXml" ds:itemID="{AD535E68-834D-451E-931C-EB3E247CF513}">
  <ds:schemaRefs/>
</ds:datastoreItem>
</file>

<file path=customXml/itemProps7.xml><?xml version="1.0" encoding="utf-8"?>
<ds:datastoreItem xmlns:ds="http://schemas.openxmlformats.org/officeDocument/2006/customXml" ds:itemID="{6E63447F-AB35-4807-95EA-B939B26DA11B}">
  <ds:schemaRefs/>
</ds:datastoreItem>
</file>

<file path=customXml/itemProps8.xml><?xml version="1.0" encoding="utf-8"?>
<ds:datastoreItem xmlns:ds="http://schemas.openxmlformats.org/officeDocument/2006/customXml" ds:itemID="{6C567BD0-E5F0-43D5-B2AD-FB7D87E819B4}">
  <ds:schemaRefs/>
</ds:datastoreItem>
</file>

<file path=customXml/itemProps9.xml><?xml version="1.0" encoding="utf-8"?>
<ds:datastoreItem xmlns:ds="http://schemas.openxmlformats.org/officeDocument/2006/customXml" ds:itemID="{85F97A3A-F297-4D4F-8F14-2D009C731341}">
  <ds:schemaRefs/>
</ds:datastoreItem>
</file>

<file path=customXml/itemProps10.xml><?xml version="1.0" encoding="utf-8"?>
<ds:datastoreItem xmlns:ds="http://schemas.openxmlformats.org/officeDocument/2006/customXml" ds:itemID="{A6B118D9-5382-4111-A835-C90F3E8B9BAA}">
  <ds:schemaRefs/>
</ds:datastoreItem>
</file>

<file path=customXml/itemProps11.xml><?xml version="1.0" encoding="utf-8"?>
<ds:datastoreItem xmlns:ds="http://schemas.openxmlformats.org/officeDocument/2006/customXml" ds:itemID="{7498246B-BACB-403D-9EF6-591EB5659290}">
  <ds:schemaRefs/>
</ds:datastoreItem>
</file>

<file path=customXml/itemProps12.xml><?xml version="1.0" encoding="utf-8"?>
<ds:datastoreItem xmlns:ds="http://schemas.openxmlformats.org/officeDocument/2006/customXml" ds:itemID="{33B6DCF4-3CE8-47DB-8DF0-8CECB6AA6438}">
  <ds:schemaRefs/>
</ds:datastoreItem>
</file>

<file path=customXml/itemProps13.xml><?xml version="1.0" encoding="utf-8"?>
<ds:datastoreItem xmlns:ds="http://schemas.openxmlformats.org/officeDocument/2006/customXml" ds:itemID="{80A86A64-A32D-4BB4-8EAD-A5BAAE57A460}">
  <ds:schemaRefs/>
</ds:datastoreItem>
</file>

<file path=customXml/itemProps14.xml><?xml version="1.0" encoding="utf-8"?>
<ds:datastoreItem xmlns:ds="http://schemas.openxmlformats.org/officeDocument/2006/customXml" ds:itemID="{7CC62F92-161E-4907-8499-AB72A2F076A6}">
  <ds:schemaRefs/>
</ds:datastoreItem>
</file>

<file path=customXml/itemProps15.xml><?xml version="1.0" encoding="utf-8"?>
<ds:datastoreItem xmlns:ds="http://schemas.openxmlformats.org/officeDocument/2006/customXml" ds:itemID="{C43DC2E5-2B2E-49A3-8683-314AAE4CF5BE}">
  <ds:schemaRefs/>
</ds:datastoreItem>
</file>

<file path=customXml/itemProps16.xml><?xml version="1.0" encoding="utf-8"?>
<ds:datastoreItem xmlns:ds="http://schemas.openxmlformats.org/officeDocument/2006/customXml" ds:itemID="{7CB00795-B9F1-4379-8389-A6CB45429FB8}">
  <ds:schemaRefs/>
</ds:datastoreItem>
</file>

<file path=customXml/itemProps17.xml><?xml version="1.0" encoding="utf-8"?>
<ds:datastoreItem xmlns:ds="http://schemas.openxmlformats.org/officeDocument/2006/customXml" ds:itemID="{4D6D763B-4168-4C37-9F00-E8687068746D}">
  <ds:schemaRefs/>
</ds:datastoreItem>
</file>

<file path=customXml/itemProps18.xml><?xml version="1.0" encoding="utf-8"?>
<ds:datastoreItem xmlns:ds="http://schemas.openxmlformats.org/officeDocument/2006/customXml" ds:itemID="{C3175FC8-5A02-4BD0-951B-0024B3EDD76C}">
  <ds:schemaRefs/>
</ds:datastoreItem>
</file>

<file path=customXml/itemProps19.xml><?xml version="1.0" encoding="utf-8"?>
<ds:datastoreItem xmlns:ds="http://schemas.openxmlformats.org/officeDocument/2006/customXml" ds:itemID="{D8663DC4-715C-46DF-9194-B4478183CC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vt:lpstr>
      <vt:lpstr>Process</vt:lpstr>
      <vt:lpstr> Accting USE Data Entry Form</vt:lpstr>
      <vt:lpstr>PO Line</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2017-03-01T17:04:56Z</dcterms:modified>
</cp:coreProperties>
</file>