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0587 - Fitz- Cavs - RI\F. CONTRACT ADMIN\Accruals\"/>
    </mc:Choice>
  </mc:AlternateContent>
  <bookViews>
    <workbookView xWindow="480" yWindow="108" windowWidth="11352" windowHeight="8388"/>
  </bookViews>
  <sheets>
    <sheet name="Form" sheetId="1" r:id="rId1"/>
    <sheet name="Process" sheetId="4" r:id="rId2"/>
    <sheet name=" Accting USE Data Entry Form" sheetId="3" r:id="rId3"/>
    <sheet name="Accrual Details" sheetId="8" state="hidden" r:id="rId4"/>
    <sheet name="Invoices" sheetId="6" r:id="rId5"/>
    <sheet name="Sheet1" sheetId="9" state="hidden" r:id="rId6"/>
    <sheet name="Cavity Status" sheetId="7" r:id="rId7"/>
    <sheet name="Incentivized Schedule" sheetId="10" r:id="rId8"/>
    <sheet name="List" sheetId="5" r:id="rId9"/>
  </sheets>
  <externalReferences>
    <externalReference r:id="rId10"/>
  </externalReferences>
  <definedNames>
    <definedName name="_xlnm._FilterDatabase" localSheetId="0" hidden="1">Form!$A$7:$L$113</definedName>
    <definedName name="_xlnm._FilterDatabase" localSheetId="8" hidden="1">List!$E$2:$F$62</definedName>
    <definedName name="_xlcn.LinkedTable_Accruals1" hidden="1">' Accting USE Data Entry Form'!$A$10:$AI$104</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AE103" i="3" l="1"/>
  <c r="AA103" i="3"/>
  <c r="Y103" i="3"/>
  <c r="AE102" i="3"/>
  <c r="Y102" i="3"/>
  <c r="AA102" i="3" s="1"/>
  <c r="AE101" i="3"/>
  <c r="AA101" i="3"/>
  <c r="Y101" i="3"/>
  <c r="AE100" i="3"/>
  <c r="Y100" i="3"/>
  <c r="AA100" i="3" s="1"/>
  <c r="AE99" i="3"/>
  <c r="AA99" i="3"/>
  <c r="Y99" i="3"/>
  <c r="AE98" i="3"/>
  <c r="Y98" i="3"/>
  <c r="AA98" i="3" s="1"/>
  <c r="AE97" i="3"/>
  <c r="AA97" i="3"/>
  <c r="Y97" i="3"/>
  <c r="AE96" i="3"/>
  <c r="Y96" i="3"/>
  <c r="AA96" i="3" s="1"/>
  <c r="AE95" i="3"/>
  <c r="AA95" i="3"/>
  <c r="Y95" i="3"/>
  <c r="AE94" i="3"/>
  <c r="Y94" i="3"/>
  <c r="AA94" i="3" s="1"/>
  <c r="AE93" i="3"/>
  <c r="AA93" i="3"/>
  <c r="AC93" i="3" s="1"/>
  <c r="Y93" i="3"/>
  <c r="AE92" i="3"/>
  <c r="AE91" i="3"/>
  <c r="AA91" i="3"/>
  <c r="Y91" i="3"/>
  <c r="AE90" i="3"/>
  <c r="Y90" i="3"/>
  <c r="AA90" i="3" s="1"/>
  <c r="AE89" i="3"/>
  <c r="AA89" i="3"/>
  <c r="Y89" i="3"/>
  <c r="AE88" i="3"/>
  <c r="Y88" i="3"/>
  <c r="AA88" i="3" s="1"/>
  <c r="AE87" i="3"/>
  <c r="AA87" i="3"/>
  <c r="Y87" i="3"/>
  <c r="AE86" i="3"/>
  <c r="Y86" i="3"/>
  <c r="AA86" i="3" s="1"/>
  <c r="AE85" i="3"/>
  <c r="AA85" i="3"/>
  <c r="AC85" i="3" s="1"/>
  <c r="Y85" i="3"/>
  <c r="AE84" i="3"/>
  <c r="Y84" i="3"/>
  <c r="AA84" i="3" s="1"/>
  <c r="AE83" i="3"/>
  <c r="AA83" i="3"/>
  <c r="Y83" i="3"/>
  <c r="AE82" i="3"/>
  <c r="Y82" i="3"/>
  <c r="AA82" i="3" s="1"/>
  <c r="AE81" i="3"/>
  <c r="AA81" i="3"/>
  <c r="Y81" i="3"/>
  <c r="AE80" i="3"/>
  <c r="Y80" i="3"/>
  <c r="AA80" i="3" s="1"/>
  <c r="AE79" i="3"/>
  <c r="AA79" i="3"/>
  <c r="Y79" i="3"/>
  <c r="AE78" i="3"/>
  <c r="Y78" i="3"/>
  <c r="AA78" i="3" s="1"/>
  <c r="AE77" i="3"/>
  <c r="AA77" i="3"/>
  <c r="AC77" i="3" s="1"/>
  <c r="Y77" i="3"/>
  <c r="AE76" i="3"/>
  <c r="Y76" i="3"/>
  <c r="AA76" i="3" s="1"/>
  <c r="AE75" i="3"/>
  <c r="AA75" i="3"/>
  <c r="Y75" i="3"/>
  <c r="AE74" i="3"/>
  <c r="Y74" i="3"/>
  <c r="AA74" i="3" s="1"/>
  <c r="AE73" i="3"/>
  <c r="AA73" i="3"/>
  <c r="Y73" i="3"/>
  <c r="AE72" i="3"/>
  <c r="Y72" i="3"/>
  <c r="AA72" i="3" s="1"/>
  <c r="AE71" i="3"/>
  <c r="AA71" i="3"/>
  <c r="Y71" i="3"/>
  <c r="AE70" i="3"/>
  <c r="Y70" i="3"/>
  <c r="AA70" i="3" s="1"/>
  <c r="AE69" i="3"/>
  <c r="AA69" i="3"/>
  <c r="AC69" i="3" s="1"/>
  <c r="Y69" i="3"/>
  <c r="AE68" i="3"/>
  <c r="Y68" i="3"/>
  <c r="AA68" i="3" s="1"/>
  <c r="AE67" i="3"/>
  <c r="AA67" i="3"/>
  <c r="Y67" i="3"/>
  <c r="AE66" i="3"/>
  <c r="Y66" i="3"/>
  <c r="AA66" i="3" s="1"/>
  <c r="AE65" i="3"/>
  <c r="AA65" i="3"/>
  <c r="Y65" i="3"/>
  <c r="AE64" i="3"/>
  <c r="Y64" i="3"/>
  <c r="AA64" i="3" s="1"/>
  <c r="AE63" i="3"/>
  <c r="AA63" i="3"/>
  <c r="Y63" i="3"/>
  <c r="AE62" i="3"/>
  <c r="Y62" i="3"/>
  <c r="AA62" i="3" s="1"/>
  <c r="U93" i="3"/>
  <c r="U94" i="3"/>
  <c r="AC65" i="3" l="1"/>
  <c r="AG65" i="3" s="1"/>
  <c r="AC73" i="3"/>
  <c r="AG73" i="3" s="1"/>
  <c r="AC81" i="3"/>
  <c r="AG81" i="3" s="1"/>
  <c r="AC89" i="3"/>
  <c r="AG89" i="3" s="1"/>
  <c r="AC101" i="3"/>
  <c r="AC97" i="3"/>
  <c r="AG97" i="3" s="1"/>
  <c r="AC64" i="3"/>
  <c r="AG64" i="3" s="1"/>
  <c r="AC72" i="3"/>
  <c r="AG72" i="3" s="1"/>
  <c r="AC80" i="3"/>
  <c r="AG80" i="3" s="1"/>
  <c r="AC88" i="3"/>
  <c r="AG88" i="3" s="1"/>
  <c r="AC96" i="3"/>
  <c r="AG96" i="3" s="1"/>
  <c r="AC66" i="3"/>
  <c r="AG66" i="3" s="1"/>
  <c r="AC74" i="3"/>
  <c r="AG74" i="3" s="1"/>
  <c r="AC82" i="3"/>
  <c r="AG82" i="3" s="1"/>
  <c r="AC90" i="3"/>
  <c r="AG90" i="3" s="1"/>
  <c r="AC98" i="3"/>
  <c r="AG98" i="3" s="1"/>
  <c r="AC68" i="3"/>
  <c r="AG68" i="3" s="1"/>
  <c r="AC76" i="3"/>
  <c r="AG76" i="3" s="1"/>
  <c r="AC84" i="3"/>
  <c r="AG84" i="3" s="1"/>
  <c r="AC100" i="3"/>
  <c r="AG100" i="3" s="1"/>
  <c r="AC62" i="3"/>
  <c r="AG62" i="3" s="1"/>
  <c r="AC70" i="3"/>
  <c r="AG70" i="3" s="1"/>
  <c r="AC78" i="3"/>
  <c r="AG78" i="3" s="1"/>
  <c r="AC86" i="3"/>
  <c r="AG86" i="3" s="1"/>
  <c r="AC94" i="3"/>
  <c r="AG94" i="3" s="1"/>
  <c r="AC102" i="3"/>
  <c r="AG102" i="3" s="1"/>
  <c r="AC63" i="3"/>
  <c r="AG63" i="3" s="1"/>
  <c r="AC67" i="3"/>
  <c r="AG67" i="3" s="1"/>
  <c r="AG69" i="3"/>
  <c r="AC71" i="3"/>
  <c r="AG71" i="3" s="1"/>
  <c r="AC75" i="3"/>
  <c r="AG75" i="3" s="1"/>
  <c r="AG77" i="3"/>
  <c r="AC79" i="3"/>
  <c r="AG79" i="3" s="1"/>
  <c r="AC83" i="3"/>
  <c r="AG83" i="3" s="1"/>
  <c r="AG85" i="3"/>
  <c r="AC87" i="3"/>
  <c r="AG87" i="3" s="1"/>
  <c r="AC91" i="3"/>
  <c r="AG91" i="3" s="1"/>
  <c r="AG93" i="3"/>
  <c r="AC95" i="3"/>
  <c r="AG95" i="3" s="1"/>
  <c r="AC99" i="3"/>
  <c r="AG99" i="3" s="1"/>
  <c r="AG101" i="3"/>
  <c r="AC103" i="3"/>
  <c r="AG103" i="3" s="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91" i="1"/>
  <c r="C92" i="1"/>
  <c r="C93" i="1"/>
  <c r="C94" i="1"/>
  <c r="C95" i="1"/>
  <c r="C96" i="1"/>
  <c r="C97" i="1"/>
  <c r="C98" i="1"/>
  <c r="C99" i="1"/>
  <c r="C100" i="1"/>
  <c r="C101" i="1"/>
  <c r="C102" i="1"/>
  <c r="C103" i="1"/>
  <c r="C104" i="1"/>
  <c r="C105" i="1"/>
  <c r="C106" i="1"/>
  <c r="C107" i="1"/>
  <c r="C108" i="1"/>
  <c r="C109" i="1"/>
  <c r="U79" i="7"/>
  <c r="T70" i="7"/>
  <c r="S41" i="3"/>
  <c r="H2" i="7" l="1"/>
  <c r="D151" i="7"/>
  <c r="G82" i="7" l="1"/>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54" i="7"/>
  <c r="G57" i="7"/>
  <c r="G58" i="7"/>
  <c r="G59" i="7"/>
  <c r="G60" i="7"/>
  <c r="G61" i="7"/>
  <c r="G62" i="7"/>
  <c r="G63" i="7"/>
  <c r="G64" i="7"/>
  <c r="S62" i="3" l="1"/>
  <c r="C90" i="1"/>
  <c r="U92" i="3"/>
  <c r="U91" i="3"/>
  <c r="C88" i="1" s="1"/>
  <c r="U90" i="3"/>
  <c r="C87" i="1" s="1"/>
  <c r="U89" i="3"/>
  <c r="C86" i="1" s="1"/>
  <c r="U88" i="3"/>
  <c r="C85" i="1" s="1"/>
  <c r="U87" i="3"/>
  <c r="C84" i="1" s="1"/>
  <c r="U86" i="3"/>
  <c r="C83" i="1" s="1"/>
  <c r="U85" i="3"/>
  <c r="C82" i="1" s="1"/>
  <c r="U84" i="3"/>
  <c r="C81" i="1" s="1"/>
  <c r="U83" i="3"/>
  <c r="C80" i="1" s="1"/>
  <c r="U82" i="3"/>
  <c r="C79" i="1" s="1"/>
  <c r="U81" i="3"/>
  <c r="C78" i="1" s="1"/>
  <c r="U80" i="3"/>
  <c r="C77" i="1" s="1"/>
  <c r="U79" i="3"/>
  <c r="C76" i="1" s="1"/>
  <c r="U78" i="3"/>
  <c r="C75" i="1" s="1"/>
  <c r="U77" i="3"/>
  <c r="C74" i="1" s="1"/>
  <c r="U76" i="3"/>
  <c r="C73" i="1" s="1"/>
  <c r="U75" i="3"/>
  <c r="C72" i="1" s="1"/>
  <c r="U74" i="3"/>
  <c r="C71" i="1" s="1"/>
  <c r="U73" i="3"/>
  <c r="C70" i="1" s="1"/>
  <c r="U72" i="3"/>
  <c r="C69" i="1" s="1"/>
  <c r="U71" i="3"/>
  <c r="C68" i="1" s="1"/>
  <c r="U70" i="3"/>
  <c r="C67" i="1" s="1"/>
  <c r="U69" i="3"/>
  <c r="C66" i="1" s="1"/>
  <c r="U68" i="3"/>
  <c r="C65" i="1" s="1"/>
  <c r="U67" i="3"/>
  <c r="C64" i="1" s="1"/>
  <c r="U66" i="3"/>
  <c r="C63" i="1" s="1"/>
  <c r="U65" i="3"/>
  <c r="C62" i="1" s="1"/>
  <c r="U64" i="3"/>
  <c r="C61" i="1" s="1"/>
  <c r="U63" i="3"/>
  <c r="U62" i="3"/>
  <c r="U61" i="3"/>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C89" i="1" l="1"/>
  <c r="Y92" i="3"/>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C110" i="1"/>
  <c r="C111" i="1"/>
  <c r="C112" i="1"/>
  <c r="C113" i="1"/>
  <c r="G58" i="1"/>
  <c r="G59" i="1"/>
  <c r="G60" i="1"/>
  <c r="G61" i="1"/>
  <c r="G62" i="1"/>
  <c r="G63" i="1"/>
  <c r="G64" i="1"/>
  <c r="G65" i="1"/>
  <c r="G66" i="1"/>
  <c r="G67" i="1"/>
  <c r="G68" i="1"/>
  <c r="G69" i="1"/>
  <c r="G70" i="1"/>
  <c r="G71" i="1"/>
  <c r="G72" i="1"/>
  <c r="G73" i="1"/>
  <c r="G74" i="1"/>
  <c r="G75" i="1"/>
  <c r="W105" i="3"/>
  <c r="AA92" i="3" l="1"/>
  <c r="Y105" i="3"/>
  <c r="T58" i="7"/>
  <c r="T57" i="7"/>
  <c r="T55" i="7"/>
  <c r="AA105" i="3" l="1"/>
  <c r="AC92" i="3"/>
  <c r="AG92" i="3" s="1"/>
  <c r="C62" i="3"/>
  <c r="AE61" i="3"/>
  <c r="W61" i="3"/>
  <c r="Y61" i="3"/>
  <c r="AA61" i="3" s="1"/>
  <c r="C61" i="3"/>
  <c r="AC61" i="3" l="1"/>
  <c r="AG61" i="3" s="1"/>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6" i="7"/>
  <c r="H64" i="7"/>
  <c r="H63" i="7"/>
  <c r="H62" i="7"/>
  <c r="H61" i="7"/>
  <c r="H60" i="7"/>
  <c r="H59" i="7"/>
  <c r="H58" i="7"/>
  <c r="H57" i="7"/>
  <c r="H54" i="7"/>
  <c r="H69" i="7"/>
  <c r="H68" i="7"/>
  <c r="H67" i="7"/>
  <c r="H65" i="7"/>
  <c r="H56" i="7"/>
  <c r="H55" i="7"/>
  <c r="H53" i="7"/>
  <c r="H52" i="7"/>
  <c r="H51" i="7"/>
  <c r="H47" i="7"/>
  <c r="H49" i="7"/>
  <c r="H48" i="7"/>
  <c r="H45" i="7"/>
  <c r="H44" i="7"/>
  <c r="H43" i="7"/>
  <c r="H42" i="7"/>
  <c r="H41" i="7"/>
  <c r="H40" i="7"/>
  <c r="H50" i="7"/>
  <c r="H46" i="7"/>
  <c r="H39" i="7"/>
  <c r="H38" i="7"/>
  <c r="H37" i="7"/>
  <c r="H35" i="7"/>
  <c r="H31" i="7"/>
  <c r="H26" i="7"/>
  <c r="H36" i="7"/>
  <c r="H34" i="7"/>
  <c r="H32" i="7"/>
  <c r="H23" i="7"/>
  <c r="H33" i="7"/>
  <c r="H30" i="7"/>
  <c r="H28" i="7"/>
  <c r="H27" i="7"/>
  <c r="H29" i="7"/>
  <c r="H25" i="7"/>
  <c r="H24" i="7"/>
  <c r="H22" i="7"/>
  <c r="H21" i="7"/>
  <c r="H20" i="7"/>
  <c r="H19" i="7"/>
  <c r="H18" i="7"/>
  <c r="H17" i="7"/>
  <c r="H16" i="7"/>
  <c r="H14" i="7"/>
  <c r="H12" i="7"/>
  <c r="H15" i="7"/>
  <c r="H13" i="7"/>
  <c r="H11" i="7"/>
  <c r="H10" i="7"/>
  <c r="H9" i="7"/>
  <c r="H8" i="7"/>
  <c r="H7" i="7"/>
  <c r="H4" i="7"/>
  <c r="H6" i="7"/>
  <c r="H5" i="7"/>
  <c r="H3"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G84" i="7" s="1"/>
  <c r="E83" i="7"/>
  <c r="G83" i="7" s="1"/>
  <c r="E82" i="7"/>
  <c r="E81" i="7"/>
  <c r="G81" i="7" s="1"/>
  <c r="E80" i="7"/>
  <c r="G80" i="7" s="1"/>
  <c r="E79" i="7"/>
  <c r="G79" i="7" s="1"/>
  <c r="E78" i="7"/>
  <c r="G78" i="7" s="1"/>
  <c r="E77" i="7"/>
  <c r="G77" i="7" s="1"/>
  <c r="E76" i="7"/>
  <c r="G76" i="7" s="1"/>
  <c r="E75" i="7"/>
  <c r="G75" i="7" s="1"/>
  <c r="E74" i="7"/>
  <c r="G74" i="7" s="1"/>
  <c r="E73" i="7"/>
  <c r="G73" i="7" s="1"/>
  <c r="E72" i="7"/>
  <c r="G72" i="7" s="1"/>
  <c r="E71" i="7"/>
  <c r="G71" i="7" s="1"/>
  <c r="E70" i="7"/>
  <c r="G70" i="7" s="1"/>
  <c r="E66" i="7"/>
  <c r="G66" i="7" s="1"/>
  <c r="E64" i="7"/>
  <c r="E63" i="7"/>
  <c r="E62" i="7"/>
  <c r="E61" i="7"/>
  <c r="E60" i="7"/>
  <c r="E59" i="7"/>
  <c r="E58" i="7"/>
  <c r="E57" i="7"/>
  <c r="E54" i="7"/>
  <c r="E69" i="7"/>
  <c r="E68" i="7"/>
  <c r="E67" i="7"/>
  <c r="E65" i="7"/>
  <c r="E56" i="7"/>
  <c r="E55" i="7"/>
  <c r="E53" i="7"/>
  <c r="E52" i="7"/>
  <c r="E51" i="7"/>
  <c r="E47" i="7"/>
  <c r="E49" i="7"/>
  <c r="E48" i="7"/>
  <c r="E45" i="7"/>
  <c r="E44" i="7"/>
  <c r="E43" i="7"/>
  <c r="E42" i="7"/>
  <c r="E41" i="7"/>
  <c r="E40" i="7"/>
  <c r="E50" i="7"/>
  <c r="E46" i="7"/>
  <c r="E39" i="7"/>
  <c r="E38" i="7"/>
  <c r="E37" i="7"/>
  <c r="E35" i="7"/>
  <c r="E31" i="7"/>
  <c r="E26" i="7"/>
  <c r="E36" i="7"/>
  <c r="E34" i="7"/>
  <c r="E32" i="7"/>
  <c r="E23" i="7"/>
  <c r="E33" i="7"/>
  <c r="E30" i="7"/>
  <c r="E28" i="7"/>
  <c r="E27" i="7"/>
  <c r="E29" i="7"/>
  <c r="E25" i="7"/>
  <c r="E24" i="7"/>
  <c r="E22" i="7"/>
  <c r="E21" i="7"/>
  <c r="E20" i="7"/>
  <c r="E19" i="7"/>
  <c r="E18" i="7"/>
  <c r="E17" i="7"/>
  <c r="E16" i="7"/>
  <c r="E14" i="7"/>
  <c r="E12" i="7"/>
  <c r="E15" i="7"/>
  <c r="E13" i="7"/>
  <c r="E11" i="7"/>
  <c r="E10" i="7"/>
  <c r="E9" i="7"/>
  <c r="E8" i="7"/>
  <c r="E7" i="7"/>
  <c r="E4" i="7"/>
  <c r="E6" i="7"/>
  <c r="E5" i="7"/>
  <c r="E3" i="7"/>
  <c r="H151" i="7" l="1"/>
  <c r="E56" i="1"/>
  <c r="E57" i="1"/>
  <c r="E58" i="1"/>
  <c r="E59" i="1"/>
  <c r="E60" i="1"/>
  <c r="E61" i="1"/>
  <c r="E62" i="1"/>
  <c r="E63" i="1"/>
  <c r="E64" i="1"/>
  <c r="E65" i="1"/>
  <c r="E66" i="1"/>
  <c r="E67" i="1"/>
  <c r="E68" i="1"/>
  <c r="E69" i="1"/>
  <c r="E70" i="1"/>
  <c r="E71" i="1"/>
  <c r="E72" i="1"/>
  <c r="E73" i="1"/>
  <c r="E74" i="1"/>
  <c r="E75" i="1"/>
  <c r="E76" i="1"/>
  <c r="E112" i="1"/>
  <c r="E113" i="1"/>
  <c r="I34" i="3" l="1"/>
  <c r="N51" i="7"/>
  <c r="N52" i="7"/>
  <c r="N2" i="7"/>
  <c r="G3" i="7"/>
  <c r="I3" i="7" s="1"/>
  <c r="N3" i="7" s="1"/>
  <c r="G5" i="7"/>
  <c r="I5" i="7" s="1"/>
  <c r="N5" i="7" s="1"/>
  <c r="G6" i="7"/>
  <c r="I6" i="7" s="1"/>
  <c r="N6" i="7" s="1"/>
  <c r="G4" i="7"/>
  <c r="I4" i="7" s="1"/>
  <c r="N4" i="7" s="1"/>
  <c r="G7" i="7"/>
  <c r="I7" i="7" s="1"/>
  <c r="N7" i="7" s="1"/>
  <c r="G8" i="7"/>
  <c r="I8" i="7" s="1"/>
  <c r="N8" i="7" s="1"/>
  <c r="G9" i="7"/>
  <c r="I9" i="7" s="1"/>
  <c r="N9" i="7" s="1"/>
  <c r="G10" i="7"/>
  <c r="I10" i="7" s="1"/>
  <c r="N10" i="7" s="1"/>
  <c r="G11" i="7"/>
  <c r="I11" i="7" s="1"/>
  <c r="N11" i="7" s="1"/>
  <c r="G13" i="7"/>
  <c r="I13" i="7" s="1"/>
  <c r="N13" i="7" s="1"/>
  <c r="G15" i="7"/>
  <c r="I15" i="7" s="1"/>
  <c r="N15" i="7" s="1"/>
  <c r="G12" i="7"/>
  <c r="I12" i="7" s="1"/>
  <c r="N12" i="7" s="1"/>
  <c r="G14" i="7"/>
  <c r="I14" i="7" s="1"/>
  <c r="N14" i="7" s="1"/>
  <c r="G16" i="7"/>
  <c r="I16" i="7" s="1"/>
  <c r="N16" i="7" s="1"/>
  <c r="G17" i="7"/>
  <c r="I17" i="7" s="1"/>
  <c r="N17" i="7" s="1"/>
  <c r="G18" i="7"/>
  <c r="I18" i="7" s="1"/>
  <c r="N18" i="7" s="1"/>
  <c r="G19" i="7"/>
  <c r="I19" i="7" s="1"/>
  <c r="N19" i="7" s="1"/>
  <c r="G20" i="7"/>
  <c r="I20" i="7" s="1"/>
  <c r="N20" i="7" s="1"/>
  <c r="G21" i="7"/>
  <c r="I21" i="7" s="1"/>
  <c r="N21" i="7" s="1"/>
  <c r="G22" i="7"/>
  <c r="I22" i="7" s="1"/>
  <c r="N22" i="7" s="1"/>
  <c r="G24" i="7"/>
  <c r="I24" i="7" s="1"/>
  <c r="N24" i="7" s="1"/>
  <c r="G25" i="7"/>
  <c r="I25" i="7" s="1"/>
  <c r="N25" i="7" s="1"/>
  <c r="G29" i="7"/>
  <c r="I29" i="7" s="1"/>
  <c r="N29" i="7" s="1"/>
  <c r="G27" i="7"/>
  <c r="I27" i="7" s="1"/>
  <c r="N27" i="7" s="1"/>
  <c r="G28" i="7"/>
  <c r="I28" i="7" s="1"/>
  <c r="N28" i="7" s="1"/>
  <c r="G30" i="7"/>
  <c r="I30" i="7" s="1"/>
  <c r="N30" i="7" s="1"/>
  <c r="G33" i="7"/>
  <c r="I33" i="7" s="1"/>
  <c r="N33" i="7" s="1"/>
  <c r="G23" i="7"/>
  <c r="I23" i="7" s="1"/>
  <c r="N23" i="7" s="1"/>
  <c r="G32" i="7"/>
  <c r="I32" i="7" s="1"/>
  <c r="N32" i="7" s="1"/>
  <c r="G34" i="7"/>
  <c r="I34" i="7" s="1"/>
  <c r="N34" i="7" s="1"/>
  <c r="G36" i="7"/>
  <c r="I36" i="7" s="1"/>
  <c r="N36" i="7" s="1"/>
  <c r="G26" i="7"/>
  <c r="I26" i="7" s="1"/>
  <c r="N26" i="7" s="1"/>
  <c r="G31" i="7"/>
  <c r="I31" i="7" s="1"/>
  <c r="N31" i="7" s="1"/>
  <c r="G35" i="7"/>
  <c r="I35" i="7" s="1"/>
  <c r="N35" i="7" s="1"/>
  <c r="G37" i="7"/>
  <c r="I37" i="7" s="1"/>
  <c r="N37" i="7" s="1"/>
  <c r="G38" i="7"/>
  <c r="I38" i="7" s="1"/>
  <c r="N38" i="7" s="1"/>
  <c r="G39" i="7"/>
  <c r="I39" i="7" s="1"/>
  <c r="N39" i="7" s="1"/>
  <c r="G46" i="7"/>
  <c r="I46" i="7" s="1"/>
  <c r="N46" i="7" s="1"/>
  <c r="G50" i="7"/>
  <c r="I50" i="7" s="1"/>
  <c r="N50" i="7" s="1"/>
  <c r="G40" i="7"/>
  <c r="I40" i="7" s="1"/>
  <c r="N40" i="7" s="1"/>
  <c r="G41" i="7"/>
  <c r="I41" i="7" s="1"/>
  <c r="N41" i="7" s="1"/>
  <c r="G42" i="7"/>
  <c r="I42" i="7" s="1"/>
  <c r="N42" i="7" s="1"/>
  <c r="G43" i="7"/>
  <c r="I43" i="7" s="1"/>
  <c r="N43" i="7" s="1"/>
  <c r="G44" i="7"/>
  <c r="I44" i="7" s="1"/>
  <c r="N44" i="7" s="1"/>
  <c r="G45" i="7"/>
  <c r="I45" i="7" s="1"/>
  <c r="N45" i="7" s="1"/>
  <c r="G48" i="7"/>
  <c r="I48" i="7" s="1"/>
  <c r="N48" i="7" s="1"/>
  <c r="G49" i="7"/>
  <c r="I49" i="7" s="1"/>
  <c r="N49" i="7" s="1"/>
  <c r="G47" i="7"/>
  <c r="N47" i="7" s="1"/>
  <c r="G51" i="7"/>
  <c r="G52" i="7"/>
  <c r="G53" i="7"/>
  <c r="N53" i="7" s="1"/>
  <c r="I54" i="7"/>
  <c r="N54" i="7" s="1"/>
  <c r="G55" i="7"/>
  <c r="N55" i="7" s="1"/>
  <c r="G56" i="7"/>
  <c r="N56" i="7" s="1"/>
  <c r="I57" i="7"/>
  <c r="N57" i="7" s="1"/>
  <c r="I58" i="7"/>
  <c r="N58" i="7" s="1"/>
  <c r="I59" i="7"/>
  <c r="N59" i="7" s="1"/>
  <c r="I60" i="7"/>
  <c r="N60" i="7" s="1"/>
  <c r="I61" i="7"/>
  <c r="N61" i="7" s="1"/>
  <c r="I62" i="7"/>
  <c r="N62" i="7" s="1"/>
  <c r="I63" i="7"/>
  <c r="N63" i="7" s="1"/>
  <c r="I64" i="7"/>
  <c r="N64" i="7" s="1"/>
  <c r="G65" i="7"/>
  <c r="N65" i="7" s="1"/>
  <c r="N66" i="7"/>
  <c r="G67" i="7"/>
  <c r="N67" i="7" s="1"/>
  <c r="G68" i="7"/>
  <c r="N68" i="7" s="1"/>
  <c r="G69" i="7"/>
  <c r="N69" i="7" s="1"/>
  <c r="N70" i="7"/>
  <c r="N71" i="7"/>
  <c r="N72" i="7"/>
  <c r="N73" i="7"/>
  <c r="N74" i="7"/>
  <c r="N75" i="7"/>
  <c r="N76" i="7"/>
  <c r="N77" i="7"/>
  <c r="N78" i="7"/>
  <c r="N79" i="7"/>
  <c r="N80" i="7"/>
  <c r="N81" i="7"/>
  <c r="I82" i="7"/>
  <c r="N82" i="7" s="1"/>
  <c r="N83" i="7"/>
  <c r="N84" i="7"/>
  <c r="I85" i="7"/>
  <c r="N85" i="7" s="1"/>
  <c r="I86" i="7"/>
  <c r="N86" i="7" s="1"/>
  <c r="I87" i="7"/>
  <c r="N87" i="7" s="1"/>
  <c r="I88" i="7"/>
  <c r="N88" i="7" s="1"/>
  <c r="I89" i="7"/>
  <c r="N89" i="7" s="1"/>
  <c r="I90" i="7"/>
  <c r="N90" i="7" s="1"/>
  <c r="I91" i="7"/>
  <c r="N91" i="7" s="1"/>
  <c r="I92" i="7"/>
  <c r="N92" i="7" s="1"/>
  <c r="I93" i="7"/>
  <c r="N93" i="7" s="1"/>
  <c r="I94" i="7"/>
  <c r="N94" i="7" s="1"/>
  <c r="I95" i="7"/>
  <c r="N95" i="7" s="1"/>
  <c r="I96" i="7"/>
  <c r="N96" i="7" s="1"/>
  <c r="I97" i="7"/>
  <c r="N97" i="7" s="1"/>
  <c r="I98" i="7"/>
  <c r="N98" i="7" s="1"/>
  <c r="I99" i="7"/>
  <c r="N99" i="7" s="1"/>
  <c r="I100" i="7"/>
  <c r="N100" i="7" s="1"/>
  <c r="I101" i="7"/>
  <c r="N101" i="7" s="1"/>
  <c r="I102" i="7"/>
  <c r="N102" i="7" s="1"/>
  <c r="I103" i="7"/>
  <c r="N103" i="7" s="1"/>
  <c r="I104" i="7"/>
  <c r="N104" i="7" s="1"/>
  <c r="I105" i="7"/>
  <c r="N105" i="7" s="1"/>
  <c r="I106" i="7"/>
  <c r="N106" i="7" s="1"/>
  <c r="I107" i="7"/>
  <c r="N107" i="7" s="1"/>
  <c r="I108" i="7"/>
  <c r="N108" i="7" s="1"/>
  <c r="I109" i="7"/>
  <c r="N109" i="7" s="1"/>
  <c r="I110" i="7"/>
  <c r="N110" i="7" s="1"/>
  <c r="I111" i="7"/>
  <c r="N111" i="7" s="1"/>
  <c r="I112" i="7"/>
  <c r="N112" i="7" s="1"/>
  <c r="I113" i="7"/>
  <c r="N113" i="7" s="1"/>
  <c r="I114" i="7"/>
  <c r="N114" i="7" s="1"/>
  <c r="I115" i="7"/>
  <c r="N115" i="7" s="1"/>
  <c r="I116" i="7"/>
  <c r="N116" i="7" s="1"/>
  <c r="I117" i="7"/>
  <c r="N117" i="7" s="1"/>
  <c r="I118" i="7"/>
  <c r="N118" i="7" s="1"/>
  <c r="I119" i="7"/>
  <c r="N119" i="7" s="1"/>
  <c r="I120" i="7"/>
  <c r="N120" i="7" s="1"/>
  <c r="I121" i="7"/>
  <c r="N121" i="7" s="1"/>
  <c r="I122" i="7"/>
  <c r="N122" i="7" s="1"/>
  <c r="I123" i="7"/>
  <c r="N123" i="7" s="1"/>
  <c r="I124" i="7"/>
  <c r="N124" i="7" s="1"/>
  <c r="I125" i="7"/>
  <c r="N125" i="7" s="1"/>
  <c r="I126" i="7"/>
  <c r="N126" i="7" s="1"/>
  <c r="I127" i="7"/>
  <c r="N127" i="7" s="1"/>
  <c r="I128" i="7"/>
  <c r="N128" i="7" s="1"/>
  <c r="I129" i="7"/>
  <c r="N129" i="7" s="1"/>
  <c r="I130" i="7"/>
  <c r="N130" i="7" s="1"/>
  <c r="I131" i="7"/>
  <c r="N131" i="7" s="1"/>
  <c r="I132" i="7"/>
  <c r="N132" i="7" s="1"/>
  <c r="I133" i="7"/>
  <c r="N133" i="7" s="1"/>
  <c r="I134" i="7"/>
  <c r="N134" i="7" s="1"/>
  <c r="I135" i="7"/>
  <c r="N135" i="7" s="1"/>
  <c r="I136" i="7"/>
  <c r="N136" i="7" s="1"/>
  <c r="I137" i="7"/>
  <c r="N137" i="7" s="1"/>
  <c r="I138" i="7"/>
  <c r="N138" i="7" s="1"/>
  <c r="I139" i="7"/>
  <c r="N139" i="7" s="1"/>
  <c r="I140" i="7"/>
  <c r="N140" i="7" s="1"/>
  <c r="I141" i="7"/>
  <c r="N141" i="7" s="1"/>
  <c r="I142" i="7"/>
  <c r="N142" i="7" s="1"/>
  <c r="I143" i="7"/>
  <c r="N143" i="7" s="1"/>
  <c r="I144" i="7"/>
  <c r="N144" i="7" s="1"/>
  <c r="I145" i="7"/>
  <c r="N145" i="7" s="1"/>
  <c r="I146" i="7"/>
  <c r="N146" i="7" s="1"/>
  <c r="I147" i="7"/>
  <c r="N147" i="7" s="1"/>
  <c r="I148" i="7"/>
  <c r="N148" i="7" s="1"/>
  <c r="I149" i="7"/>
  <c r="N149" i="7" s="1"/>
  <c r="I150" i="7"/>
  <c r="N150" i="7" s="1"/>
  <c r="M2" i="7"/>
  <c r="M3" i="7"/>
  <c r="M5" i="7"/>
  <c r="M6" i="7"/>
  <c r="M4" i="7"/>
  <c r="M7" i="7"/>
  <c r="M8" i="7"/>
  <c r="M9" i="7"/>
  <c r="M10" i="7"/>
  <c r="M11" i="7"/>
  <c r="M13" i="7"/>
  <c r="M15" i="7"/>
  <c r="M12" i="7"/>
  <c r="M14" i="7"/>
  <c r="M16" i="7"/>
  <c r="M17" i="7"/>
  <c r="M18" i="7"/>
  <c r="M19" i="7"/>
  <c r="M20" i="7"/>
  <c r="M21" i="7"/>
  <c r="M22" i="7"/>
  <c r="M24" i="7"/>
  <c r="M25" i="7"/>
  <c r="M29" i="7"/>
  <c r="M27" i="7"/>
  <c r="M28" i="7"/>
  <c r="M30" i="7"/>
  <c r="M33" i="7"/>
  <c r="M23" i="7"/>
  <c r="M32" i="7"/>
  <c r="M34" i="7"/>
  <c r="M36" i="7"/>
  <c r="M26" i="7"/>
  <c r="M31" i="7"/>
  <c r="M35" i="7"/>
  <c r="M37" i="7"/>
  <c r="M38" i="7"/>
  <c r="M39" i="7"/>
  <c r="M46" i="7"/>
  <c r="M50" i="7"/>
  <c r="M40" i="7"/>
  <c r="M41" i="7"/>
  <c r="M42" i="7"/>
  <c r="M43" i="7"/>
  <c r="M44" i="7"/>
  <c r="M45" i="7"/>
  <c r="M48" i="7"/>
  <c r="M49" i="7"/>
  <c r="M47"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Y3" i="5"/>
  <c r="I151" i="7" l="1"/>
  <c r="M151" i="7"/>
  <c r="I38" i="3"/>
  <c r="AE12" i="3" l="1"/>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11" i="3"/>
  <c r="AE105" i="3" l="1"/>
  <c r="I58" i="3"/>
  <c r="I59" i="3"/>
  <c r="I37" i="3"/>
  <c r="F63" i="5" l="1"/>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L151" i="7"/>
  <c r="K151" i="7"/>
  <c r="R19" i="7"/>
  <c r="R20" i="7" s="1"/>
  <c r="R21" i="7" s="1"/>
  <c r="R22" i="7" s="1"/>
  <c r="R23" i="7" s="1"/>
  <c r="R24" i="7" s="1"/>
  <c r="R25" i="7" s="1"/>
  <c r="R26" i="7" s="1"/>
  <c r="R27" i="7" s="1"/>
  <c r="R28" i="7" s="1"/>
  <c r="R29" i="7" s="1"/>
  <c r="R30" i="7" s="1"/>
  <c r="R31" i="7" s="1"/>
  <c r="R32" i="7" s="1"/>
  <c r="R33" i="7" s="1"/>
  <c r="R34" i="7" s="1"/>
  <c r="R35" i="7" s="1"/>
  <c r="R36" i="7" s="1"/>
  <c r="R37" i="7" s="1"/>
  <c r="R38" i="7" s="1"/>
  <c r="R39" i="7" s="1"/>
  <c r="R40" i="7" s="1"/>
  <c r="R41" i="7" s="1"/>
  <c r="R42" i="7" s="1"/>
  <c r="R43" i="7" s="1"/>
  <c r="R44" i="7" s="1"/>
  <c r="R45" i="7" s="1"/>
  <c r="R46" i="7" s="1"/>
  <c r="R47" i="7" s="1"/>
  <c r="R48" i="7" s="1"/>
  <c r="R49" i="7" s="1"/>
  <c r="R50" i="7" s="1"/>
  <c r="R51" i="7" s="1"/>
  <c r="R52" i="7" s="1"/>
  <c r="R53" i="7" s="1"/>
  <c r="R54" i="7" s="1"/>
  <c r="R55" i="7" s="1"/>
  <c r="R56" i="7" s="1"/>
  <c r="R57" i="7" s="1"/>
  <c r="R58" i="7" s="1"/>
  <c r="R59" i="7" s="1"/>
  <c r="R60" i="7" s="1"/>
  <c r="R61" i="7" s="1"/>
  <c r="R62" i="7" s="1"/>
  <c r="R63" i="7" s="1"/>
  <c r="R64" i="7" s="1"/>
  <c r="R65" i="7" s="1"/>
  <c r="R66" i="7" s="1"/>
  <c r="R67" i="7" s="1"/>
  <c r="R68" i="7" s="1"/>
  <c r="R69" i="7" s="1"/>
  <c r="R70" i="7" s="1"/>
  <c r="R71" i="7" s="1"/>
  <c r="R72" i="7" s="1"/>
  <c r="R73" i="7" s="1"/>
  <c r="R74" i="7" s="1"/>
  <c r="R75" i="7" s="1"/>
  <c r="R76" i="7" s="1"/>
  <c r="R77" i="7" s="1"/>
  <c r="R78" i="7" s="1"/>
  <c r="R79" i="7" s="1"/>
  <c r="R80" i="7" s="1"/>
  <c r="R81" i="7" s="1"/>
  <c r="R82" i="7" s="1"/>
  <c r="R83" i="7" s="1"/>
  <c r="R84" i="7" s="1"/>
  <c r="R85" i="7" s="1"/>
  <c r="R86" i="7" s="1"/>
  <c r="R87" i="7" s="1"/>
  <c r="R88" i="7" s="1"/>
  <c r="R89" i="7" s="1"/>
  <c r="R90" i="7" s="1"/>
  <c r="R91" i="7" s="1"/>
  <c r="R92" i="7" s="1"/>
  <c r="R93" i="7" s="1"/>
  <c r="R94" i="7" s="1"/>
  <c r="R95" i="7" s="1"/>
  <c r="R96" i="7" s="1"/>
  <c r="R97" i="7" s="1"/>
  <c r="R98" i="7" s="1"/>
  <c r="R99" i="7" s="1"/>
  <c r="R100" i="7" s="1"/>
  <c r="R101" i="7" s="1"/>
  <c r="R102" i="7" s="1"/>
  <c r="R103" i="7" s="1"/>
  <c r="R104" i="7" s="1"/>
  <c r="R105" i="7" s="1"/>
  <c r="R106" i="7" s="1"/>
  <c r="R107" i="7" s="1"/>
  <c r="R108" i="7" s="1"/>
  <c r="R109" i="7" s="1"/>
  <c r="R110" i="7" s="1"/>
  <c r="R111" i="7" s="1"/>
  <c r="R112" i="7" s="1"/>
  <c r="R113" i="7" s="1"/>
  <c r="R114" i="7" s="1"/>
  <c r="R115" i="7" s="1"/>
  <c r="R116" i="7" s="1"/>
  <c r="R117" i="7" s="1"/>
  <c r="R118" i="7" s="1"/>
  <c r="R119" i="7" s="1"/>
  <c r="R120" i="7" s="1"/>
  <c r="R121" i="7" s="1"/>
  <c r="R122" i="7" s="1"/>
  <c r="R123" i="7" s="1"/>
  <c r="R124" i="7" s="1"/>
  <c r="R125" i="7" s="1"/>
  <c r="R126" i="7" s="1"/>
  <c r="R127" i="7" s="1"/>
  <c r="R128" i="7" s="1"/>
  <c r="R129" i="7" s="1"/>
  <c r="R130" i="7" s="1"/>
  <c r="R131" i="7" s="1"/>
  <c r="R132" i="7" s="1"/>
  <c r="R133" i="7" s="1"/>
  <c r="R134" i="7" s="1"/>
  <c r="F52" i="6"/>
  <c r="K29" i="6"/>
  <c r="AF62" i="8"/>
  <c r="AC62" i="8"/>
  <c r="F62" i="8"/>
  <c r="AC61" i="8"/>
  <c r="AA61" i="8" s="1"/>
  <c r="AE61" i="8" s="1"/>
  <c r="Y61" i="8"/>
  <c r="W61" i="8"/>
  <c r="U61" i="8"/>
  <c r="S61" i="8"/>
  <c r="U60" i="8"/>
  <c r="S60" i="8"/>
  <c r="AE59" i="8"/>
  <c r="AA59" i="8"/>
  <c r="Y59" i="8"/>
  <c r="U59" i="8"/>
  <c r="S59" i="8"/>
  <c r="AC58" i="8"/>
  <c r="AA58" i="8" s="1"/>
  <c r="AE58" i="8" s="1"/>
  <c r="Y58" i="8"/>
  <c r="W58" i="8"/>
  <c r="U58" i="8"/>
  <c r="S58" i="8"/>
  <c r="AC57" i="8"/>
  <c r="AA57" i="8" s="1"/>
  <c r="AE57" i="8" s="1"/>
  <c r="Y57" i="8"/>
  <c r="W57" i="8"/>
  <c r="U57" i="8"/>
  <c r="S57" i="8"/>
  <c r="AC56" i="8"/>
  <c r="AA56" i="8" s="1"/>
  <c r="AE56" i="8" s="1"/>
  <c r="Y56" i="8"/>
  <c r="W56" i="8"/>
  <c r="U56" i="8"/>
  <c r="S56" i="8"/>
  <c r="AC55" i="8"/>
  <c r="AA55" i="8" s="1"/>
  <c r="AE55" i="8" s="1"/>
  <c r="Y55" i="8"/>
  <c r="W55" i="8"/>
  <c r="U55" i="8"/>
  <c r="S55" i="8"/>
  <c r="AC54" i="8"/>
  <c r="AA54" i="8" s="1"/>
  <c r="AE54" i="8" s="1"/>
  <c r="Y54" i="8"/>
  <c r="W54" i="8"/>
  <c r="U54" i="8"/>
  <c r="S54" i="8"/>
  <c r="AC53" i="8"/>
  <c r="AA53" i="8" s="1"/>
  <c r="AE53" i="8" s="1"/>
  <c r="Y53" i="8"/>
  <c r="W53" i="8"/>
  <c r="U53" i="8"/>
  <c r="S53" i="8"/>
  <c r="AC52" i="8"/>
  <c r="AA52" i="8" s="1"/>
  <c r="AE52" i="8" s="1"/>
  <c r="Y52" i="8"/>
  <c r="W52" i="8"/>
  <c r="U52" i="8"/>
  <c r="S52" i="8"/>
  <c r="AC51" i="8"/>
  <c r="AA51" i="8" s="1"/>
  <c r="AE51" i="8" s="1"/>
  <c r="Y51" i="8"/>
  <c r="W51" i="8"/>
  <c r="U51" i="8"/>
  <c r="S51" i="8"/>
  <c r="AC50" i="8"/>
  <c r="AA50" i="8" s="1"/>
  <c r="AE50" i="8" s="1"/>
  <c r="Y50" i="8"/>
  <c r="W50" i="8"/>
  <c r="U50" i="8"/>
  <c r="S50" i="8"/>
  <c r="AC49" i="8"/>
  <c r="AA49" i="8" s="1"/>
  <c r="AE49" i="8" s="1"/>
  <c r="Y49" i="8"/>
  <c r="W49" i="8"/>
  <c r="U49" i="8"/>
  <c r="S49" i="8"/>
  <c r="AC48" i="8"/>
  <c r="AA48" i="8" s="1"/>
  <c r="AE48" i="8" s="1"/>
  <c r="Y48" i="8"/>
  <c r="W48" i="8"/>
  <c r="U48" i="8"/>
  <c r="S48" i="8"/>
  <c r="AC47" i="8"/>
  <c r="AA47" i="8" s="1"/>
  <c r="AE47" i="8" s="1"/>
  <c r="Y47" i="8"/>
  <c r="W47" i="8"/>
  <c r="U47" i="8"/>
  <c r="S47" i="8"/>
  <c r="AC46" i="8"/>
  <c r="AA46" i="8" s="1"/>
  <c r="AE46" i="8" s="1"/>
  <c r="Y46" i="8"/>
  <c r="W46" i="8"/>
  <c r="U46" i="8"/>
  <c r="S46" i="8"/>
  <c r="AC45" i="8"/>
  <c r="AA45" i="8" s="1"/>
  <c r="AE45" i="8" s="1"/>
  <c r="Y45" i="8"/>
  <c r="W45" i="8"/>
  <c r="U45" i="8"/>
  <c r="S45" i="8"/>
  <c r="AC44" i="8"/>
  <c r="AA44" i="8" s="1"/>
  <c r="AE44" i="8" s="1"/>
  <c r="Y44" i="8"/>
  <c r="W44" i="8"/>
  <c r="U44" i="8"/>
  <c r="S44" i="8"/>
  <c r="AC43" i="8"/>
  <c r="AA43" i="8" s="1"/>
  <c r="AE43" i="8" s="1"/>
  <c r="Y43" i="8"/>
  <c r="W43" i="8"/>
  <c r="U43" i="8"/>
  <c r="S43" i="8"/>
  <c r="AC42" i="8"/>
  <c r="AA42" i="8" s="1"/>
  <c r="AE42" i="8" s="1"/>
  <c r="Y42" i="8"/>
  <c r="W42" i="8"/>
  <c r="U42" i="8"/>
  <c r="S42" i="8"/>
  <c r="AC41" i="8"/>
  <c r="AA41" i="8" s="1"/>
  <c r="AE41" i="8" s="1"/>
  <c r="Y41" i="8"/>
  <c r="W41" i="8"/>
  <c r="U41" i="8"/>
  <c r="S41" i="8"/>
  <c r="AC40" i="8"/>
  <c r="AA40" i="8" s="1"/>
  <c r="AE40" i="8" s="1"/>
  <c r="Y40" i="8"/>
  <c r="W40" i="8"/>
  <c r="U40" i="8"/>
  <c r="S40" i="8"/>
  <c r="AC39" i="8"/>
  <c r="AA39" i="8" s="1"/>
  <c r="AE39" i="8" s="1"/>
  <c r="Y39" i="8"/>
  <c r="W39" i="8"/>
  <c r="U39" i="8"/>
  <c r="S39" i="8"/>
  <c r="AC38" i="8"/>
  <c r="AA38" i="8" s="1"/>
  <c r="AE38" i="8" s="1"/>
  <c r="Y38" i="8"/>
  <c r="W38" i="8"/>
  <c r="U38" i="8"/>
  <c r="S38" i="8"/>
  <c r="AC37" i="8"/>
  <c r="AA37" i="8" s="1"/>
  <c r="AE37" i="8" s="1"/>
  <c r="Y37" i="8"/>
  <c r="W37" i="8"/>
  <c r="U37" i="8"/>
  <c r="S37" i="8"/>
  <c r="AC36" i="8"/>
  <c r="AA36" i="8" s="1"/>
  <c r="AE36" i="8" s="1"/>
  <c r="Y36" i="8"/>
  <c r="W36" i="8"/>
  <c r="U36" i="8"/>
  <c r="S36" i="8"/>
  <c r="AC35" i="8"/>
  <c r="AA35" i="8" s="1"/>
  <c r="AE35" i="8" s="1"/>
  <c r="Y35" i="8"/>
  <c r="W35" i="8"/>
  <c r="U35" i="8"/>
  <c r="S35" i="8"/>
  <c r="AC34" i="8"/>
  <c r="AA34" i="8" s="1"/>
  <c r="AE34" i="8" s="1"/>
  <c r="Y34" i="8"/>
  <c r="W34" i="8"/>
  <c r="U34" i="8"/>
  <c r="S34" i="8"/>
  <c r="AC33" i="8"/>
  <c r="AA33" i="8" s="1"/>
  <c r="AE33" i="8" s="1"/>
  <c r="Y33" i="8"/>
  <c r="W33" i="8"/>
  <c r="U33" i="8"/>
  <c r="S33" i="8"/>
  <c r="AC32" i="8"/>
  <c r="AA32" i="8" s="1"/>
  <c r="AE32" i="8" s="1"/>
  <c r="Y32" i="8"/>
  <c r="W32" i="8"/>
  <c r="U32" i="8"/>
  <c r="S32" i="8"/>
  <c r="AC31" i="8"/>
  <c r="AA31" i="8" s="1"/>
  <c r="AE31" i="8" s="1"/>
  <c r="Y31" i="8"/>
  <c r="W31" i="8"/>
  <c r="U31" i="8"/>
  <c r="S31" i="8"/>
  <c r="AC30" i="8"/>
  <c r="AA30" i="8" s="1"/>
  <c r="AE30" i="8" s="1"/>
  <c r="Y30" i="8"/>
  <c r="W30" i="8"/>
  <c r="U30" i="8"/>
  <c r="S30" i="8"/>
  <c r="AC29" i="8"/>
  <c r="AA29" i="8" s="1"/>
  <c r="AE29" i="8" s="1"/>
  <c r="Y29" i="8"/>
  <c r="W29" i="8"/>
  <c r="U29" i="8"/>
  <c r="S29" i="8"/>
  <c r="AC28" i="8"/>
  <c r="AA28" i="8" s="1"/>
  <c r="AE28" i="8" s="1"/>
  <c r="Y28" i="8"/>
  <c r="W28" i="8"/>
  <c r="U28" i="8"/>
  <c r="S28" i="8"/>
  <c r="AC27" i="8"/>
  <c r="AA27" i="8" s="1"/>
  <c r="AE27" i="8" s="1"/>
  <c r="Y27" i="8"/>
  <c r="W27" i="8"/>
  <c r="U27" i="8"/>
  <c r="S27" i="8"/>
  <c r="AC26" i="8"/>
  <c r="AA26" i="8" s="1"/>
  <c r="AE26" i="8" s="1"/>
  <c r="Y26" i="8"/>
  <c r="W26" i="8"/>
  <c r="U26" i="8"/>
  <c r="S26" i="8"/>
  <c r="AC25" i="8"/>
  <c r="AA25" i="8" s="1"/>
  <c r="AE25" i="8" s="1"/>
  <c r="Y25" i="8"/>
  <c r="W25" i="8"/>
  <c r="U25" i="8"/>
  <c r="S25" i="8"/>
  <c r="AC24" i="8"/>
  <c r="AA24" i="8" s="1"/>
  <c r="AE24" i="8" s="1"/>
  <c r="Y24" i="8"/>
  <c r="W24" i="8"/>
  <c r="U24" i="8"/>
  <c r="S24" i="8"/>
  <c r="AC23" i="8"/>
  <c r="AA23" i="8" s="1"/>
  <c r="AE23" i="8" s="1"/>
  <c r="Y23" i="8"/>
  <c r="W23" i="8"/>
  <c r="U23" i="8"/>
  <c r="S23" i="8"/>
  <c r="AC22" i="8"/>
  <c r="AA22" i="8" s="1"/>
  <c r="AE22" i="8" s="1"/>
  <c r="Y22" i="8"/>
  <c r="W22" i="8"/>
  <c r="U22" i="8"/>
  <c r="S22" i="8"/>
  <c r="AC21" i="8"/>
  <c r="AA21" i="8" s="1"/>
  <c r="AE21" i="8" s="1"/>
  <c r="Y21" i="8"/>
  <c r="W21" i="8"/>
  <c r="U21" i="8"/>
  <c r="S21" i="8"/>
  <c r="AC20" i="8"/>
  <c r="AA20" i="8" s="1"/>
  <c r="AE20" i="8" s="1"/>
  <c r="Y20" i="8"/>
  <c r="W20" i="8"/>
  <c r="U20" i="8"/>
  <c r="S20" i="8"/>
  <c r="AC19" i="8"/>
  <c r="AA19" i="8" s="1"/>
  <c r="AE19" i="8" s="1"/>
  <c r="Y19" i="8"/>
  <c r="W19" i="8"/>
  <c r="U19" i="8"/>
  <c r="S19" i="8"/>
  <c r="AC18" i="8"/>
  <c r="AA18" i="8" s="1"/>
  <c r="AE18" i="8" s="1"/>
  <c r="Y18" i="8"/>
  <c r="W18" i="8"/>
  <c r="U18" i="8"/>
  <c r="S18" i="8"/>
  <c r="AC17" i="8"/>
  <c r="AA17" i="8" s="1"/>
  <c r="AE17" i="8" s="1"/>
  <c r="Y17" i="8"/>
  <c r="W17" i="8"/>
  <c r="U17" i="8"/>
  <c r="S17" i="8"/>
  <c r="AC16" i="8"/>
  <c r="AA16" i="8" s="1"/>
  <c r="Y16" i="8"/>
  <c r="W16" i="8"/>
  <c r="U16" i="8"/>
  <c r="S16" i="8"/>
  <c r="AC15" i="8"/>
  <c r="AA15" i="8" s="1"/>
  <c r="AE15" i="8" s="1"/>
  <c r="Y15" i="8"/>
  <c r="W15" i="8"/>
  <c r="U15" i="8"/>
  <c r="S15" i="8"/>
  <c r="AC14" i="8"/>
  <c r="AA14" i="8" s="1"/>
  <c r="AE14" i="8" s="1"/>
  <c r="Y14" i="8"/>
  <c r="W14" i="8"/>
  <c r="U14" i="8"/>
  <c r="S14" i="8"/>
  <c r="R14" i="8"/>
  <c r="AC13" i="8"/>
  <c r="AA13" i="8" s="1"/>
  <c r="AE13" i="8" s="1"/>
  <c r="Y13" i="8"/>
  <c r="W13" i="8"/>
  <c r="U13" i="8"/>
  <c r="S13" i="8"/>
  <c r="AC12" i="8"/>
  <c r="AA12" i="8" s="1"/>
  <c r="AE12" i="8" s="1"/>
  <c r="Y12" i="8"/>
  <c r="W12" i="8"/>
  <c r="U12" i="8"/>
  <c r="S12" i="8"/>
  <c r="AC11" i="8"/>
  <c r="AA11" i="8" s="1"/>
  <c r="AE11" i="8" s="1"/>
  <c r="Y11" i="8"/>
  <c r="W11" i="8"/>
  <c r="U11" i="8"/>
  <c r="S11" i="8"/>
  <c r="AH105" i="3"/>
  <c r="H105" i="3"/>
  <c r="W60" i="3"/>
  <c r="C60" i="3"/>
  <c r="AI59" i="3"/>
  <c r="W59" i="3"/>
  <c r="Y59" i="3"/>
  <c r="AA59" i="3" s="1"/>
  <c r="C59" i="3"/>
  <c r="AI58" i="3"/>
  <c r="W58" i="3"/>
  <c r="C58" i="3"/>
  <c r="AI57" i="3"/>
  <c r="W57" i="3"/>
  <c r="Y57" i="3"/>
  <c r="AA57" i="3" s="1"/>
  <c r="AC57" i="3" s="1"/>
  <c r="AG57" i="3" s="1"/>
  <c r="C57" i="3"/>
  <c r="AI56" i="3"/>
  <c r="W56" i="3"/>
  <c r="Y56" i="3"/>
  <c r="AA56" i="3" s="1"/>
  <c r="AC56" i="3" s="1"/>
  <c r="AG56" i="3" s="1"/>
  <c r="C56" i="3"/>
  <c r="AI55" i="3"/>
  <c r="W55" i="3"/>
  <c r="C55" i="3"/>
  <c r="AI54" i="3"/>
  <c r="W54" i="3"/>
  <c r="Y54" i="3"/>
  <c r="AA54" i="3" s="1"/>
  <c r="AC54" i="3" s="1"/>
  <c r="AG54" i="3" s="1"/>
  <c r="C54" i="3"/>
  <c r="AI53" i="3"/>
  <c r="W53" i="3"/>
  <c r="Y53" i="3"/>
  <c r="AA53" i="3" s="1"/>
  <c r="AC53" i="3" s="1"/>
  <c r="AG53" i="3" s="1"/>
  <c r="C53" i="3"/>
  <c r="AI52" i="3"/>
  <c r="W52" i="3"/>
  <c r="Y52" i="3" s="1"/>
  <c r="AA52" i="3" s="1"/>
  <c r="AC52" i="3" s="1"/>
  <c r="AG52" i="3" s="1"/>
  <c r="C52" i="3"/>
  <c r="AI51" i="3"/>
  <c r="Y51" i="3"/>
  <c r="AA51" i="3" s="1"/>
  <c r="AC51" i="3" s="1"/>
  <c r="AG51" i="3" s="1"/>
  <c r="W51" i="3"/>
  <c r="C51" i="3"/>
  <c r="AI50" i="3"/>
  <c r="W50" i="3"/>
  <c r="Y50" i="3" s="1"/>
  <c r="AA50" i="3" s="1"/>
  <c r="AC50" i="3" s="1"/>
  <c r="AG50" i="3" s="1"/>
  <c r="C50" i="3"/>
  <c r="AI49" i="3"/>
  <c r="W49" i="3"/>
  <c r="Y49" i="3" s="1"/>
  <c r="AA49" i="3" s="1"/>
  <c r="AC49" i="3" s="1"/>
  <c r="AG49" i="3" s="1"/>
  <c r="C49" i="3"/>
  <c r="AI48" i="3"/>
  <c r="W48" i="3"/>
  <c r="Y48" i="3" s="1"/>
  <c r="AA48" i="3" s="1"/>
  <c r="AC48" i="3" s="1"/>
  <c r="AG48" i="3" s="1"/>
  <c r="C48" i="3"/>
  <c r="AI47" i="3"/>
  <c r="W47" i="3"/>
  <c r="Y47" i="3" s="1"/>
  <c r="AA47" i="3" s="1"/>
  <c r="AC47" i="3" s="1"/>
  <c r="AG47" i="3" s="1"/>
  <c r="C47" i="3"/>
  <c r="AI46" i="3"/>
  <c r="W46" i="3"/>
  <c r="C46" i="3"/>
  <c r="AI45" i="3"/>
  <c r="W45" i="3"/>
  <c r="Y45" i="3" s="1"/>
  <c r="AA45" i="3" s="1"/>
  <c r="AC45" i="3" s="1"/>
  <c r="AG45" i="3" s="1"/>
  <c r="C45" i="3"/>
  <c r="AI44" i="3"/>
  <c r="W44" i="3"/>
  <c r="Y44" i="3" s="1"/>
  <c r="AA44" i="3" s="1"/>
  <c r="AC44" i="3" s="1"/>
  <c r="AG44" i="3" s="1"/>
  <c r="C44" i="3"/>
  <c r="AI43" i="3"/>
  <c r="W43" i="3"/>
  <c r="Y43" i="3" s="1"/>
  <c r="AA43" i="3" s="1"/>
  <c r="AC43" i="3" s="1"/>
  <c r="AG43" i="3" s="1"/>
  <c r="C43" i="3"/>
  <c r="AI42" i="3"/>
  <c r="W42" i="3"/>
  <c r="C42" i="3"/>
  <c r="AI41" i="3"/>
  <c r="W41" i="3"/>
  <c r="Y41" i="3"/>
  <c r="AA41" i="3" s="1"/>
  <c r="AC41" i="3" s="1"/>
  <c r="AG41" i="3" s="1"/>
  <c r="C41" i="3"/>
  <c r="AI40" i="3"/>
  <c r="W40" i="3"/>
  <c r="Y40" i="3"/>
  <c r="AA40" i="3" s="1"/>
  <c r="AC40" i="3" s="1"/>
  <c r="AG40" i="3" s="1"/>
  <c r="C40" i="3"/>
  <c r="AI39" i="3"/>
  <c r="W39" i="3"/>
  <c r="Y39" i="3"/>
  <c r="AA39" i="3" s="1"/>
  <c r="AC39" i="3" s="1"/>
  <c r="AG39" i="3" s="1"/>
  <c r="C39" i="3"/>
  <c r="AI38" i="3"/>
  <c r="W38" i="3"/>
  <c r="Y38" i="3" s="1"/>
  <c r="AA38" i="3" s="1"/>
  <c r="AC38" i="3" s="1"/>
  <c r="AG38" i="3" s="1"/>
  <c r="C38" i="3"/>
  <c r="AI37" i="3"/>
  <c r="W37" i="3"/>
  <c r="Y37" i="3"/>
  <c r="AA37" i="3" s="1"/>
  <c r="C37" i="3"/>
  <c r="AI36" i="3"/>
  <c r="W36" i="3"/>
  <c r="Y36" i="3"/>
  <c r="AA36" i="3" s="1"/>
  <c r="C36" i="3"/>
  <c r="AI35" i="3"/>
  <c r="W35" i="3"/>
  <c r="Y35" i="3" s="1"/>
  <c r="AA35" i="3" s="1"/>
  <c r="AC35" i="3" s="1"/>
  <c r="AG35" i="3" s="1"/>
  <c r="C35" i="3"/>
  <c r="AI34" i="3"/>
  <c r="W34" i="3"/>
  <c r="C34" i="3"/>
  <c r="AI33" i="3"/>
  <c r="W33" i="3"/>
  <c r="Y33" i="3"/>
  <c r="AA33" i="3" s="1"/>
  <c r="AC33" i="3" s="1"/>
  <c r="AG33" i="3" s="1"/>
  <c r="C33" i="3"/>
  <c r="AI32" i="3"/>
  <c r="W32" i="3"/>
  <c r="Y32" i="3"/>
  <c r="AA32" i="3" s="1"/>
  <c r="AC32" i="3" s="1"/>
  <c r="AG32" i="3" s="1"/>
  <c r="C32" i="3"/>
  <c r="AI31" i="3"/>
  <c r="W31" i="3"/>
  <c r="C31" i="3"/>
  <c r="AI30" i="3"/>
  <c r="W30" i="3"/>
  <c r="C30" i="3"/>
  <c r="AI29" i="3"/>
  <c r="W29" i="3"/>
  <c r="Y29" i="3" s="1"/>
  <c r="C29" i="3"/>
  <c r="AI28" i="3"/>
  <c r="Y28" i="3"/>
  <c r="AA28" i="3" s="1"/>
  <c r="AC28" i="3" s="1"/>
  <c r="AG28" i="3" s="1"/>
  <c r="W28" i="3"/>
  <c r="C28" i="3"/>
  <c r="AI27" i="3"/>
  <c r="W27" i="3"/>
  <c r="C27" i="3"/>
  <c r="AI26" i="3"/>
  <c r="W26" i="3"/>
  <c r="C26" i="3"/>
  <c r="AI25" i="3"/>
  <c r="W25" i="3"/>
  <c r="C25" i="3"/>
  <c r="AI24" i="3"/>
  <c r="W24" i="3"/>
  <c r="C24" i="3"/>
  <c r="AI23" i="3"/>
  <c r="W23" i="3"/>
  <c r="C23" i="3"/>
  <c r="AI22" i="3"/>
  <c r="W22" i="3"/>
  <c r="C22" i="3"/>
  <c r="AI21" i="3"/>
  <c r="W21" i="3"/>
  <c r="Y21" i="3" s="1"/>
  <c r="AA21" i="3" s="1"/>
  <c r="AC21" i="3" s="1"/>
  <c r="AG21" i="3" s="1"/>
  <c r="C21" i="3"/>
  <c r="AI20" i="3"/>
  <c r="Y20" i="3"/>
  <c r="AA20" i="3" s="1"/>
  <c r="AC20" i="3" s="1"/>
  <c r="AG20" i="3" s="1"/>
  <c r="W20" i="3"/>
  <c r="C20" i="3"/>
  <c r="AI19" i="3"/>
  <c r="W19" i="3"/>
  <c r="C19" i="3"/>
  <c r="AI18" i="3"/>
  <c r="W18" i="3"/>
  <c r="Y18" i="3"/>
  <c r="AA18" i="3" s="1"/>
  <c r="AC18" i="3" s="1"/>
  <c r="AG18" i="3" s="1"/>
  <c r="C18" i="3"/>
  <c r="AI17" i="3"/>
  <c r="W17" i="3"/>
  <c r="Y17" i="3"/>
  <c r="AA17" i="3" s="1"/>
  <c r="AC17" i="3" s="1"/>
  <c r="AG17" i="3" s="1"/>
  <c r="C17" i="3"/>
  <c r="AI16" i="3"/>
  <c r="W16" i="3"/>
  <c r="C16" i="3"/>
  <c r="AI15" i="3"/>
  <c r="W15" i="3"/>
  <c r="Y15" i="3"/>
  <c r="AA15" i="3" s="1"/>
  <c r="AC15" i="3" s="1"/>
  <c r="AG15" i="3" s="1"/>
  <c r="C15" i="3"/>
  <c r="AI14" i="3"/>
  <c r="W14" i="3"/>
  <c r="Y14" i="3"/>
  <c r="AA14" i="3" s="1"/>
  <c r="AC14" i="3" s="1"/>
  <c r="AG14" i="3" s="1"/>
  <c r="T14" i="3"/>
  <c r="C14" i="3"/>
  <c r="AI13" i="3"/>
  <c r="W13" i="3"/>
  <c r="C13" i="3"/>
  <c r="AI12" i="3"/>
  <c r="W12" i="3"/>
  <c r="Y12" i="3"/>
  <c r="AA12" i="3" s="1"/>
  <c r="AC12" i="3" s="1"/>
  <c r="AG12" i="3" s="1"/>
  <c r="C12" i="3"/>
  <c r="AI11" i="3"/>
  <c r="W11" i="3"/>
  <c r="Y11" i="3"/>
  <c r="AA11" i="3" s="1"/>
  <c r="AC11" i="3" s="1"/>
  <c r="C11"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K5" i="1"/>
  <c r="AC64" i="8" s="1"/>
  <c r="H5" i="1"/>
  <c r="C5" i="1"/>
  <c r="C4" i="1"/>
  <c r="AG11" i="3" l="1"/>
  <c r="U62" i="8"/>
  <c r="C62" i="8"/>
  <c r="Y22" i="3"/>
  <c r="AA22" i="3" s="1"/>
  <c r="AC22" i="3" s="1"/>
  <c r="AG22" i="3" s="1"/>
  <c r="Y25" i="3"/>
  <c r="AA25" i="3" s="1"/>
  <c r="AC25" i="3" s="1"/>
  <c r="AG25" i="3" s="1"/>
  <c r="Y26" i="3"/>
  <c r="AA26" i="3" s="1"/>
  <c r="AC26" i="3" s="1"/>
  <c r="AG26" i="3" s="1"/>
  <c r="Y27" i="3"/>
  <c r="AA27" i="3" s="1"/>
  <c r="AC27" i="3" s="1"/>
  <c r="AG27" i="3" s="1"/>
  <c r="D105" i="3"/>
  <c r="Y16" i="3"/>
  <c r="AA16" i="3" s="1"/>
  <c r="AC16" i="3" s="1"/>
  <c r="Y24" i="3"/>
  <c r="AA24" i="3" s="1"/>
  <c r="AC24" i="3" s="1"/>
  <c r="AG24" i="3" s="1"/>
  <c r="Y30" i="3"/>
  <c r="AA30" i="3" s="1"/>
  <c r="AC30" i="3" s="1"/>
  <c r="AG30" i="3" s="1"/>
  <c r="Y55" i="3"/>
  <c r="AA55" i="3" s="1"/>
  <c r="AC55" i="3" s="1"/>
  <c r="AG55" i="3" s="1"/>
  <c r="C8" i="1"/>
  <c r="Y13" i="3"/>
  <c r="AA13" i="3" s="1"/>
  <c r="AC13" i="3" s="1"/>
  <c r="AG13" i="3" s="1"/>
  <c r="Y19" i="3"/>
  <c r="AA19" i="3" s="1"/>
  <c r="AC19" i="3" s="1"/>
  <c r="AG19" i="3" s="1"/>
  <c r="Y23" i="3"/>
  <c r="AA23" i="3" s="1"/>
  <c r="AC23" i="3" s="1"/>
  <c r="AG23" i="3" s="1"/>
  <c r="Y31" i="3"/>
  <c r="AA31" i="3" s="1"/>
  <c r="AC31" i="3" s="1"/>
  <c r="AG31" i="3" s="1"/>
  <c r="Y42" i="3"/>
  <c r="AA42" i="3" s="1"/>
  <c r="AC42" i="3" s="1"/>
  <c r="AG42" i="3" s="1"/>
  <c r="Y46" i="3"/>
  <c r="AA46" i="3" s="1"/>
  <c r="AC46" i="3" s="1"/>
  <c r="AG46" i="3" s="1"/>
  <c r="Y58" i="3"/>
  <c r="AA58" i="3" s="1"/>
  <c r="AC58" i="3" s="1"/>
  <c r="AG58" i="3" s="1"/>
  <c r="Y34" i="3"/>
  <c r="AA34" i="3" s="1"/>
  <c r="AC34" i="3" s="1"/>
  <c r="AG34" i="3" s="1"/>
  <c r="Y60" i="3"/>
  <c r="AA60" i="3" s="1"/>
  <c r="AC60" i="3" s="1"/>
  <c r="AG60" i="3" s="1"/>
  <c r="L117" i="1"/>
  <c r="AE107" i="3"/>
  <c r="R135" i="7"/>
  <c r="R136" i="7" s="1"/>
  <c r="AC59" i="3"/>
  <c r="AG59" i="3" s="1"/>
  <c r="AC37" i="3"/>
  <c r="AG37" i="3" s="1"/>
  <c r="AC36" i="3"/>
  <c r="AG36" i="3" s="1"/>
  <c r="AA29" i="3"/>
  <c r="W62" i="8" l="1"/>
  <c r="N151" i="7"/>
  <c r="AC29" i="3"/>
  <c r="AG29" i="3" s="1"/>
  <c r="AG105" i="3" s="1"/>
  <c r="Y62" i="8"/>
  <c r="AC105" i="3" l="1"/>
  <c r="AE62" i="8"/>
  <c r="AA62" i="8"/>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<sst xmlns="http://schemas.openxmlformats.org/spreadsheetml/2006/main" count="1230" uniqueCount="405">
  <si>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</si>
  <si>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</si>
  <si>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</si>
  <si>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</si>
  <si>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</si>
  <si>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</si>
  <si>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</si>
  <si>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</si>
  <si>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</si>
  <si>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</si>
  <si>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</si>
  <si>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</si>
  <si>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</si>
  <si>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</si>
  <si>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</si>
  <si>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</si>
  <si>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</si>
  <si>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</si>
  <si>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</si>
  <si>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</si>
  <si>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</si>
  <si>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</si>
  <si>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</si>
  <si>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</si>
  <si>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</si>
  <si>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</si>
  <si>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</si>
  <si>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</si>
  <si>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</si>
  <si>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</si>
  <si>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</si>
  <si>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</si>
  <si>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</si>
  <si>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</si>
  <si>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</si>
  <si>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</si>
  <si>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</si>
  <si>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</si>
  <si>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</si>
  <si>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</si>
  <si>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</si>
  <si>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</si>
  <si>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</si>
  <si>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</si>
  <si>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</si>
  <si>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</si>
  <si>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</si>
  <si>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</si>
  <si>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</si>
  <si>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</si>
  <si>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</si>
  <si>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Est Date</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</si>
  <si>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</si>
  <si>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</si>
  <si>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</si>
  <si>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</si>
  <si>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</si>
  <si>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</si>
  <si>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</si>
  <si>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</si>
  <si>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</si>
  <si>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</si>
  <si>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</si>
  <si>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</si>
  <si>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</si>
  <si>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</si>
  <si>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</si>
  <si>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</si>
  <si>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</si>
  <si>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</si>
  <si>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</si>
  <si>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</si>
  <si>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</si>
  <si>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</si>
  <si>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</si>
  <si>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</si>
  <si>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</si>
  <si>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</si>
  <si>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</si>
  <si>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</si>
  <si>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</si>
  <si>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</si>
  <si>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</si>
  <si>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</si>
  <si>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</si>
  <si>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</si>
  <si>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</si>
  <si>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</si>
  <si>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</si>
  <si>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</si>
  <si>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</si>
  <si>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r>
      <rPr>
        <u/>
        <sz val="10"/>
        <rFont val="Arial"/>
        <family val="2"/>
      </rPr>
      <t>MOD 002</t>
    </r>
    <r>
      <rPr>
        <sz val="10"/>
        <rFont val="Arial"/>
        <family val="2"/>
      </rPr>
      <t>: DESY Equip Refurbishment</t>
    </r>
  </si>
  <si>
    <r>
      <rPr>
        <u/>
        <sz val="10"/>
        <rFont val="Arial"/>
        <family val="2"/>
      </rPr>
      <t>MOD 002</t>
    </r>
    <r>
      <rPr>
        <sz val="10"/>
        <rFont val="Arial"/>
        <family val="2"/>
      </rPr>
      <t xml:space="preserve">: DESY Equip Service &amp; Support Costs  </t>
    </r>
  </si>
  <si>
    <r>
      <rPr>
        <u/>
        <sz val="10"/>
        <rFont val="Arial"/>
        <family val="2"/>
      </rPr>
      <t>MOD 003</t>
    </r>
    <r>
      <rPr>
        <sz val="10"/>
        <rFont val="Arial"/>
        <family val="2"/>
      </rPr>
      <t>: Accel Shipment (1-16) Incentives (Max of $323,136)</t>
    </r>
  </si>
  <si>
    <r>
      <rPr>
        <u/>
        <sz val="10"/>
        <rFont val="Arial"/>
        <family val="2"/>
      </rPr>
      <t>MOD 004</t>
    </r>
    <r>
      <rPr>
        <sz val="10"/>
        <rFont val="Arial"/>
        <family val="2"/>
      </rPr>
      <t>: Incentives for Accelerated Production Deliveries</t>
    </r>
  </si>
  <si>
    <r>
      <rPr>
        <u/>
        <sz val="10"/>
        <rFont val="Arial"/>
        <family val="2"/>
      </rPr>
      <t>MOD 005</t>
    </r>
    <r>
      <rPr>
        <sz val="10"/>
        <rFont val="Arial"/>
        <family val="2"/>
      </rPr>
      <t>: DESY Equipment Lease ($9,200/ month)</t>
    </r>
  </si>
  <si>
    <r>
      <rPr>
        <u/>
        <sz val="10"/>
        <rFont val="Arial"/>
        <family val="2"/>
      </rPr>
      <t>MOD 007</t>
    </r>
    <r>
      <rPr>
        <sz val="10"/>
        <rFont val="Arial"/>
        <family val="2"/>
      </rPr>
      <t>: LCLS-II R&amp;D Cavities (4)</t>
    </r>
  </si>
  <si>
    <t>Invoice #</t>
  </si>
  <si>
    <t>Milestone/ Line</t>
  </si>
  <si>
    <t>MOD 003: Accel Shipment (1-16) Incentives (Max of $323,136)</t>
  </si>
  <si>
    <t>MOD 008: CTM Spare Parts</t>
  </si>
  <si>
    <t>Invoice Amount</t>
  </si>
  <si>
    <t>MOD 002: DESY Equip Refurbishment</t>
  </si>
  <si>
    <r>
      <rPr>
        <u/>
        <sz val="10"/>
        <rFont val="Arial"/>
        <family val="2"/>
      </rPr>
      <t>MOD 008</t>
    </r>
    <r>
      <rPr>
        <sz val="10"/>
        <rFont val="Arial"/>
        <family val="2"/>
      </rPr>
      <t>: CTM Spare Parts</t>
    </r>
  </si>
  <si>
    <t>PH II: Mfg Drawings Accepted by JLab</t>
  </si>
  <si>
    <t>PH II: FAs Mech Pre-fab (Deep Draw)</t>
  </si>
  <si>
    <t xml:space="preserve">PH III: Mech Pre-Fab Cavities (9-72) </t>
  </si>
  <si>
    <t>#</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</si>
  <si>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</si>
  <si>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</si>
  <si>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</si>
  <si>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</si>
  <si>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</si>
  <si>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</si>
  <si>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</si>
  <si>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</si>
  <si>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</si>
  <si>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</si>
  <si>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</si>
  <si>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</si>
  <si>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</si>
  <si>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</si>
  <si>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</si>
  <si>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</si>
  <si>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</si>
  <si>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</si>
  <si>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</si>
  <si>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</si>
  <si>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</si>
  <si>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</si>
  <si>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</si>
  <si>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</si>
  <si>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</si>
  <si>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</si>
  <si>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</si>
  <si>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</si>
  <si>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</si>
  <si>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</si>
  <si>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</si>
  <si>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</si>
  <si>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</si>
  <si>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</si>
  <si>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</si>
  <si>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</si>
  <si>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</si>
  <si>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</si>
  <si>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</si>
  <si>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</si>
  <si>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</si>
  <si>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</si>
  <si>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</si>
  <si>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</si>
  <si>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</si>
  <si>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</si>
  <si>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</si>
  <si>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</si>
  <si>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</si>
  <si>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</si>
  <si>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</si>
  <si>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</si>
  <si>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</si>
  <si>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</si>
  <si>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</si>
  <si>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</si>
  <si>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</si>
  <si>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</si>
  <si>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</si>
  <si>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</si>
  <si>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</si>
  <si>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</si>
  <si>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</si>
  <si>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</si>
  <si>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</si>
  <si>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</si>
  <si>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</si>
  <si>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</si>
  <si>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</si>
  <si>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</si>
  <si>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</si>
  <si>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</si>
  <si>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</si>
  <si>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</si>
  <si>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</si>
  <si>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</si>
  <si>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</si>
  <si>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</si>
  <si>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</si>
  <si>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</si>
  <si>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</si>
  <si>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</si>
  <si>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</si>
  <si>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</si>
  <si>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</si>
  <si>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</si>
  <si>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c</t>
  </si>
  <si>
    <t>Note</t>
  </si>
  <si>
    <t>Completed Work Amt2</t>
  </si>
  <si>
    <t>-3</t>
  </si>
  <si>
    <t>=4</t>
  </si>
  <si>
    <t>Status</t>
  </si>
  <si>
    <t>Pre-Fab</t>
  </si>
  <si>
    <t>HP1</t>
  </si>
  <si>
    <t>HP2</t>
  </si>
  <si>
    <t>HP3</t>
  </si>
  <si>
    <t>Shipped</t>
  </si>
  <si>
    <t>Received</t>
  </si>
  <si>
    <t>Accepted</t>
  </si>
  <si>
    <t>Complete</t>
  </si>
  <si>
    <t>Column1</t>
  </si>
  <si>
    <t>PO Line Total2</t>
  </si>
  <si>
    <t>Monthly Accrual $</t>
  </si>
  <si>
    <t>Prior % Complete</t>
  </si>
  <si>
    <t>MOD 004: Incentives for Accelerated Production Deliveries</t>
  </si>
  <si>
    <t>Monthly Accrual $3</t>
  </si>
  <si>
    <t>Monthly Accrual $5</t>
  </si>
  <si>
    <r>
      <rPr>
        <u/>
        <sz val="10"/>
        <rFont val="Arial"/>
        <family val="2"/>
      </rPr>
      <t>MOD 009</t>
    </r>
    <r>
      <rPr>
        <sz val="10"/>
        <rFont val="Arial"/>
        <family val="2"/>
      </rPr>
      <t>: Recipe Modification (21-133) ($4283.19/cavity)</t>
    </r>
  </si>
  <si>
    <t>Approval Date</t>
  </si>
  <si>
    <t>Unit #</t>
  </si>
  <si>
    <t>Incentivized Ship Date</t>
  </si>
  <si>
    <t>Incentive Earned</t>
  </si>
  <si>
    <t>Serial #</t>
  </si>
  <si>
    <t>Actual Ship Date</t>
  </si>
  <si>
    <t>Incentive Available</t>
  </si>
  <si>
    <r>
      <rPr>
        <u/>
        <sz val="10"/>
        <rFont val="Arial"/>
        <family val="2"/>
      </rPr>
      <t>MOD 011</t>
    </r>
    <r>
      <rPr>
        <sz val="10"/>
        <rFont val="Arial"/>
        <family val="2"/>
      </rPr>
      <t>: Optional Cavities 1-8</t>
    </r>
  </si>
  <si>
    <r>
      <rPr>
        <u/>
        <sz val="10"/>
        <rFont val="Arial"/>
        <family val="2"/>
      </rPr>
      <t>MOD 010</t>
    </r>
    <r>
      <rPr>
        <sz val="10"/>
        <rFont val="Arial"/>
        <family val="2"/>
      </rPr>
      <t>: Ningxia Material Sorting</t>
    </r>
  </si>
  <si>
    <r>
      <rPr>
        <u/>
        <sz val="10"/>
        <rFont val="Arial"/>
        <family val="2"/>
      </rPr>
      <t>MOD 010</t>
    </r>
    <r>
      <rPr>
        <sz val="10"/>
        <rFont val="Arial"/>
        <family val="2"/>
      </rPr>
      <t>: Niobium Caps  (Cavs 21-133) $511.504/cavity</t>
    </r>
  </si>
  <si>
    <t>Recipe Modification (Mod 9)</t>
  </si>
  <si>
    <t>Accept Date</t>
  </si>
  <si>
    <t>Caps            
 (Mod 10)</t>
  </si>
  <si>
    <t xml:space="preserve">MOD 002: DESY Equip Service &amp; Support Costs  </t>
  </si>
  <si>
    <t>MOD 010: Ningxia Material Sorting</t>
  </si>
  <si>
    <r>
      <rPr>
        <u/>
        <sz val="10"/>
        <rFont val="Arial"/>
        <family val="2"/>
      </rPr>
      <t>MOD 009</t>
    </r>
    <r>
      <rPr>
        <sz val="10"/>
        <rFont val="Arial"/>
        <family val="2"/>
      </rPr>
      <t>: Recipe Modification (21-133) ($4283.18/cavity)</t>
    </r>
  </si>
  <si>
    <t xml:space="preserve">MOD 010: Niobium Caps $494.02/ea (Cavs 17-133)  </t>
  </si>
  <si>
    <t>MOD 009: Recipe Modification (21-133) ($4283.18/cavity)</t>
  </si>
  <si>
    <t>Line</t>
  </si>
  <si>
    <t>Amount</t>
  </si>
  <si>
    <t>PO Line</t>
  </si>
  <si>
    <t>Wks +/- Incentive Date</t>
  </si>
  <si>
    <t>CavityMilestone</t>
  </si>
  <si>
    <t>Milestone</t>
  </si>
  <si>
    <t>Cavity</t>
  </si>
  <si>
    <t>Incentive Date</t>
  </si>
  <si>
    <t>Incentive</t>
  </si>
  <si>
    <t>MOD 012: DESY Testing 4X RF Tests</t>
  </si>
  <si>
    <t>MOD 012: Add DESY Testing Costs (Not to Exceed)</t>
  </si>
  <si>
    <t>April</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</si>
  <si>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</si>
  <si>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</si>
  <si>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</si>
  <si>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</si>
  <si>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</si>
  <si>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</si>
  <si>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</si>
  <si>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</si>
  <si>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</si>
  <si>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</si>
  <si>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</si>
  <si>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</si>
  <si>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</si>
  <si>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</si>
  <si>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</si>
  <si>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</si>
  <si>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</si>
  <si>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</si>
  <si>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</si>
  <si>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</si>
  <si>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</si>
  <si>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</si>
  <si>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</si>
  <si>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</si>
  <si>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</si>
  <si>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</si>
  <si>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</si>
  <si>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</si>
  <si>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</si>
  <si>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</si>
  <si>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</si>
  <si>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</si>
  <si>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</si>
  <si>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</si>
  <si>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</si>
  <si>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</si>
  <si>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</si>
  <si>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</si>
  <si>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</si>
  <si>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</si>
  <si>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</si>
  <si>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</si>
  <si>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</si>
  <si>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</si>
  <si>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</si>
  <si>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</si>
  <si>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</si>
  <si>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</si>
  <si>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</si>
  <si>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</si>
  <si>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</si>
  <si>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</si>
  <si>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</si>
  <si>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</si>
  <si>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</si>
  <si>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</si>
  <si>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</si>
  <si>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</si>
  <si>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</si>
  <si>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</si>
  <si>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</si>
  <si>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</si>
  <si>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</si>
  <si>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</si>
  <si>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</si>
  <si>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</si>
  <si>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</si>
  <si>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</si>
  <si>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</si>
  <si>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</si>
  <si>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</si>
  <si>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</si>
  <si>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</si>
  <si>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</si>
  <si>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</si>
  <si>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</si>
  <si>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</si>
  <si>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</si>
  <si>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</si>
  <si>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</si>
  <si>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</si>
  <si>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</si>
  <si>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</si>
  <si>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</si>
  <si>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</si>
  <si>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</si>
  <si>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</si>
  <si>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</si>
  <si>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</si>
  <si>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</si>
  <si>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</si>
  <si>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</si>
  <si>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</si>
  <si>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</si>
  <si>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</si>
  <si>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</si>
  <si>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</si>
  <si>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</si>
  <si>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</si>
  <si>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</si>
  <si>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</si>
  <si>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</si>
  <si>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</si>
  <si>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</si>
  <si>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</si>
  <si>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</si>
  <si>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</si>
  <si>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</si>
  <si>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</si>
  <si>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</si>
  <si>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</si>
  <si>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</si>
  <si>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</si>
  <si>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</si>
  <si>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</si>
  <si>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</si>
  <si>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</si>
  <si>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</si>
  <si>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</si>
  <si>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</si>
  <si>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</si>
  <si>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</si>
  <si>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</si>
  <si>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</si>
  <si>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</si>
  <si>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</si>
  <si>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</si>
  <si>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</si>
  <si>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</si>
  <si>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</si>
  <si>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</si>
  <si>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</si>
  <si>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</si>
  <si>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</si>
  <si>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</si>
  <si>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</si>
  <si>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</si>
  <si>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</si>
  <si>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</si>
  <si>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</si>
  <si>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</si>
  <si>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</si>
  <si>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</si>
  <si>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</si>
  <si>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</si>
  <si>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</si>
  <si>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</si>
  <si>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</si>
  <si>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</si>
  <si>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</si>
  <si>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</si>
  <si>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</si>
  <si>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</si>
  <si>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</si>
  <si>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</si>
  <si>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</si>
  <si>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</si>
  <si>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r>
      <rPr>
        <u/>
        <sz val="10"/>
        <rFont val="Arial"/>
        <family val="2"/>
      </rPr>
      <t>MOD 010</t>
    </r>
    <r>
      <rPr>
        <sz val="10"/>
        <rFont val="Arial"/>
        <family val="2"/>
      </rPr>
      <t xml:space="preserve">: Niobium Caps $490.00/ea (Cavs 17-133)  </t>
    </r>
  </si>
  <si>
    <t>3991-01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</si>
</sst>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u/>
      <sz val="10"/>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b/>
      <sz val="12"/>
      <color theme="0"/>
      <name val="Calibri"/>
      <family val="2"/>
      <scheme val="minor"/>
    </font>
    <font>
      <b/>
      <sz val="14"/>
      <color theme="1"/>
      <name val="Calibri"/>
      <family val="2"/>
      <scheme val="minor"/>
    </font>
    <font>
      <sz val="10"/>
      <color theme="0"/>
      <name val="Arial"/>
      <family val="2"/>
    </font>
    <font>
      <sz val="10"/>
      <color theme="0"/>
      <name val="Arial"/>
      <family val="2"/>
    </font>
    <font>
      <sz val="14"/>
      <color theme="1"/>
      <name val="Calibri"/>
      <family val="2"/>
      <scheme val="minor"/>
    </font>
  </fonts>
  <fills count="1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4" tint="0.79998168889431442"/>
        <bgColor theme="4" tint="0.79998168889431442"/>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3" tint="0.79998168889431442"/>
        <bgColor theme="4" tint="0.79998168889431442"/>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1"/>
      </top>
      <bottom style="thin">
        <color theme="1"/>
      </bottom>
      <diagonal/>
    </border>
    <border>
      <left/>
      <right/>
      <top style="thin">
        <color theme="4" tint="0.39997558519241921"/>
      </top>
      <bottom style="thin">
        <color theme="4" tint="0.39997558519241921"/>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theme="0" tint="-0.34998626667073579"/>
      </right>
      <top/>
      <bottom/>
      <diagonal/>
    </border>
  </borders>
  <cellStyleXfs count="14">
    <xf numFmtId="0" fontId="0" fillId="0" borderId="0"/>
    <xf numFmtId="9" fontId="9" fillId="0" borderId="0" applyFont="0" applyFill="0" applyBorder="0" applyAlignment="0" applyProtection="0"/>
    <xf numFmtId="0" fontId="7" fillId="0" borderId="0"/>
    <xf numFmtId="44" fontId="7"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8" fillId="0" borderId="0" applyFont="0" applyFill="0" applyBorder="0" applyAlignment="0" applyProtection="0"/>
  </cellStyleXfs>
  <cellXfs count="303">
    <xf numFmtId="0" fontId="0" fillId="0" borderId="0" xfId="0"/>
    <xf numFmtId="0" fontId="0" fillId="0" borderId="1" xfId="0" applyBorder="1" applyProtection="1">
      <protection locked="0"/>
    </xf>
    <xf numFmtId="0" fontId="0" fillId="0" borderId="0" xfId="0" applyAlignment="1">
      <alignment wrapText="1"/>
    </xf>
    <xf numFmtId="0" fontId="7"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8" fillId="0" borderId="1" xfId="0" applyFont="1" applyBorder="1" applyAlignment="1" applyProtection="1">
      <alignment horizontal="center" wrapText="1"/>
    </xf>
    <xf numFmtId="0" fontId="0" fillId="0" borderId="0" xfId="0" applyAlignment="1" applyProtection="1">
      <alignment horizontal="center" wrapText="1"/>
    </xf>
    <xf numFmtId="0" fontId="8"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4" fillId="0" borderId="1" xfId="0" applyFont="1" applyBorder="1" applyProtection="1">
      <protection locked="0"/>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7" fillId="0" borderId="0" xfId="0" applyFont="1" applyBorder="1" applyProtection="1">
      <protection locked="0"/>
    </xf>
    <xf numFmtId="0" fontId="7"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7" fillId="0" borderId="1" xfId="0" applyFont="1" applyBorder="1" applyAlignment="1" applyProtection="1">
      <alignment horizontal="left"/>
    </xf>
    <xf numFmtId="0" fontId="10" fillId="0" borderId="0" xfId="0" applyFont="1"/>
    <xf numFmtId="0" fontId="12" fillId="0" borderId="0" xfId="0" applyFont="1"/>
    <xf numFmtId="0" fontId="7" fillId="0" borderId="1" xfId="0" applyFont="1" applyBorder="1" applyAlignment="1" applyProtection="1">
      <alignment horizontal="center" wrapText="1"/>
    </xf>
    <xf numFmtId="0" fontId="0" fillId="0" borderId="0" xfId="0" applyAlignment="1"/>
    <xf numFmtId="0" fontId="7" fillId="0" borderId="0" xfId="0" applyFont="1" applyBorder="1" applyAlignment="1" applyProtection="1">
      <alignment horizontal="right"/>
      <protection locked="0"/>
    </xf>
    <xf numFmtId="0" fontId="0" fillId="0" borderId="1" xfId="0" applyBorder="1" applyProtection="1"/>
    <xf numFmtId="0" fontId="7" fillId="0" borderId="0" xfId="0" applyFont="1" applyBorder="1" applyAlignment="1" applyProtection="1">
      <alignment horizontal="center" wrapText="1"/>
    </xf>
    <xf numFmtId="0" fontId="6" fillId="0" borderId="1" xfId="0" applyFont="1" applyBorder="1" applyAlignment="1" applyProtection="1">
      <alignment horizontal="center" wrapText="1"/>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7"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14" fontId="7" fillId="0" borderId="1" xfId="0" applyNumberFormat="1" applyFont="1" applyBorder="1" applyAlignment="1" applyProtection="1">
      <alignment wrapText="1"/>
      <protection locked="0"/>
    </xf>
    <xf numFmtId="0" fontId="4" fillId="0" borderId="0" xfId="0" applyFont="1" applyAlignment="1">
      <alignment wrapText="1"/>
    </xf>
    <xf numFmtId="164" fontId="0" fillId="0" borderId="1" xfId="0" applyNumberFormat="1" applyBorder="1" applyProtection="1">
      <protection locked="0"/>
    </xf>
    <xf numFmtId="0" fontId="14" fillId="8" borderId="4" xfId="0" applyFont="1" applyFill="1" applyBorder="1" applyAlignment="1">
      <alignment horizontal="center"/>
    </xf>
    <xf numFmtId="9" fontId="0" fillId="0" borderId="4" xfId="1" applyFont="1" applyBorder="1" applyAlignment="1">
      <alignment horizontal="center"/>
    </xf>
    <xf numFmtId="0" fontId="7" fillId="0" borderId="0" xfId="0" applyFont="1"/>
    <xf numFmtId="0" fontId="4" fillId="0" borderId="0" xfId="0" applyFont="1" applyAlignment="1">
      <alignment horizontal="center" wrapText="1"/>
    </xf>
    <xf numFmtId="0" fontId="4" fillId="0" borderId="0" xfId="0" applyFont="1" applyBorder="1" applyAlignment="1">
      <alignment horizontal="center"/>
    </xf>
    <xf numFmtId="0" fontId="7" fillId="0" borderId="0" xfId="0" applyFont="1" applyAlignment="1">
      <alignment wrapText="1"/>
    </xf>
    <xf numFmtId="0" fontId="4" fillId="0" borderId="0" xfId="0" applyFont="1" applyAlignment="1">
      <alignment horizontal="center"/>
    </xf>
    <xf numFmtId="0" fontId="7" fillId="0" borderId="0" xfId="0" applyFont="1" applyAlignment="1"/>
    <xf numFmtId="0" fontId="7" fillId="0" borderId="0" xfId="0" applyFont="1" applyAlignment="1">
      <alignment horizontal="center"/>
    </xf>
    <xf numFmtId="0" fontId="7" fillId="0" borderId="0" xfId="0" applyFont="1" applyAlignment="1">
      <alignment horizontal="left" wrapText="1"/>
    </xf>
    <xf numFmtId="0" fontId="7" fillId="0" borderId="0" xfId="0" applyFont="1" applyBorder="1"/>
    <xf numFmtId="0" fontId="7" fillId="0" borderId="0" xfId="0" applyFont="1" applyBorder="1" applyAlignment="1">
      <alignment wrapText="1"/>
    </xf>
    <xf numFmtId="0" fontId="7" fillId="0" borderId="0" xfId="0" applyFont="1" applyAlignment="1">
      <alignment horizontal="center" wrapText="1"/>
    </xf>
    <xf numFmtId="0" fontId="7" fillId="0" borderId="0" xfId="0" applyFont="1" applyAlignment="1">
      <alignment horizontal="left"/>
    </xf>
    <xf numFmtId="0" fontId="7" fillId="0" borderId="0" xfId="0" applyFont="1" applyBorder="1" applyAlignment="1" applyProtection="1">
      <alignment horizontal="center"/>
      <protection locked="0"/>
    </xf>
    <xf numFmtId="0" fontId="7" fillId="0" borderId="1" xfId="0" applyFont="1" applyBorder="1" applyAlignment="1" applyProtection="1">
      <alignment wrapText="1"/>
      <protection locked="0"/>
    </xf>
    <xf numFmtId="0" fontId="7" fillId="0" borderId="2" xfId="0" applyFont="1" applyBorder="1" applyAlignment="1">
      <alignment horizontal="left"/>
    </xf>
    <xf numFmtId="10" fontId="7" fillId="0" borderId="1" xfId="1" applyNumberFormat="1" applyFont="1" applyBorder="1" applyAlignment="1" applyProtection="1">
      <alignment horizontal="center"/>
      <protection locked="0"/>
    </xf>
    <xf numFmtId="4" fontId="7" fillId="3" borderId="1" xfId="0" applyNumberFormat="1" applyFont="1" applyFill="1" applyBorder="1" applyAlignment="1" applyProtection="1">
      <alignment wrapText="1"/>
      <protection locked="0"/>
    </xf>
    <xf numFmtId="4" fontId="7" fillId="2" borderId="0" xfId="0" applyNumberFormat="1" applyFont="1" applyFill="1" applyBorder="1" applyAlignment="1">
      <alignment horizontal="center"/>
    </xf>
    <xf numFmtId="4" fontId="7" fillId="0" borderId="1" xfId="0" applyNumberFormat="1" applyFont="1" applyBorder="1"/>
    <xf numFmtId="4" fontId="7" fillId="0" borderId="0" xfId="0" applyNumberFormat="1" applyFont="1" applyBorder="1" applyAlignment="1">
      <alignment horizontal="center" wrapText="1"/>
    </xf>
    <xf numFmtId="4" fontId="7" fillId="0" borderId="0" xfId="0" applyNumberFormat="1" applyFont="1" applyAlignment="1">
      <alignment horizontal="center" wrapText="1"/>
    </xf>
    <xf numFmtId="4" fontId="7" fillId="4" borderId="1" xfId="0" applyNumberFormat="1" applyFont="1" applyFill="1" applyBorder="1" applyAlignment="1">
      <alignment wrapText="1"/>
    </xf>
    <xf numFmtId="4" fontId="7" fillId="3" borderId="2" xfId="0" applyNumberFormat="1" applyFont="1" applyFill="1" applyBorder="1" applyAlignment="1" applyProtection="1">
      <alignment wrapText="1"/>
      <protection locked="0"/>
    </xf>
    <xf numFmtId="9" fontId="7" fillId="0" borderId="0" xfId="1" applyFont="1"/>
    <xf numFmtId="0" fontId="7" fillId="0" borderId="0" xfId="0" applyFont="1" applyProtection="1">
      <protection locked="0"/>
    </xf>
    <xf numFmtId="0" fontId="7" fillId="0" borderId="0" xfId="0" applyFont="1" applyBorder="1" applyAlignment="1">
      <alignment horizontal="center" vertical="top"/>
    </xf>
    <xf numFmtId="0" fontId="7" fillId="0" borderId="0" xfId="0" applyFont="1" applyAlignment="1">
      <alignment horizontal="center" vertical="top" wrapText="1"/>
    </xf>
    <xf numFmtId="0" fontId="7" fillId="0" borderId="0" xfId="0" applyFont="1" applyBorder="1" applyAlignment="1" applyProtection="1">
      <alignment wrapText="1"/>
      <protection locked="0"/>
    </xf>
    <xf numFmtId="0" fontId="7" fillId="0" borderId="0" xfId="0" applyFont="1" applyBorder="1" applyAlignment="1" applyProtection="1">
      <alignment horizontal="center" vertical="top"/>
      <protection locked="0"/>
    </xf>
    <xf numFmtId="0" fontId="7" fillId="0" borderId="0" xfId="0" applyFont="1" applyAlignment="1" applyProtection="1">
      <alignment wrapText="1"/>
      <protection locked="0"/>
    </xf>
    <xf numFmtId="165" fontId="7" fillId="0" borderId="4" xfId="2" applyNumberFormat="1" applyFont="1" applyFill="1" applyBorder="1" applyAlignment="1">
      <alignment horizontal="center" vertical="center" wrapText="1"/>
    </xf>
    <xf numFmtId="165" fontId="7" fillId="0" borderId="5" xfId="2" applyNumberFormat="1" applyFont="1" applyFill="1" applyBorder="1" applyAlignment="1">
      <alignment horizontal="center" vertical="center" wrapText="1"/>
    </xf>
    <xf numFmtId="0" fontId="7" fillId="0" borderId="4" xfId="0" applyFont="1" applyBorder="1" applyAlignment="1">
      <alignment wrapText="1"/>
    </xf>
    <xf numFmtId="0" fontId="7" fillId="0" borderId="7" xfId="2" applyNumberFormat="1" applyFont="1" applyBorder="1" applyAlignment="1">
      <alignment vertical="center"/>
    </xf>
    <xf numFmtId="165" fontId="7" fillId="0" borderId="5" xfId="2" applyNumberFormat="1" applyFont="1" applyBorder="1" applyAlignment="1">
      <alignment horizontal="center" vertical="center" wrapText="1"/>
    </xf>
    <xf numFmtId="165" fontId="7" fillId="0" borderId="4" xfId="2" applyNumberFormat="1" applyFont="1" applyBorder="1" applyAlignment="1">
      <alignment horizontal="center" vertical="center" wrapText="1"/>
    </xf>
    <xf numFmtId="4" fontId="7" fillId="0" borderId="4" xfId="11" applyNumberFormat="1" applyFont="1" applyFill="1" applyBorder="1" applyAlignment="1">
      <alignment vertical="center" wrapText="1"/>
    </xf>
    <xf numFmtId="4" fontId="7" fillId="0" borderId="5" xfId="11" applyNumberFormat="1" applyFont="1" applyFill="1" applyBorder="1" applyAlignment="1">
      <alignment vertical="center" wrapText="1"/>
    </xf>
    <xf numFmtId="0" fontId="0" fillId="0" borderId="0" xfId="0" applyAlignment="1">
      <alignment horizontal="left"/>
    </xf>
    <xf numFmtId="10" fontId="7" fillId="0" borderId="1" xfId="1" applyNumberFormat="1" applyFont="1" applyFill="1" applyBorder="1" applyAlignment="1" applyProtection="1">
      <alignment horizontal="center"/>
      <protection locked="0"/>
    </xf>
    <xf numFmtId="4" fontId="7" fillId="0" borderId="4" xfId="0" applyNumberFormat="1" applyFont="1" applyBorder="1" applyProtection="1">
      <protection locked="0"/>
    </xf>
    <xf numFmtId="4" fontId="7" fillId="0" borderId="8" xfId="0" applyNumberFormat="1" applyFont="1" applyBorder="1" applyProtection="1">
      <protection locked="0"/>
    </xf>
    <xf numFmtId="14" fontId="4" fillId="0" borderId="1" xfId="0" applyNumberFormat="1" applyFont="1" applyBorder="1" applyAlignment="1" applyProtection="1">
      <alignment wrapText="1"/>
      <protection locked="0"/>
    </xf>
    <xf numFmtId="0" fontId="0" fillId="0" borderId="0" xfId="0" applyAlignment="1">
      <alignment horizontal="center"/>
    </xf>
    <xf numFmtId="0" fontId="19" fillId="0" borderId="10" xfId="0" applyFont="1" applyBorder="1" applyAlignment="1">
      <alignment horizontal="center"/>
    </xf>
    <xf numFmtId="0" fontId="11" fillId="10" borderId="0" xfId="0" applyFont="1" applyFill="1" applyAlignment="1">
      <alignment horizontal="center"/>
    </xf>
    <xf numFmtId="0" fontId="11" fillId="0" borderId="0" xfId="0" applyFont="1" applyAlignment="1">
      <alignment horizontal="center"/>
    </xf>
    <xf numFmtId="0" fontId="11" fillId="10" borderId="9" xfId="0" applyFont="1" applyFill="1" applyBorder="1" applyAlignment="1">
      <alignment horizontal="center"/>
    </xf>
    <xf numFmtId="0" fontId="11" fillId="0" borderId="0" xfId="0" applyFont="1" applyBorder="1" applyAlignment="1">
      <alignment horizontal="center"/>
    </xf>
    <xf numFmtId="0" fontId="11"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7" fillId="9" borderId="0" xfId="0" applyFont="1" applyFill="1"/>
    <xf numFmtId="0" fontId="0" fillId="0" borderId="4" xfId="0" applyBorder="1"/>
    <xf numFmtId="0" fontId="0" fillId="5" borderId="4" xfId="0" applyFill="1" applyBorder="1"/>
    <xf numFmtId="0" fontId="7" fillId="0" borderId="0" xfId="0" applyFont="1" applyAlignment="1">
      <alignment wrapText="1"/>
    </xf>
    <xf numFmtId="0" fontId="7" fillId="0" borderId="0" xfId="0" applyFont="1" applyAlignment="1">
      <alignment horizontal="center"/>
    </xf>
    <xf numFmtId="0" fontId="20" fillId="0" borderId="0" xfId="0" applyFont="1" applyAlignment="1">
      <alignment horizontal="center" vertical="center"/>
    </xf>
    <xf numFmtId="0" fontId="0" fillId="0" borderId="0" xfId="0" applyAlignment="1">
      <alignment horizontal="center" vertical="center"/>
    </xf>
    <xf numFmtId="0" fontId="21" fillId="9" borderId="11" xfId="0" applyFont="1" applyFill="1" applyBorder="1" applyAlignment="1">
      <alignment horizontal="center" vertical="center"/>
    </xf>
    <xf numFmtId="16" fontId="21" fillId="9" borderId="11" xfId="0" applyNumberFormat="1" applyFont="1" applyFill="1" applyBorder="1" applyAlignment="1">
      <alignment horizontal="center" vertical="center"/>
    </xf>
    <xf numFmtId="0" fontId="22" fillId="0" borderId="0" xfId="0" applyFont="1" applyAlignment="1">
      <alignment horizontal="center" vertical="center" wrapText="1"/>
    </xf>
    <xf numFmtId="0" fontId="4" fillId="0" borderId="0" xfId="0" applyFont="1" applyAlignment="1">
      <alignment horizontal="center"/>
    </xf>
    <xf numFmtId="0" fontId="7" fillId="0" borderId="0" xfId="0" applyFont="1" applyAlignment="1">
      <alignment wrapText="1"/>
    </xf>
    <xf numFmtId="0" fontId="7" fillId="0" borderId="0" xfId="0" applyFont="1" applyAlignment="1">
      <alignment horizontal="center"/>
    </xf>
    <xf numFmtId="166" fontId="0" fillId="0" borderId="4" xfId="0" applyNumberFormat="1" applyBorder="1"/>
    <xf numFmtId="0" fontId="7" fillId="6" borderId="4" xfId="0" applyFont="1" applyFill="1" applyBorder="1"/>
    <xf numFmtId="49" fontId="0" fillId="0" borderId="4" xfId="0" applyNumberFormat="1" applyBorder="1"/>
    <xf numFmtId="49" fontId="7" fillId="0" borderId="4" xfId="0" applyNumberFormat="1" applyFont="1" applyBorder="1"/>
    <xf numFmtId="0" fontId="7" fillId="0" borderId="0" xfId="0" applyFont="1" applyBorder="1" applyAlignment="1" applyProtection="1">
      <alignment horizontal="left"/>
      <protection locked="0"/>
    </xf>
    <xf numFmtId="10" fontId="7" fillId="12" borderId="1" xfId="1" applyNumberFormat="1" applyFont="1" applyFill="1" applyBorder="1" applyAlignment="1" applyProtection="1">
      <alignment horizontal="center"/>
      <protection locked="0"/>
    </xf>
    <xf numFmtId="44" fontId="7" fillId="0" borderId="4" xfId="13" applyFont="1" applyBorder="1" applyAlignment="1" applyProtection="1">
      <alignment horizontal="center"/>
      <protection locked="0"/>
    </xf>
    <xf numFmtId="44" fontId="7" fillId="0" borderId="4" xfId="13" applyFont="1" applyFill="1" applyBorder="1" applyAlignment="1">
      <alignment horizontal="center" vertical="center" wrapText="1"/>
    </xf>
    <xf numFmtId="0" fontId="4" fillId="0" borderId="0" xfId="0" applyFont="1" applyAlignment="1">
      <alignment horizontal="center"/>
    </xf>
    <xf numFmtId="0" fontId="7" fillId="0" borderId="0" xfId="0" applyFont="1" applyAlignment="1">
      <alignment wrapText="1"/>
    </xf>
    <xf numFmtId="0" fontId="7" fillId="0" borderId="0" xfId="0" applyFont="1" applyAlignment="1">
      <alignment horizontal="center"/>
    </xf>
    <xf numFmtId="0" fontId="7" fillId="0" borderId="7" xfId="2" applyNumberFormat="1" applyFont="1" applyFill="1" applyBorder="1" applyAlignment="1">
      <alignment vertical="center"/>
    </xf>
    <xf numFmtId="0" fontId="7" fillId="0" borderId="0" xfId="0" applyNumberFormat="1" applyFont="1"/>
    <xf numFmtId="0" fontId="7" fillId="0" borderId="0" xfId="0" applyFont="1" applyBorder="1" applyAlignment="1">
      <alignment horizontal="left"/>
    </xf>
    <xf numFmtId="0" fontId="7" fillId="0" borderId="12" xfId="0" applyNumberFormat="1" applyFont="1" applyFill="1" applyBorder="1" applyAlignment="1" applyProtection="1">
      <alignment vertical="center"/>
    </xf>
    <xf numFmtId="4" fontId="7" fillId="0" borderId="13" xfId="0" applyNumberFormat="1" applyFont="1" applyFill="1" applyBorder="1" applyAlignment="1">
      <alignment vertical="center" wrapText="1"/>
    </xf>
    <xf numFmtId="44" fontId="7" fillId="0" borderId="13" xfId="0" applyNumberFormat="1" applyFont="1" applyFill="1" applyBorder="1" applyAlignment="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0" xfId="0" applyNumberFormat="1" applyFont="1" applyBorder="1" applyAlignment="1" applyProtection="1">
      <alignment horizontal="center"/>
      <protection locked="0"/>
    </xf>
    <xf numFmtId="4" fontId="7" fillId="3" borderId="0" xfId="0" applyNumberFormat="1" applyFont="1" applyFill="1" applyBorder="1" applyAlignment="1" applyProtection="1">
      <alignment wrapText="1"/>
      <protection locked="0"/>
    </xf>
    <xf numFmtId="0" fontId="7" fillId="2" borderId="0" xfId="0" applyFont="1" applyFill="1" applyAlignment="1">
      <alignment horizontal="center"/>
    </xf>
    <xf numFmtId="4" fontId="7" fillId="0" borderId="0" xfId="0" applyNumberFormat="1" applyFont="1" applyBorder="1"/>
    <xf numFmtId="4" fontId="7" fillId="4" borderId="0" xfId="0" applyNumberFormat="1" applyFont="1" applyFill="1" applyBorder="1" applyAlignment="1">
      <alignment wrapText="1"/>
    </xf>
    <xf numFmtId="10" fontId="7" fillId="0" borderId="4" xfId="1" applyNumberFormat="1" applyFont="1" applyBorder="1" applyAlignment="1" applyProtection="1">
      <alignment horizontal="center"/>
      <protection locked="0"/>
    </xf>
    <xf numFmtId="10" fontId="7" fillId="0" borderId="4" xfId="1" applyNumberFormat="1" applyFont="1" applyFill="1" applyBorder="1" applyAlignment="1" applyProtection="1">
      <alignment horizontal="center"/>
      <protection locked="0"/>
    </xf>
    <xf numFmtId="10" fontId="7" fillId="12" borderId="4" xfId="1" applyNumberFormat="1" applyFont="1" applyFill="1" applyBorder="1" applyAlignment="1" applyProtection="1">
      <alignment horizontal="center"/>
      <protection locked="0"/>
    </xf>
    <xf numFmtId="0" fontId="7" fillId="7" borderId="1" xfId="0" applyFont="1" applyFill="1" applyBorder="1" applyAlignment="1">
      <alignment horizontal="center" vertical="top" wrapText="1"/>
    </xf>
    <xf numFmtId="0" fontId="7" fillId="7" borderId="0" xfId="0" applyFont="1" applyFill="1" applyBorder="1" applyAlignment="1">
      <alignment horizontal="center" vertical="top" wrapText="1"/>
    </xf>
    <xf numFmtId="0" fontId="7" fillId="7" borderId="0" xfId="0" applyFont="1" applyFill="1" applyAlignment="1">
      <alignment horizontal="center" vertical="top" wrapText="1"/>
    </xf>
    <xf numFmtId="0" fontId="14" fillId="7" borderId="0" xfId="0" applyFont="1" applyFill="1" applyBorder="1" applyAlignment="1">
      <alignment horizontal="center" vertical="top" wrapText="1"/>
    </xf>
    <xf numFmtId="0" fontId="7" fillId="7" borderId="4" xfId="0" applyFont="1" applyFill="1" applyBorder="1" applyAlignment="1">
      <alignment horizontal="center" vertical="top" wrapText="1"/>
    </xf>
    <xf numFmtId="167" fontId="7" fillId="0" borderId="4" xfId="13" applyNumberFormat="1" applyFont="1" applyBorder="1" applyAlignment="1" applyProtection="1">
      <alignment horizontal="center"/>
      <protection locked="0"/>
    </xf>
    <xf numFmtId="167" fontId="7" fillId="0" borderId="4" xfId="13" applyNumberFormat="1" applyFont="1" applyFill="1" applyBorder="1" applyAlignment="1">
      <alignment horizontal="center" vertical="center" wrapText="1"/>
    </xf>
    <xf numFmtId="167" fontId="7" fillId="0" borderId="4" xfId="1" applyNumberFormat="1" applyFont="1" applyFill="1" applyBorder="1" applyAlignment="1" applyProtection="1">
      <alignment horizontal="center"/>
      <protection locked="0"/>
    </xf>
    <xf numFmtId="167" fontId="7" fillId="0" borderId="4" xfId="1" applyNumberFormat="1" applyFont="1" applyBorder="1" applyAlignment="1" applyProtection="1">
      <alignment horizontal="center"/>
      <protection locked="0"/>
    </xf>
    <xf numFmtId="169" fontId="0" fillId="0" borderId="0" xfId="1" applyNumberFormat="1" applyFont="1"/>
    <xf numFmtId="167" fontId="7" fillId="9" borderId="4" xfId="13" applyNumberFormat="1" applyFont="1" applyFill="1" applyBorder="1" applyAlignment="1">
      <alignment horizontal="center" vertical="center" wrapText="1"/>
    </xf>
    <xf numFmtId="0" fontId="7" fillId="13" borderId="2" xfId="1" applyNumberFormat="1" applyFont="1" applyFill="1" applyBorder="1" applyAlignment="1" applyProtection="1">
      <alignment horizontal="center"/>
    </xf>
    <xf numFmtId="0" fontId="7" fillId="0" borderId="0" xfId="0" applyFont="1" applyAlignment="1">
      <alignment wrapText="1"/>
    </xf>
    <xf numFmtId="0" fontId="4" fillId="0" borderId="0" xfId="0" applyFont="1" applyAlignment="1">
      <alignment horizontal="center"/>
    </xf>
    <xf numFmtId="17" fontId="4" fillId="0" borderId="4" xfId="0" applyNumberFormat="1" applyFont="1" applyBorder="1" applyAlignment="1">
      <alignment horizontal="center"/>
    </xf>
    <xf numFmtId="0" fontId="7" fillId="0" borderId="0" xfId="0" applyFont="1" applyAlignment="1">
      <alignment horizontal="center"/>
    </xf>
    <xf numFmtId="168" fontId="4" fillId="0" borderId="4" xfId="0" applyNumberFormat="1" applyFont="1" applyBorder="1" applyAlignment="1">
      <alignment horizontal="center"/>
    </xf>
    <xf numFmtId="44" fontId="20" fillId="0" borderId="0" xfId="13" applyFont="1" applyAlignment="1">
      <alignment horizontal="center" vertical="center"/>
    </xf>
    <xf numFmtId="168" fontId="4" fillId="0" borderId="4" xfId="0" applyNumberFormat="1" applyFont="1" applyBorder="1" applyAlignment="1">
      <alignment horizontal="center"/>
    </xf>
    <xf numFmtId="17" fontId="4" fillId="0" borderId="4" xfId="0" applyNumberFormat="1" applyFont="1" applyBorder="1" applyAlignment="1">
      <alignment horizontal="center"/>
    </xf>
    <xf numFmtId="44" fontId="7" fillId="0" borderId="4" xfId="13" applyFont="1" applyFill="1" applyBorder="1" applyAlignment="1" applyProtection="1">
      <alignment horizontal="center"/>
      <protection locked="0"/>
    </xf>
    <xf numFmtId="44" fontId="7" fillId="12" borderId="4" xfId="13" applyFont="1" applyFill="1" applyBorder="1" applyAlignment="1" applyProtection="1">
      <alignment horizontal="center"/>
      <protection locked="0"/>
    </xf>
    <xf numFmtId="9" fontId="7" fillId="0" borderId="1" xfId="1" applyFont="1" applyBorder="1" applyAlignment="1" applyProtection="1">
      <alignment horizontal="center"/>
      <protection locked="0"/>
    </xf>
    <xf numFmtId="17" fontId="0" fillId="0" borderId="0" xfId="0" applyNumberFormat="1"/>
    <xf numFmtId="0" fontId="7" fillId="0" borderId="6" xfId="0" applyFont="1" applyBorder="1" applyAlignment="1">
      <alignment horizontal="left"/>
    </xf>
    <xf numFmtId="0" fontId="7" fillId="0" borderId="14" xfId="2" applyNumberFormat="1" applyFont="1" applyBorder="1" applyAlignment="1">
      <alignment vertical="center"/>
    </xf>
    <xf numFmtId="10" fontId="7" fillId="0" borderId="0" xfId="1" applyNumberFormat="1" applyFont="1" applyBorder="1" applyAlignment="1" applyProtection="1">
      <alignment horizontal="center"/>
      <protection locked="0"/>
    </xf>
    <xf numFmtId="167" fontId="7" fillId="0" borderId="5" xfId="1" applyNumberFormat="1" applyFont="1" applyBorder="1" applyAlignment="1" applyProtection="1">
      <alignment horizontal="center"/>
      <protection locked="0"/>
    </xf>
    <xf numFmtId="44" fontId="7" fillId="0" borderId="5" xfId="13" applyFont="1" applyBorder="1" applyAlignment="1" applyProtection="1">
      <alignment horizontal="center"/>
      <protection locked="0"/>
    </xf>
    <xf numFmtId="44" fontId="7" fillId="0" borderId="5" xfId="13" applyFont="1" applyFill="1" applyBorder="1" applyAlignment="1">
      <alignment horizontal="center" vertical="center" wrapText="1"/>
    </xf>
    <xf numFmtId="4" fontId="7" fillId="0" borderId="5" xfId="0" applyNumberFormat="1" applyFont="1" applyBorder="1" applyProtection="1">
      <protection locked="0"/>
    </xf>
    <xf numFmtId="4" fontId="7" fillId="3" borderId="6" xfId="0" applyNumberFormat="1" applyFont="1" applyFill="1" applyBorder="1" applyAlignment="1" applyProtection="1">
      <alignment wrapText="1"/>
      <protection locked="0"/>
    </xf>
    <xf numFmtId="0" fontId="4" fillId="14" borderId="2" xfId="0" applyFont="1" applyFill="1" applyBorder="1" applyAlignment="1">
      <alignment horizontal="left"/>
    </xf>
    <xf numFmtId="0" fontId="4" fillId="14" borderId="7" xfId="0" applyNumberFormat="1" applyFont="1" applyFill="1" applyBorder="1" applyAlignment="1" applyProtection="1">
      <alignment vertical="center"/>
    </xf>
    <xf numFmtId="4" fontId="4" fillId="14" borderId="4" xfId="0" applyNumberFormat="1" applyFont="1" applyFill="1" applyBorder="1" applyAlignment="1">
      <alignment vertical="center" wrapText="1"/>
    </xf>
    <xf numFmtId="44" fontId="4" fillId="14" borderId="4" xfId="13" applyFont="1" applyFill="1" applyBorder="1" applyAlignment="1">
      <alignment vertical="center" wrapText="1"/>
    </xf>
    <xf numFmtId="44" fontId="4" fillId="14" borderId="4" xfId="13" applyFont="1" applyFill="1" applyBorder="1" applyAlignment="1">
      <alignment horizontal="center" vertical="center" wrapText="1"/>
    </xf>
    <xf numFmtId="0" fontId="4" fillId="14" borderId="4" xfId="0" applyNumberFormat="1" applyFont="1" applyFill="1" applyBorder="1" applyAlignment="1" applyProtection="1">
      <alignment horizontal="center" vertical="center" wrapText="1"/>
    </xf>
    <xf numFmtId="0" fontId="4" fillId="14" borderId="2" xfId="0" applyNumberFormat="1" applyFont="1" applyFill="1" applyBorder="1" applyAlignment="1" applyProtection="1">
      <alignment horizontal="center"/>
      <protection locked="0"/>
    </xf>
    <xf numFmtId="0" fontId="4" fillId="14" borderId="2" xfId="0" applyFont="1" applyFill="1" applyBorder="1" applyProtection="1">
      <protection locked="0"/>
    </xf>
    <xf numFmtId="0" fontId="4" fillId="14" borderId="2" xfId="0" applyFont="1" applyFill="1" applyBorder="1" applyAlignment="1">
      <alignment horizontal="center"/>
    </xf>
    <xf numFmtId="4" fontId="4" fillId="14" borderId="2" xfId="0" applyNumberFormat="1" applyFont="1" applyFill="1" applyBorder="1" applyAlignment="1" applyProtection="1">
      <alignment wrapText="1"/>
      <protection locked="0"/>
    </xf>
    <xf numFmtId="4" fontId="4" fillId="14" borderId="2" xfId="0" applyNumberFormat="1" applyFont="1" applyFill="1" applyBorder="1"/>
    <xf numFmtId="0" fontId="4" fillId="14" borderId="2" xfId="0" applyFont="1" applyFill="1" applyBorder="1" applyAlignment="1">
      <alignment horizontal="center" wrapText="1"/>
    </xf>
    <xf numFmtId="4" fontId="4" fillId="14" borderId="2" xfId="0" applyNumberFormat="1" applyFont="1" applyFill="1" applyBorder="1" applyAlignment="1">
      <alignment wrapText="1"/>
    </xf>
    <xf numFmtId="0" fontId="4" fillId="14" borderId="2" xfId="0" applyFont="1" applyFill="1" applyBorder="1"/>
    <xf numFmtId="0" fontId="23" fillId="0" borderId="15"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7" xfId="0"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0" xfId="0" applyFont="1" applyFill="1" applyBorder="1" applyAlignment="1">
      <alignment horizontal="center" vertical="top" wrapText="1"/>
    </xf>
    <xf numFmtId="0" fontId="14" fillId="0" borderId="9" xfId="0" applyFont="1" applyBorder="1" applyAlignment="1">
      <alignment horizontal="center"/>
    </xf>
    <xf numFmtId="0" fontId="14" fillId="0" borderId="0" xfId="0" applyFont="1" applyFill="1" applyBorder="1" applyAlignment="1">
      <alignment horizontal="center"/>
    </xf>
    <xf numFmtId="0" fontId="14" fillId="0" borderId="9" xfId="0" applyFont="1" applyBorder="1" applyAlignment="1">
      <alignment horizontal="left"/>
    </xf>
    <xf numFmtId="0" fontId="14" fillId="0" borderId="9" xfId="0" applyFont="1" applyBorder="1"/>
    <xf numFmtId="0" fontId="25" fillId="0" borderId="0" xfId="0" applyFont="1"/>
    <xf numFmtId="44" fontId="7" fillId="0" borderId="13" xfId="13" applyFont="1" applyFill="1" applyBorder="1" applyAlignment="1">
      <alignment vertical="center" wrapText="1"/>
    </xf>
    <xf numFmtId="0" fontId="7" fillId="0" borderId="0" xfId="0" applyFont="1" applyAlignment="1">
      <alignment wrapText="1"/>
    </xf>
    <xf numFmtId="0" fontId="4" fillId="0" borderId="0" xfId="0" applyFont="1" applyAlignment="1">
      <alignment horizontal="center"/>
    </xf>
    <xf numFmtId="0" fontId="26" fillId="0" borderId="0" xfId="0" applyFont="1"/>
    <xf numFmtId="44" fontId="0" fillId="0" borderId="0" xfId="13" applyFont="1"/>
    <xf numFmtId="44" fontId="7" fillId="0" borderId="0" xfId="13" applyFont="1"/>
    <xf numFmtId="0" fontId="23" fillId="0" borderId="19" xfId="0" applyFont="1" applyFill="1" applyBorder="1" applyAlignment="1">
      <alignment horizontal="center" vertical="top" wrapText="1"/>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166" fontId="20" fillId="0" borderId="21" xfId="0" applyNumberFormat="1" applyFont="1" applyFill="1" applyBorder="1" applyAlignment="1">
      <alignment horizontal="center" vertical="center"/>
    </xf>
    <xf numFmtId="167" fontId="20" fillId="0" borderId="21" xfId="13" applyNumberFormat="1" applyFont="1" applyFill="1" applyBorder="1" applyAlignment="1">
      <alignment horizontal="center" vertical="center"/>
    </xf>
    <xf numFmtId="166" fontId="20" fillId="0" borderId="21" xfId="13" applyNumberFormat="1" applyFont="1" applyFill="1" applyBorder="1" applyAlignment="1">
      <alignment horizontal="center" vertical="center"/>
    </xf>
    <xf numFmtId="44" fontId="20" fillId="0" borderId="21" xfId="13" applyFont="1" applyFill="1" applyBorder="1" applyAlignment="1">
      <alignment horizontal="center"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166" fontId="20" fillId="0" borderId="23" xfId="0" applyNumberFormat="1" applyFont="1" applyFill="1" applyBorder="1" applyAlignment="1">
      <alignment horizontal="center" vertical="center"/>
    </xf>
    <xf numFmtId="167" fontId="20" fillId="0" borderId="23" xfId="13" applyNumberFormat="1" applyFont="1" applyFill="1" applyBorder="1" applyAlignment="1">
      <alignment horizontal="center" vertical="center"/>
    </xf>
    <xf numFmtId="166" fontId="20" fillId="0" borderId="23" xfId="13" applyNumberFormat="1" applyFont="1" applyFill="1" applyBorder="1" applyAlignment="1">
      <alignment horizontal="center" vertical="center"/>
    </xf>
    <xf numFmtId="1" fontId="20" fillId="0" borderId="23" xfId="0" applyNumberFormat="1" applyFont="1" applyFill="1" applyBorder="1" applyAlignment="1">
      <alignment horizontal="center" vertical="center"/>
    </xf>
    <xf numFmtId="44" fontId="20" fillId="0" borderId="23" xfId="13" applyFont="1" applyFill="1" applyBorder="1" applyAlignment="1">
      <alignment horizontal="center" vertical="center"/>
    </xf>
    <xf numFmtId="168" fontId="20" fillId="0" borderId="23" xfId="13" applyNumberFormat="1" applyFont="1" applyFill="1" applyBorder="1" applyAlignment="1">
      <alignment horizontal="center" vertical="center"/>
    </xf>
    <xf numFmtId="44" fontId="20" fillId="0" borderId="23" xfId="13" applyNumberFormat="1" applyFont="1" applyFill="1" applyBorder="1" applyAlignment="1">
      <alignment horizontal="center" vertical="center"/>
    </xf>
    <xf numFmtId="44" fontId="24" fillId="0" borderId="23" xfId="13"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166" fontId="20" fillId="0" borderId="25" xfId="0" applyNumberFormat="1" applyFont="1" applyFill="1" applyBorder="1" applyAlignment="1">
      <alignment horizontal="center" vertical="center"/>
    </xf>
    <xf numFmtId="167" fontId="20" fillId="0" borderId="25" xfId="13" applyNumberFormat="1" applyFont="1" applyFill="1" applyBorder="1" applyAlignment="1">
      <alignment horizontal="center" vertical="center"/>
    </xf>
    <xf numFmtId="166" fontId="20" fillId="0" borderId="25" xfId="13" applyNumberFormat="1" applyFont="1" applyFill="1" applyBorder="1" applyAlignment="1">
      <alignment horizontal="center" vertical="center"/>
    </xf>
    <xf numFmtId="44" fontId="20" fillId="0" borderId="25" xfId="13" applyFont="1" applyFill="1" applyBorder="1" applyAlignment="1">
      <alignment horizontal="center" vertical="center"/>
    </xf>
    <xf numFmtId="0" fontId="11" fillId="0" borderId="9" xfId="0" applyFont="1" applyFill="1" applyBorder="1" applyAlignment="1">
      <alignment horizontal="left"/>
    </xf>
    <xf numFmtId="14" fontId="11" fillId="0" borderId="9" xfId="0" applyNumberFormat="1" applyFont="1" applyFill="1" applyBorder="1" applyAlignment="1">
      <alignment horizontal="left"/>
    </xf>
    <xf numFmtId="0" fontId="11" fillId="0" borderId="9" xfId="0" applyFont="1" applyFill="1" applyBorder="1"/>
    <xf numFmtId="44" fontId="11" fillId="0" borderId="9" xfId="13" applyNumberFormat="1" applyFont="1" applyFill="1" applyBorder="1"/>
    <xf numFmtId="166" fontId="0" fillId="0" borderId="0" xfId="0" applyNumberFormat="1" applyFill="1"/>
    <xf numFmtId="2" fontId="0" fillId="0" borderId="0" xfId="0" applyNumberFormat="1" applyFill="1"/>
    <xf numFmtId="0" fontId="11" fillId="0" borderId="0" xfId="0" applyFont="1" applyFill="1" applyAlignment="1">
      <alignment horizontal="left"/>
    </xf>
    <xf numFmtId="14" fontId="11" fillId="0" borderId="0" xfId="0" applyNumberFormat="1" applyFont="1" applyFill="1" applyAlignment="1">
      <alignment horizontal="left"/>
    </xf>
    <xf numFmtId="0" fontId="11" fillId="0" borderId="0" xfId="0" applyFont="1" applyFill="1"/>
    <xf numFmtId="44" fontId="11" fillId="0" borderId="0" xfId="13" applyNumberFormat="1" applyFont="1" applyFill="1"/>
    <xf numFmtId="0" fontId="11" fillId="0" borderId="0" xfId="0" applyFont="1" applyFill="1" applyAlignment="1">
      <alignment vertical="top"/>
    </xf>
    <xf numFmtId="0" fontId="11" fillId="0" borderId="0" xfId="0" applyFont="1" applyFill="1" applyBorder="1" applyAlignment="1">
      <alignment horizontal="left"/>
    </xf>
    <xf numFmtId="14" fontId="11" fillId="0" borderId="0" xfId="0" applyNumberFormat="1" applyFont="1" applyFill="1" applyBorder="1" applyAlignment="1">
      <alignment horizontal="left"/>
    </xf>
    <xf numFmtId="0" fontId="11" fillId="0" borderId="0" xfId="0" applyFont="1" applyFill="1" applyBorder="1"/>
    <xf numFmtId="44" fontId="11" fillId="0" borderId="0" xfId="13" applyNumberFormat="1" applyFont="1" applyFill="1" applyBorder="1"/>
    <xf numFmtId="1" fontId="0" fillId="0" borderId="0" xfId="0" applyNumberFormat="1" applyFill="1"/>
    <xf numFmtId="0" fontId="19" fillId="0" borderId="10" xfId="0" applyFont="1" applyFill="1" applyBorder="1" applyAlignment="1">
      <alignment horizontal="left"/>
    </xf>
    <xf numFmtId="0" fontId="19" fillId="0" borderId="10" xfId="0" applyFont="1" applyFill="1" applyBorder="1"/>
    <xf numFmtId="44" fontId="19" fillId="0" borderId="10" xfId="13" applyNumberFormat="1" applyFont="1" applyFill="1" applyBorder="1"/>
    <xf numFmtId="0" fontId="0" fillId="0" borderId="0" xfId="0" applyFill="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0" fontId="7" fillId="0" borderId="0" xfId="0" applyFont="1" applyAlignment="1">
      <alignment horizontal="center"/>
    </xf>
    <xf numFmtId="14" fontId="0" fillId="0" borderId="0" xfId="0" applyNumberFormat="1"/>
    <xf numFmtId="0" fontId="7" fillId="0" borderId="0" xfId="0" applyFont="1" applyAlignment="1">
      <alignment horizontal="center"/>
    </xf>
    <xf numFmtId="44" fontId="7" fillId="9" borderId="4" xfId="13" applyFont="1" applyFill="1" applyBorder="1" applyAlignment="1" applyProtection="1">
      <alignment horizontal="center"/>
      <protection locked="0"/>
    </xf>
    <xf numFmtId="44" fontId="0" fillId="0" borderId="0" xfId="0" applyNumberFormat="1" applyAlignment="1">
      <alignment horizontal="center" vertical="center"/>
    </xf>
    <xf numFmtId="0" fontId="4" fillId="0" borderId="0" xfId="0" applyFont="1" applyAlignment="1">
      <alignment horizontal="center"/>
    </xf>
    <xf numFmtId="0" fontId="7" fillId="0" borderId="0" xfId="0" applyFont="1" applyAlignment="1">
      <alignment horizontal="center"/>
    </xf>
    <xf numFmtId="0" fontId="27" fillId="11" borderId="0" xfId="0" applyFont="1" applyFill="1" applyBorder="1" applyAlignment="1">
      <alignment horizontal="center" vertical="center"/>
    </xf>
    <xf numFmtId="167" fontId="27" fillId="11" borderId="0" xfId="0" applyNumberFormat="1" applyFont="1" applyFill="1" applyBorder="1" applyAlignment="1">
      <alignment horizontal="center" vertical="center"/>
    </xf>
    <xf numFmtId="166" fontId="27" fillId="11" borderId="0" xfId="0" applyNumberFormat="1" applyFont="1" applyFill="1" applyBorder="1" applyAlignment="1">
      <alignment horizontal="center" vertical="center"/>
    </xf>
    <xf numFmtId="44" fontId="27" fillId="11" borderId="0" xfId="0" applyNumberFormat="1" applyFont="1" applyFill="1" applyBorder="1" applyAlignment="1">
      <alignment horizontal="center" vertical="center"/>
    </xf>
    <xf numFmtId="17" fontId="4" fillId="0" borderId="1" xfId="0" applyNumberFormat="1" applyFont="1" applyBorder="1" applyAlignment="1">
      <alignment horizontal="center"/>
    </xf>
    <xf numFmtId="167" fontId="7" fillId="0" borderId="5" xfId="13" applyNumberFormat="1"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167" fontId="20" fillId="0" borderId="28" xfId="13" applyNumberFormat="1" applyFont="1" applyFill="1" applyBorder="1" applyAlignment="1">
      <alignment horizontal="center" vertical="center"/>
    </xf>
    <xf numFmtId="166" fontId="20" fillId="0" borderId="28" xfId="13" applyNumberFormat="1" applyFont="1" applyFill="1" applyBorder="1" applyAlignment="1">
      <alignment horizontal="center" vertical="center"/>
    </xf>
    <xf numFmtId="44" fontId="20" fillId="0" borderId="28" xfId="13" applyFont="1" applyFill="1" applyBorder="1" applyAlignment="1">
      <alignment horizontal="center" vertical="center"/>
    </xf>
    <xf numFmtId="0" fontId="20" fillId="0" borderId="29" xfId="0" applyFont="1" applyFill="1" applyBorder="1" applyAlignment="1">
      <alignment horizontal="center" vertical="center"/>
    </xf>
    <xf numFmtId="0" fontId="20" fillId="0" borderId="30" xfId="0" applyFont="1" applyFill="1" applyBorder="1" applyAlignment="1">
      <alignment horizontal="center" vertical="center"/>
    </xf>
    <xf numFmtId="167" fontId="20" fillId="0" borderId="30" xfId="13" applyNumberFormat="1" applyFont="1" applyFill="1" applyBorder="1" applyAlignment="1">
      <alignment horizontal="center" vertical="center"/>
    </xf>
    <xf numFmtId="166" fontId="20" fillId="0" borderId="30" xfId="13" applyNumberFormat="1" applyFont="1" applyFill="1" applyBorder="1" applyAlignment="1">
      <alignment horizontal="center" vertical="center"/>
    </xf>
    <xf numFmtId="44" fontId="20" fillId="0" borderId="30" xfId="13"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167" fontId="20" fillId="0" borderId="32" xfId="13" applyNumberFormat="1" applyFont="1" applyFill="1" applyBorder="1" applyAlignment="1">
      <alignment horizontal="center" vertical="center"/>
    </xf>
    <xf numFmtId="166" fontId="20" fillId="0" borderId="32" xfId="13" applyNumberFormat="1" applyFont="1" applyFill="1" applyBorder="1" applyAlignment="1">
      <alignment horizontal="center" vertical="center"/>
    </xf>
    <xf numFmtId="44" fontId="20" fillId="0" borderId="32" xfId="13" applyFont="1" applyFill="1" applyBorder="1" applyAlignment="1">
      <alignment horizontal="center" vertical="center"/>
    </xf>
    <xf numFmtId="44" fontId="24" fillId="15" borderId="23" xfId="13" applyFont="1" applyFill="1" applyBorder="1" applyAlignment="1">
      <alignment horizontal="center" vertical="center"/>
    </xf>
    <xf numFmtId="44" fontId="24" fillId="16" borderId="0" xfId="0" applyNumberFormat="1" applyFont="1" applyFill="1" applyBorder="1" applyAlignment="1">
      <alignment horizontal="center" vertical="center"/>
    </xf>
    <xf numFmtId="0" fontId="7" fillId="0" borderId="0" xfId="0" applyFont="1" applyAlignment="1">
      <alignment horizontal="center"/>
    </xf>
    <xf numFmtId="0" fontId="7" fillId="0" borderId="2" xfId="0" applyFont="1" applyBorder="1" applyAlignment="1" applyProtection="1">
      <alignment horizontal="left" wrapText="1"/>
    </xf>
    <xf numFmtId="164" fontId="12" fillId="0" borderId="1" xfId="0" applyNumberFormat="1" applyFont="1" applyBorder="1" applyAlignment="1" applyProtection="1">
      <alignment horizontal="center"/>
      <protection locked="0"/>
    </xf>
    <xf numFmtId="0" fontId="4" fillId="0" borderId="2" xfId="0" applyFont="1" applyBorder="1" applyAlignment="1" applyProtection="1">
      <alignment horizontal="left"/>
      <protection locked="0"/>
    </xf>
    <xf numFmtId="0" fontId="7" fillId="0" borderId="0" xfId="0" applyFont="1" applyAlignment="1" applyProtection="1">
      <alignment horizontal="left"/>
    </xf>
    <xf numFmtId="0" fontId="15"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5" fillId="0" borderId="0" xfId="0" applyFont="1" applyAlignment="1" applyProtection="1">
      <alignment horizontal="center"/>
    </xf>
    <xf numFmtId="0" fontId="7" fillId="0" borderId="0" xfId="0" applyFont="1" applyBorder="1" applyAlignment="1" applyProtection="1">
      <alignment horizontal="right" vertical="top"/>
    </xf>
    <xf numFmtId="0" fontId="8" fillId="0" borderId="0" xfId="0" applyFont="1" applyBorder="1" applyAlignment="1" applyProtection="1">
      <alignment horizontal="right" vertical="top"/>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7" fillId="0" borderId="0" xfId="0" applyFont="1" applyFill="1" applyAlignment="1">
      <alignment wrapText="1"/>
    </xf>
    <xf numFmtId="0" fontId="8" fillId="0" borderId="0" xfId="0" applyFont="1" applyAlignment="1">
      <alignment wrapText="1"/>
    </xf>
    <xf numFmtId="0" fontId="8" fillId="0" borderId="0" xfId="0" applyFont="1" applyFill="1" applyAlignment="1">
      <alignment wrapText="1"/>
    </xf>
    <xf numFmtId="0" fontId="7" fillId="0" borderId="3" xfId="0" applyFont="1" applyBorder="1" applyAlignment="1">
      <alignment horizontal="center"/>
    </xf>
    <xf numFmtId="0" fontId="4" fillId="0" borderId="1" xfId="0" applyFont="1" applyBorder="1" applyAlignment="1" applyProtection="1">
      <alignment horizontal="left"/>
      <protection locked="0"/>
    </xf>
    <xf numFmtId="0" fontId="7" fillId="0" borderId="6" xfId="0" applyFont="1" applyBorder="1" applyAlignment="1" applyProtection="1">
      <alignment horizontal="left"/>
      <protection locked="0"/>
    </xf>
    <xf numFmtId="0" fontId="16" fillId="0" borderId="0" xfId="0" applyFont="1" applyAlignment="1">
      <alignment horizontal="center"/>
    </xf>
    <xf numFmtId="0" fontId="7" fillId="0" borderId="0" xfId="0" applyFont="1" applyAlignment="1">
      <alignment horizontal="center"/>
    </xf>
    <xf numFmtId="44" fontId="11" fillId="0" borderId="0" xfId="13" applyFont="1" applyFill="1"/>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53">
    <dxf>
      <fill>
        <patternFill>
          <bgColor theme="4" tint="0.79998168889431442"/>
        </patternFill>
      </fill>
    </dxf>
    <dxf>
      <font>
        <color theme="0" tint="-0.14996795556505021"/>
      </font>
      <fill>
        <patternFill>
          <bgColor theme="0" tint="-0.499984740745262"/>
        </patternFill>
      </fill>
    </dxf>
    <dxf>
      <fill>
        <patternFill>
          <bgColor theme="4" tint="0.79998168889431442"/>
        </patternFill>
      </fill>
    </dxf>
    <dxf>
      <font>
        <color theme="0" tint="-0.14996795556505021"/>
      </font>
      <fill>
        <patternFill>
          <bgColor theme="0" tint="-0.499984740745262"/>
        </patternFill>
      </fill>
    </dxf>
    <dxf>
      <fill>
        <patternFill>
          <bgColor rgb="FFF9FBFD"/>
        </patternFill>
      </fill>
    </dxf>
    <dxf>
      <font>
        <color theme="0"/>
      </font>
      <fill>
        <patternFill>
          <bgColor theme="0" tint="-0.499984740745262"/>
        </patternFill>
      </fill>
    </dxf>
    <dxf>
      <fill>
        <patternFill>
          <bgColor rgb="FFF9FBFD"/>
        </patternFill>
      </fill>
    </dxf>
    <dxf>
      <font>
        <color theme="0"/>
      </font>
      <fill>
        <patternFill>
          <bgColor theme="0" tint="-0.499984740745262"/>
        </patternFill>
      </fill>
    </dxf>
    <dxf>
      <font>
        <color theme="0" tint="-0.14996795556505021"/>
      </font>
      <fill>
        <patternFill>
          <bgColor theme="0" tint="-0.499984740745262"/>
        </patternFill>
      </fill>
    </dxf>
    <dxf>
      <fill>
        <patternFill>
          <bgColor theme="4" tint="0.7999816888943144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3"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166" formatCode="[$-409]d\-mmm\-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Calibri"/>
        <scheme val="minor"/>
      </font>
      <fill>
        <patternFill patternType="solid">
          <fgColor theme="4"/>
          <bgColor theme="4"/>
        </patternFill>
      </fill>
      <alignment horizontal="center" vertical="center" textRotation="0" wrapText="1" indent="0" justifyLastLine="0" shrinkToFit="0" readingOrder="0"/>
    </dxf>
    <dxf>
      <numFmt numFmtId="2" formatCode="0.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theme="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externalLink" Target="externalLinks/externalLink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2" name="Table2" displayName="Table2" ref="C1:H52" totalsRowShown="0" headerRowDxfId="52" dataDxfId="51">
  <autoFilter ref="C1:H52"/>
  <sortState ref="C2:H52">
    <sortCondition ref="D1:D52"/>
  </sortState>
  <tableColumns count="6">
    <tableColumn id="1" name="Invoice #" dataDxfId="50"/>
    <tableColumn id="2" name="Date" dataDxfId="49"/>
    <tableColumn id="3" name="Milestone/ Line" dataDxfId="48"/>
    <tableColumn id="5" name="Invoice Amount" dataDxfId="47"/>
    <tableColumn id="6" name="Approval Date" dataDxfId="46"/>
    <tableColumn id="4" name="Line" dataDxfId="45"/>
  </tableColumns>
  <tableStyleInfo name="TableStyleMedium1" showFirstColumn="0" showLastColumn="0" showRowStripes="1" showColumnStripes="0"/>
</table>
</file>

<file path=xl/tables/table2.xml><?xml version="1.0" encoding="utf-8"?>
<table xmlns="http://schemas.openxmlformats.org/spreadsheetml/2006/main" id="1" name="CavityStatus" displayName="CavityStatus" ref="C1:O151" totalsRowCount="1" headerRowDxfId="44" dataDxfId="43" tableBorderDxfId="42">
  <autoFilter ref="C1:O1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7" name="Unit #" totalsRowLabel="Total" dataDxfId="41" totalsRowDxfId="40"/>
    <tableColumn id="20" name="Serial #" totalsRowFunction="count" dataDxfId="39" totalsRowDxfId="38"/>
    <tableColumn id="23" name="Incentivized Ship Date" dataDxfId="37" totalsRowDxfId="36"/>
    <tableColumn id="14" name="Actual Ship Date" dataDxfId="35" totalsRowDxfId="34"/>
    <tableColumn id="32" name="Wks +/- Incentive Date" dataDxfId="33" totalsRowDxfId="32">
      <calculatedColumnFormula>IF(CavityStatus[[#This Row],[Actual Ship Date]]&lt;&gt;0,($F2-$E2)/7,0)</calculatedColumnFormula>
    </tableColumn>
    <tableColumn id="24" name="Incentive Available" totalsRowFunction="sum" dataDxfId="31" totalsRowDxfId="30" dataCellStyle="Currency"/>
    <tableColumn id="33" name="Incentive Earned" totalsRowFunction="sum" dataDxfId="29" totalsRowDxfId="28" dataCellStyle="Currency">
      <calculatedColumnFormula>IF($G2&gt;0,$H2-($G2*200),$H2)</calculatedColumnFormula>
    </tableColumn>
    <tableColumn id="27" name="Receipt Date" dataDxfId="27" totalsRowDxfId="26" dataCellStyle="Currency"/>
    <tableColumn id="1" name="Recipe Modification (Mod 9)" totalsRowFunction="sum" dataDxfId="25" totalsRowDxfId="24" dataCellStyle="Currency"/>
    <tableColumn id="2" name="Caps            _x000a_ (Mod 10)" totalsRowFunction="sum" dataDxfId="23" totalsRowDxfId="22" dataCellStyle="Currency">
      <calculatedColumnFormula>57800/113</calculatedColumnFormula>
    </tableColumn>
    <tableColumn id="31" name="Milestone" totalsRowFunction="sum" dataDxfId="21" totalsRowDxfId="20" dataCellStyle="Currency">
      <calculatedColumnFormula>RICavMilestoneVal</calculatedColumnFormula>
    </tableColumn>
    <tableColumn id="16" name="Total" totalsRowFunction="sum" totalsRowDxfId="19" dataCellStyle="Currency">
      <calculatedColumnFormula>RICavMilestoneVal+CavityStatus[[#This Row],[Incentive Earned]]+CavityStatus[[#This Row],[Recipe Modification (Mod 9)]]+L2</calculatedColumnFormula>
    </tableColumn>
    <tableColumn id="19" name="Accept Date" dataDxfId="18" totalsRowDxfId="17" dataCellStyle="Currency"/>
  </tableColumns>
  <tableStyleInfo name="TableStyleMedium1" showFirstColumn="0" showLastColumn="0" showRowStripes="1" showColumnStripes="0"/>
</table>
</file>

<file path=xl/tables/table3.xml><?xml version="1.0" encoding="utf-8"?>
<table xmlns="http://schemas.openxmlformats.org/spreadsheetml/2006/main" id="3" name="IncentiveTable" displayName="IncentiveTable" ref="A1:C134" totalsRowShown="0" headerRowDxfId="16">
  <autoFilter ref="A1:C134"/>
  <sortState ref="A2:C134">
    <sortCondition ref="A1:A134"/>
  </sortState>
  <tableColumns count="3">
    <tableColumn id="1" name="Cavity"/>
    <tableColumn id="2" name="Incentive Date" dataDxfId="15"/>
    <tableColumn id="3" name="Incentive" dataDxfId="14"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A8" sqref="A8"/>
    </sheetView>
  </sheetViews>
  <sheetFormatPr defaultColWidth="9.109375" defaultRowHeight="13.2" x14ac:dyDescent="0.25"/>
  <cols>
    <col min="1" max="1" width="8.6640625" style="4" customWidth="1"/>
    <col min="2" max="2" width="3.6640625" style="4" customWidth="1"/>
    <col min="3" max="3" width="9.88671875" style="9" customWidth="1"/>
    <col min="4" max="4" width="3.33203125" style="4" customWidth="1"/>
    <col min="5" max="5" width="7.88671875" style="9" customWidth="1"/>
    <col min="6" max="6" width="3.6640625" style="4" customWidth="1"/>
    <col min="7" max="7" width="9.109375" style="4" customWidth="1"/>
    <col min="8" max="8" width="10.44140625" style="4" customWidth="1"/>
    <col min="9" max="9" width="3.6640625" style="4" customWidth="1"/>
    <col min="10" max="10" width="14.5546875" style="4" customWidth="1"/>
    <col min="11" max="11" width="10.109375" style="4" bestFit="1" customWidth="1"/>
    <col min="12" max="12" width="13" style="4" customWidth="1"/>
    <col min="13" max="15" width="9.109375" style="4"/>
    <col min="16" max="16" width="11" style="4" bestFit="1" customWidth="1"/>
    <col min="17" max="16384" width="9.109375" style="4"/>
  </cols>
  <sheetData>
    <row r="1" spans="1:12" ht="15.6" x14ac:dyDescent="0.3">
      <c r="A1" s="287" t="s">
        <v>4</v>
      </c>
      <c r="B1" s="287"/>
      <c r="C1" s="287"/>
      <c r="D1" s="287"/>
      <c r="E1" s="287"/>
      <c r="F1" s="287"/>
      <c r="G1" s="287"/>
      <c r="H1" s="287"/>
      <c r="I1" s="287"/>
      <c r="J1" s="287"/>
      <c r="K1" s="287"/>
      <c r="L1" s="287"/>
    </row>
    <row r="2" spans="1:12" ht="15.6" x14ac:dyDescent="0.3">
      <c r="A2" s="287" t="s">
        <v>34</v>
      </c>
      <c r="B2" s="287"/>
      <c r="C2" s="287"/>
      <c r="D2" s="287"/>
      <c r="E2" s="287"/>
      <c r="F2" s="287"/>
      <c r="G2" s="287"/>
      <c r="H2" s="287"/>
      <c r="I2" s="287"/>
      <c r="J2" s="287"/>
      <c r="K2" s="287"/>
      <c r="L2" s="287"/>
    </row>
    <row r="3" spans="1:12" ht="15.6" x14ac:dyDescent="0.3">
      <c r="A3" s="287" t="s">
        <v>18</v>
      </c>
      <c r="B3" s="287"/>
      <c r="C3" s="287"/>
      <c r="D3" s="287"/>
      <c r="E3" s="287"/>
      <c r="F3" s="287"/>
      <c r="G3" s="287"/>
      <c r="H3" s="287"/>
      <c r="I3" s="287"/>
      <c r="J3" s="287"/>
      <c r="K3" s="287"/>
      <c r="L3" s="287"/>
    </row>
    <row r="4" spans="1:12" ht="23.25" customHeight="1" x14ac:dyDescent="0.25">
      <c r="A4" s="283" t="s">
        <v>0</v>
      </c>
      <c r="B4" s="283"/>
      <c r="C4" s="284" t="str">
        <f>IF(' Accting USE Data Entry Form'!U5&gt;0,' Accting USE Data Entry Form'!U5,"")</f>
        <v>RI Research Instruments</v>
      </c>
      <c r="D4" s="284"/>
      <c r="E4" s="284"/>
      <c r="F4" s="284"/>
      <c r="G4" s="284"/>
      <c r="H4" s="284"/>
      <c r="I4" s="5"/>
      <c r="J4" s="6"/>
      <c r="K4" s="7" t="s">
        <v>28</v>
      </c>
      <c r="L4" s="43"/>
    </row>
    <row r="5" spans="1:12" ht="20.399999999999999" customHeight="1" x14ac:dyDescent="0.25">
      <c r="A5" s="4" t="s">
        <v>2</v>
      </c>
      <c r="B5" s="5"/>
      <c r="C5" s="282" t="str">
        <f>IF(' Accting USE Data Entry Form'!U7&gt;0,' Accting USE Data Entry Form'!U7,"")</f>
        <v>15-C0587</v>
      </c>
      <c r="D5" s="282"/>
      <c r="E5" s="282"/>
      <c r="F5" s="17"/>
      <c r="G5" s="36" t="s">
        <v>41</v>
      </c>
      <c r="H5" s="1" t="str">
        <f>IF(' Accting USE Data Entry Form'!U8&gt;0,' Accting USE Data Entry Form'!U8,"")</f>
        <v>Fitzpatrick</v>
      </c>
      <c r="I5" s="37"/>
      <c r="J5" s="8" t="s">
        <v>45</v>
      </c>
      <c r="K5" s="281">
        <f>' Accting USE Data Entry Form'!AE5</f>
        <v>42855</v>
      </c>
      <c r="L5" s="281"/>
    </row>
    <row r="6" spans="1:12" x14ac:dyDescent="0.25">
      <c r="K6" s="9" t="s">
        <v>21</v>
      </c>
    </row>
    <row r="7" spans="1:12" s="11" customFormat="1" ht="34.5" customHeight="1" x14ac:dyDescent="0.25">
      <c r="A7" s="10" t="s">
        <v>1</v>
      </c>
      <c r="C7" s="34" t="s">
        <v>5</v>
      </c>
      <c r="D7" s="38"/>
      <c r="E7" s="39" t="s">
        <v>42</v>
      </c>
      <c r="G7" s="31" t="s">
        <v>33</v>
      </c>
      <c r="H7" s="12"/>
      <c r="I7" s="13"/>
      <c r="J7" s="13"/>
      <c r="K7" s="13"/>
      <c r="L7" s="13"/>
    </row>
    <row r="8" spans="1:12" ht="13.2" customHeight="1" x14ac:dyDescent="0.25">
      <c r="A8" s="247">
        <v>1</v>
      </c>
      <c r="C8" s="248">
        <f>IF(' Accting USE Data Entry Form'!U11&gt;0,' Accting USE Data Entry Form'!U11,0)</f>
        <v>1</v>
      </c>
      <c r="D8" s="44"/>
      <c r="E8" s="153" t="str">
        <f>IF($L$4="yes","X"," ")</f>
        <v xml:space="preserve"> </v>
      </c>
      <c r="G8" s="280" t="str">
        <f>IF(' Accting USE Data Entry Form'!B11&gt;0,' Accting USE Data Entry Form'!B11,"")</f>
        <v>Proof of equipment order furnace uprade</v>
      </c>
      <c r="H8" s="280"/>
      <c r="I8" s="280"/>
      <c r="J8" s="280"/>
      <c r="K8" s="280"/>
      <c r="L8" s="280"/>
    </row>
    <row r="9" spans="1:12" ht="13.2" customHeight="1" x14ac:dyDescent="0.25">
      <c r="A9" s="247">
        <v>2</v>
      </c>
      <c r="C9" s="248">
        <f>IF(' Accting USE Data Entry Form'!U12&gt;0,' Accting USE Data Entry Form'!U12,0)</f>
        <v>1</v>
      </c>
      <c r="D9" s="45"/>
      <c r="E9" s="153" t="str">
        <f>IF($L$4="yes","X"," ")</f>
        <v xml:space="preserve"> </v>
      </c>
      <c r="G9" s="280" t="str">
        <f>IF(' Accting USE Data Entry Form'!B12&gt;0,' Accting USE Data Entry Form'!B12,"")</f>
        <v>Proof of completed furnace uprade</v>
      </c>
      <c r="H9" s="280"/>
      <c r="I9" s="280"/>
      <c r="J9" s="280"/>
      <c r="K9" s="280"/>
      <c r="L9" s="280"/>
    </row>
    <row r="10" spans="1:12" ht="13.2" customHeight="1" x14ac:dyDescent="0.25">
      <c r="A10" s="247">
        <v>3</v>
      </c>
      <c r="C10" s="248">
        <f>IF(' Accting USE Data Entry Form'!U13&gt;0,' Accting USE Data Entry Form'!U13,0)</f>
        <v>1</v>
      </c>
      <c r="D10" s="45"/>
      <c r="E10" s="153" t="str">
        <f>IF($L$4="yes","X"," ")</f>
        <v xml:space="preserve"> </v>
      </c>
      <c r="G10" s="280" t="str">
        <f>IF(' Accting USE Data Entry Form'!B13&gt;0,' Accting USE Data Entry Form'!B13,"")</f>
        <v>Acceptance of Ni doping process - Cav 1 (of 2)</v>
      </c>
      <c r="H10" s="280"/>
      <c r="I10" s="280"/>
      <c r="J10" s="280"/>
      <c r="K10" s="280"/>
      <c r="L10" s="280"/>
    </row>
    <row r="11" spans="1:12" ht="13.2" customHeight="1" x14ac:dyDescent="0.25">
      <c r="A11" s="247">
        <v>4</v>
      </c>
      <c r="C11" s="248">
        <f>IF(' Accting USE Data Entry Form'!U14&gt;0,' Accting USE Data Entry Form'!U14,0)</f>
        <v>1</v>
      </c>
      <c r="D11" s="45"/>
      <c r="E11" s="153"/>
      <c r="G11" s="280" t="str">
        <f>IF(' Accting USE Data Entry Form'!B14&gt;0,' Accting USE Data Entry Form'!B14,"")</f>
        <v>Acceptance of Ni doping process - Cav 2 (of 2)</v>
      </c>
      <c r="H11" s="280"/>
      <c r="I11" s="280"/>
      <c r="J11" s="280"/>
      <c r="K11" s="280"/>
      <c r="L11" s="280"/>
    </row>
    <row r="12" spans="1:12" ht="13.2" customHeight="1" x14ac:dyDescent="0.25">
      <c r="A12" s="247">
        <v>5</v>
      </c>
      <c r="C12" s="248">
        <f>IF(' Accting USE Data Entry Form'!U15&gt;0,' Accting USE Data Entry Form'!U15,0)</f>
        <v>1</v>
      </c>
      <c r="D12" s="45"/>
      <c r="E12" s="153"/>
      <c r="G12" s="280" t="str">
        <f>IF(' Accting USE Data Entry Form'!B15&gt;0,' Accting USE Data Entry Form'!B15,"")</f>
        <v>PH II: Mfg Drawings Accepted by JLab</v>
      </c>
      <c r="H12" s="280"/>
      <c r="I12" s="280"/>
      <c r="J12" s="280"/>
      <c r="K12" s="280"/>
      <c r="L12" s="280"/>
    </row>
    <row r="13" spans="1:12" ht="13.2" customHeight="1" x14ac:dyDescent="0.25">
      <c r="A13" s="247">
        <v>6</v>
      </c>
      <c r="C13" s="248">
        <f>IF(' Accting USE Data Entry Form'!U16&gt;0,' Accting USE Data Entry Form'!U16,0)</f>
        <v>1</v>
      </c>
      <c r="D13" s="45"/>
      <c r="E13" s="153"/>
      <c r="G13" s="280" t="str">
        <f>IF(' Accting USE Data Entry Form'!B16&gt;0,' Accting USE Data Entry Form'!B16,"")</f>
        <v>PH II: FAs Mech Pre-fab (Deep Draw)</v>
      </c>
      <c r="H13" s="280"/>
      <c r="I13" s="280"/>
      <c r="J13" s="280"/>
      <c r="K13" s="280"/>
      <c r="L13" s="280"/>
    </row>
    <row r="14" spans="1:12" ht="13.2" customHeight="1" x14ac:dyDescent="0.25">
      <c r="A14" s="247">
        <v>7</v>
      </c>
      <c r="C14" s="248">
        <f>IF(' Accting USE Data Entry Form'!U17&gt;0,' Accting USE Data Entry Form'!U17,0)</f>
        <v>1</v>
      </c>
      <c r="D14" s="45"/>
      <c r="E14" s="153"/>
      <c r="G14" s="280" t="str">
        <f>IF(' Accting USE Data Entry Form'!B17&gt;0,' Accting USE Data Entry Form'!B17,"")</f>
        <v xml:space="preserve">PH III: Mech Pre-Fab Cavities (9-72) </v>
      </c>
      <c r="H14" s="280"/>
      <c r="I14" s="280"/>
      <c r="J14" s="280"/>
      <c r="K14" s="280"/>
      <c r="L14" s="280"/>
    </row>
    <row r="15" spans="1:12" ht="13.2" customHeight="1" x14ac:dyDescent="0.25">
      <c r="A15" s="247">
        <v>8</v>
      </c>
      <c r="C15" s="248">
        <f>IF(' Accting USE Data Entry Form'!U18&gt;0,' Accting USE Data Entry Form'!U18,0)</f>
        <v>1</v>
      </c>
      <c r="D15" s="45"/>
      <c r="E15" s="153"/>
      <c r="G15" s="280" t="str">
        <f>IF(' Accting USE Data Entry Form'!B18&gt;0,' Accting USE Data Entry Form'!B18,"")</f>
        <v xml:space="preserve">PH III: Mech Pre-Fab Cavities (73-133) </v>
      </c>
      <c r="H15" s="280"/>
      <c r="I15" s="280"/>
      <c r="J15" s="280"/>
      <c r="K15" s="280"/>
      <c r="L15" s="280"/>
    </row>
    <row r="16" spans="1:12" ht="13.2" customHeight="1" x14ac:dyDescent="0.25">
      <c r="A16" s="247">
        <v>9</v>
      </c>
      <c r="C16" s="248">
        <f>IF(' Accting USE Data Entry Form'!U19&gt;0,' Accting USE Data Entry Form'!U19,0)</f>
        <v>1</v>
      </c>
      <c r="D16" s="45"/>
      <c r="E16" s="153"/>
      <c r="G16" s="280" t="str">
        <f>IF(' Accting USE Data Entry Form'!B19&gt;0,' Accting USE Data Entry Form'!B19,"")</f>
        <v xml:space="preserve">PH II: First Articles Deliver &amp; Accept (1-8) </v>
      </c>
      <c r="H16" s="280"/>
      <c r="I16" s="280"/>
      <c r="J16" s="280"/>
      <c r="K16" s="280"/>
      <c r="L16" s="280"/>
    </row>
    <row r="17" spans="1:12" ht="13.2" customHeight="1" x14ac:dyDescent="0.25">
      <c r="A17" s="247">
        <v>10</v>
      </c>
      <c r="C17" s="248">
        <f>IF(' Accting USE Data Entry Form'!U20&gt;0,' Accting USE Data Entry Form'!U20,0)</f>
        <v>1</v>
      </c>
      <c r="D17" s="45"/>
      <c r="E17" s="153"/>
      <c r="G17" s="280" t="str">
        <f>IF(' Accting USE Data Entry Form'!B20&gt;0,' Accting USE Data Entry Form'!B20,"")</f>
        <v>PH III:  Deliver &amp; Accept  Cavities (9-12)</v>
      </c>
      <c r="H17" s="280"/>
      <c r="I17" s="280"/>
      <c r="J17" s="280"/>
      <c r="K17" s="280"/>
      <c r="L17" s="280"/>
    </row>
    <row r="18" spans="1:12" ht="13.2" customHeight="1" x14ac:dyDescent="0.25">
      <c r="A18" s="247">
        <v>11</v>
      </c>
      <c r="C18" s="248">
        <f>IF(' Accting USE Data Entry Form'!U21&gt;0,' Accting USE Data Entry Form'!U21,0)</f>
        <v>1</v>
      </c>
      <c r="D18" s="45"/>
      <c r="E18" s="153"/>
      <c r="G18" s="280" t="str">
        <f>IF(' Accting USE Data Entry Form'!B21&gt;0,' Accting USE Data Entry Form'!B21,"")</f>
        <v>PH III:  Deliver &amp; Accept  Cavities (13-16)</v>
      </c>
      <c r="H18" s="280"/>
      <c r="I18" s="280"/>
      <c r="J18" s="280"/>
      <c r="K18" s="280"/>
      <c r="L18" s="280"/>
    </row>
    <row r="19" spans="1:12" ht="13.2" customHeight="1" x14ac:dyDescent="0.25">
      <c r="A19" s="247">
        <v>12</v>
      </c>
      <c r="C19" s="248">
        <f>IF(' Accting USE Data Entry Form'!U22&gt;0,' Accting USE Data Entry Form'!U22,0)</f>
        <v>1</v>
      </c>
      <c r="D19" s="45"/>
      <c r="E19" s="153"/>
      <c r="G19" s="280" t="str">
        <f>IF(' Accting USE Data Entry Form'!B22&gt;0,' Accting USE Data Entry Form'!B22,"")</f>
        <v>PH III:  Deliver &amp; Accept  Cavities (17-20)</v>
      </c>
      <c r="H19" s="280"/>
      <c r="I19" s="280"/>
      <c r="J19" s="280"/>
      <c r="K19" s="280"/>
      <c r="L19" s="280"/>
    </row>
    <row r="20" spans="1:12" ht="13.2" customHeight="1" x14ac:dyDescent="0.25">
      <c r="A20" s="247">
        <v>13</v>
      </c>
      <c r="C20" s="248">
        <f>IF(' Accting USE Data Entry Form'!U23&gt;0,' Accting USE Data Entry Form'!U23,0)</f>
        <v>1</v>
      </c>
      <c r="D20" s="45"/>
      <c r="E20" s="153"/>
      <c r="G20" s="280" t="str">
        <f>IF(' Accting USE Data Entry Form'!B23&gt;0,' Accting USE Data Entry Form'!B23,"")</f>
        <v>PH III:  Deliver &amp; Accept  Cavities (21-24)</v>
      </c>
      <c r="H20" s="280"/>
      <c r="I20" s="280"/>
      <c r="J20" s="280"/>
      <c r="K20" s="280"/>
      <c r="L20" s="280"/>
    </row>
    <row r="21" spans="1:12" ht="13.2" customHeight="1" x14ac:dyDescent="0.25">
      <c r="A21" s="247">
        <v>14</v>
      </c>
      <c r="C21" s="248">
        <f>IF(' Accting USE Data Entry Form'!U24&gt;0,' Accting USE Data Entry Form'!U24,0)</f>
        <v>1</v>
      </c>
      <c r="D21" s="45"/>
      <c r="E21" s="153"/>
      <c r="G21" s="280" t="str">
        <f>IF(' Accting USE Data Entry Form'!B24&gt;0,' Accting USE Data Entry Form'!B24,"")</f>
        <v>PH III:  Deliver &amp; Accept  Cavities (25-28)</v>
      </c>
      <c r="H21" s="280"/>
      <c r="I21" s="280"/>
      <c r="J21" s="280"/>
      <c r="K21" s="280"/>
      <c r="L21" s="280"/>
    </row>
    <row r="22" spans="1:12" ht="13.2" customHeight="1" x14ac:dyDescent="0.25">
      <c r="A22" s="247">
        <v>15</v>
      </c>
      <c r="C22" s="248">
        <f>IF(' Accting USE Data Entry Form'!U25&gt;0,' Accting USE Data Entry Form'!U25,0)</f>
        <v>1</v>
      </c>
      <c r="D22" s="45"/>
      <c r="E22" s="153"/>
      <c r="G22" s="280" t="str">
        <f>IF(' Accting USE Data Entry Form'!B25&gt;0,' Accting USE Data Entry Form'!B25,"")</f>
        <v>PH III:  Deliver &amp; Accept  Cavities (29-32)</v>
      </c>
      <c r="H22" s="280"/>
      <c r="I22" s="280"/>
      <c r="J22" s="280"/>
      <c r="K22" s="280"/>
      <c r="L22" s="280"/>
    </row>
    <row r="23" spans="1:12" ht="13.2" customHeight="1" x14ac:dyDescent="0.25">
      <c r="A23" s="247">
        <v>16</v>
      </c>
      <c r="C23" s="248">
        <f>IF(' Accting USE Data Entry Form'!U26&gt;0,' Accting USE Data Entry Form'!U26,0)</f>
        <v>1</v>
      </c>
      <c r="D23" s="45"/>
      <c r="E23" s="153"/>
      <c r="G23" s="280" t="str">
        <f>IF(' Accting USE Data Entry Form'!B26&gt;0,' Accting USE Data Entry Form'!B26,"")</f>
        <v>PH III:  Deliver &amp; Accept  Cavities (33-36)</v>
      </c>
      <c r="H23" s="280"/>
      <c r="I23" s="280"/>
      <c r="J23" s="280"/>
      <c r="K23" s="280"/>
      <c r="L23" s="280"/>
    </row>
    <row r="24" spans="1:12" ht="13.2" customHeight="1" x14ac:dyDescent="0.25">
      <c r="A24" s="247">
        <v>17</v>
      </c>
      <c r="C24" s="248">
        <f>IF(' Accting USE Data Entry Form'!U27&gt;0,' Accting USE Data Entry Form'!U27,0)</f>
        <v>1</v>
      </c>
      <c r="D24" s="45"/>
      <c r="E24" s="153"/>
      <c r="G24" s="280" t="str">
        <f>IF(' Accting USE Data Entry Form'!B27&gt;0,' Accting USE Data Entry Form'!B27,"")</f>
        <v>PH III:  Deliver &amp; Accept  Cavities (37-40)</v>
      </c>
      <c r="H24" s="280"/>
      <c r="I24" s="280"/>
      <c r="J24" s="280"/>
      <c r="K24" s="280"/>
      <c r="L24" s="280"/>
    </row>
    <row r="25" spans="1:12" ht="13.2" customHeight="1" x14ac:dyDescent="0.25">
      <c r="A25" s="247">
        <v>18</v>
      </c>
      <c r="C25" s="248">
        <f>IF(' Accting USE Data Entry Form'!U28&gt;0,' Accting USE Data Entry Form'!U28,0)</f>
        <v>1</v>
      </c>
      <c r="D25" s="45"/>
      <c r="E25" s="153"/>
      <c r="G25" s="280" t="str">
        <f>IF(' Accting USE Data Entry Form'!B28&gt;0,' Accting USE Data Entry Form'!B28,"")</f>
        <v>PH III:  Deliver &amp; Accept  Cavities (41-44)</v>
      </c>
      <c r="H25" s="280"/>
      <c r="I25" s="280"/>
      <c r="J25" s="280"/>
      <c r="K25" s="280"/>
      <c r="L25" s="280"/>
    </row>
    <row r="26" spans="1:12" ht="13.2" customHeight="1" x14ac:dyDescent="0.25">
      <c r="A26" s="247">
        <v>19</v>
      </c>
      <c r="C26" s="248">
        <f>IF(' Accting USE Data Entry Form'!U29&gt;0,' Accting USE Data Entry Form'!U29,0)</f>
        <v>1</v>
      </c>
      <c r="D26" s="45"/>
      <c r="E26" s="153"/>
      <c r="G26" s="280" t="str">
        <f>IF(' Accting USE Data Entry Form'!B29&gt;0,' Accting USE Data Entry Form'!B29,"")</f>
        <v>PH III:  Deliver &amp; Accept  Cavities (45-48)</v>
      </c>
      <c r="H26" s="280"/>
      <c r="I26" s="280"/>
      <c r="J26" s="280"/>
      <c r="K26" s="280"/>
      <c r="L26" s="280"/>
    </row>
    <row r="27" spans="1:12" ht="13.2" customHeight="1" x14ac:dyDescent="0.25">
      <c r="A27" s="247">
        <v>20</v>
      </c>
      <c r="C27" s="248">
        <f>IF(' Accting USE Data Entry Form'!U30&gt;0,' Accting USE Data Entry Form'!U30,0)</f>
        <v>1</v>
      </c>
      <c r="D27" s="45"/>
      <c r="E27" s="153"/>
      <c r="G27" s="280" t="str">
        <f>IF(' Accting USE Data Entry Form'!B30&gt;0,' Accting USE Data Entry Form'!B30,"")</f>
        <v>PH III:  Deliver &amp; Accept  Cavities (49-52)</v>
      </c>
      <c r="H27" s="280"/>
      <c r="I27" s="280"/>
      <c r="J27" s="280"/>
      <c r="K27" s="280"/>
      <c r="L27" s="280"/>
    </row>
    <row r="28" spans="1:12" ht="13.2" customHeight="1" x14ac:dyDescent="0.25">
      <c r="A28" s="247">
        <v>21</v>
      </c>
      <c r="C28" s="248">
        <f>IF(' Accting USE Data Entry Form'!U31&gt;0,' Accting USE Data Entry Form'!U31,0)</f>
        <v>1</v>
      </c>
      <c r="D28" s="45"/>
      <c r="E28" s="153"/>
      <c r="G28" s="280" t="str">
        <f>IF(' Accting USE Data Entry Form'!B31&gt;0,' Accting USE Data Entry Form'!B31,"")</f>
        <v>MOD 002: DESY Equip Refurbishment</v>
      </c>
      <c r="H28" s="280"/>
      <c r="I28" s="280"/>
      <c r="J28" s="280"/>
      <c r="K28" s="280"/>
      <c r="L28" s="280"/>
    </row>
    <row r="29" spans="1:12" ht="13.2" customHeight="1" x14ac:dyDescent="0.25">
      <c r="A29" s="247">
        <v>22</v>
      </c>
      <c r="C29" s="248">
        <f>IF(' Accting USE Data Entry Form'!U32&gt;0,' Accting USE Data Entry Form'!U32,0)</f>
        <v>0.30401746619446235</v>
      </c>
      <c r="D29" s="45"/>
      <c r="E29" s="153"/>
      <c r="G29" s="280" t="str">
        <f>IF(' Accting USE Data Entry Form'!B32&gt;0,' Accting USE Data Entry Form'!B32,"")</f>
        <v xml:space="preserve">MOD 002: DESY Equip Service &amp; Support Costs  </v>
      </c>
      <c r="H29" s="280"/>
      <c r="I29" s="280"/>
      <c r="J29" s="280"/>
      <c r="K29" s="280"/>
      <c r="L29" s="280"/>
    </row>
    <row r="30" spans="1:12" ht="13.2" customHeight="1" x14ac:dyDescent="0.25">
      <c r="A30" s="247">
        <v>23</v>
      </c>
      <c r="C30" s="248">
        <f>IF(' Accting USE Data Entry Form'!U33&gt;0,' Accting USE Data Entry Form'!U33,0)</f>
        <v>0.97727272727269998</v>
      </c>
      <c r="D30" s="45"/>
      <c r="E30" s="153"/>
      <c r="G30" s="280" t="str">
        <f>IF(' Accting USE Data Entry Form'!B33&gt;0,' Accting USE Data Entry Form'!B33,"")</f>
        <v>MOD 003: Accel Shipment (1-16) Incentives (Max of $323,136)</v>
      </c>
      <c r="H30" s="280"/>
      <c r="I30" s="280"/>
      <c r="J30" s="280"/>
      <c r="K30" s="280"/>
      <c r="L30" s="280"/>
    </row>
    <row r="31" spans="1:12" ht="13.2" customHeight="1" x14ac:dyDescent="0.25">
      <c r="A31" s="247">
        <v>24</v>
      </c>
      <c r="C31" s="248">
        <f>IF(' Accting USE Data Entry Form'!U34&gt;0,' Accting USE Data Entry Form'!U34,0)</f>
        <v>0.74009096784405459</v>
      </c>
      <c r="D31" s="45"/>
      <c r="E31" s="153"/>
      <c r="G31" s="280" t="str">
        <f>IF(' Accting USE Data Entry Form'!B34&gt;0,' Accting USE Data Entry Form'!B34,"")</f>
        <v>MOD 004: Incentives for Accelerated Production Deliveries</v>
      </c>
      <c r="H31" s="280"/>
      <c r="I31" s="280"/>
      <c r="J31" s="280"/>
      <c r="K31" s="280"/>
      <c r="L31" s="280"/>
    </row>
    <row r="32" spans="1:12" ht="13.2" customHeight="1" x14ac:dyDescent="0.25">
      <c r="A32" s="247">
        <v>25</v>
      </c>
      <c r="C32" s="248">
        <f>IF(' Accting USE Data Entry Form'!U35&gt;0,' Accting USE Data Entry Form'!U35,0)</f>
        <v>0.6875</v>
      </c>
      <c r="D32" s="45"/>
      <c r="E32" s="153"/>
      <c r="G32" s="280" t="str">
        <f>IF(' Accting USE Data Entry Form'!B35&gt;0,' Accting USE Data Entry Form'!B35,"")</f>
        <v>MOD 005: DESY Equipment Lease ($9,200/ month)</v>
      </c>
      <c r="H32" s="280"/>
      <c r="I32" s="280"/>
      <c r="J32" s="280"/>
      <c r="K32" s="280"/>
      <c r="L32" s="280"/>
    </row>
    <row r="33" spans="1:12" ht="13.2" customHeight="1" x14ac:dyDescent="0.25">
      <c r="A33" s="247">
        <v>26</v>
      </c>
      <c r="C33" s="248">
        <f>IF(' Accting USE Data Entry Form'!U36&gt;0,' Accting USE Data Entry Form'!U36,0)</f>
        <v>1</v>
      </c>
      <c r="D33" s="45"/>
      <c r="E33" s="153"/>
      <c r="G33" s="280" t="str">
        <f>IF(' Accting USE Data Entry Form'!B36&gt;0,' Accting USE Data Entry Form'!B36,"")</f>
        <v>PH III:  Deliver &amp; Accept  Cavities (53-56)</v>
      </c>
      <c r="H33" s="280"/>
      <c r="I33" s="280"/>
      <c r="J33" s="280"/>
      <c r="K33" s="280"/>
      <c r="L33" s="280"/>
    </row>
    <row r="34" spans="1:12" ht="13.2" customHeight="1" x14ac:dyDescent="0.25">
      <c r="A34" s="247">
        <v>27</v>
      </c>
      <c r="C34" s="248">
        <f>IF(' Accting USE Data Entry Form'!U37&gt;0,' Accting USE Data Entry Form'!U37,0)</f>
        <v>1</v>
      </c>
      <c r="D34" s="45"/>
      <c r="E34" s="153"/>
      <c r="G34" s="280" t="str">
        <f>IF(' Accting USE Data Entry Form'!B37&gt;0,' Accting USE Data Entry Form'!B37,"")</f>
        <v>PH III:  Deliver &amp; Accept  Cavities (57-60)</v>
      </c>
      <c r="H34" s="280"/>
      <c r="I34" s="280"/>
      <c r="J34" s="280"/>
      <c r="K34" s="280"/>
      <c r="L34" s="280"/>
    </row>
    <row r="35" spans="1:12" ht="13.2" customHeight="1" x14ac:dyDescent="0.25">
      <c r="A35" s="247">
        <v>28</v>
      </c>
      <c r="C35" s="248">
        <f>IF(' Accting USE Data Entry Form'!U38&gt;0,' Accting USE Data Entry Form'!U38,0)</f>
        <v>1</v>
      </c>
      <c r="D35" s="45"/>
      <c r="E35" s="153"/>
      <c r="G35" s="280" t="str">
        <f>IF(' Accting USE Data Entry Form'!B38&gt;0,' Accting USE Data Entry Form'!B38,"")</f>
        <v>PH III:  Deliver &amp; Accept  Cavities (61-64)</v>
      </c>
      <c r="H35" s="280"/>
      <c r="I35" s="280"/>
      <c r="J35" s="280"/>
      <c r="K35" s="280"/>
      <c r="L35" s="280"/>
    </row>
    <row r="36" spans="1:12" ht="13.2" customHeight="1" x14ac:dyDescent="0.25">
      <c r="A36" s="247">
        <v>29</v>
      </c>
      <c r="C36" s="248">
        <f>IF(' Accting USE Data Entry Form'!U39&gt;0,' Accting USE Data Entry Form'!U39,0)</f>
        <v>1</v>
      </c>
      <c r="D36" s="45"/>
      <c r="E36" s="153"/>
      <c r="G36" s="280" t="str">
        <f>IF(' Accting USE Data Entry Form'!B39&gt;0,' Accting USE Data Entry Form'!B39,"")</f>
        <v>PH III:  Deliver &amp; Accept  Cavities (65-68)</v>
      </c>
      <c r="H36" s="280"/>
      <c r="I36" s="280"/>
      <c r="J36" s="280"/>
      <c r="K36" s="280"/>
      <c r="L36" s="280"/>
    </row>
    <row r="37" spans="1:12" ht="13.2" customHeight="1" x14ac:dyDescent="0.25">
      <c r="A37" s="247">
        <v>30</v>
      </c>
      <c r="C37" s="248">
        <f>IF(' Accting USE Data Entry Form'!U40&gt;0,' Accting USE Data Entry Form'!U40,0)</f>
        <v>1</v>
      </c>
      <c r="D37" s="45"/>
      <c r="E37" s="153" t="str">
        <f>IF($L$4="yes","X"," ")</f>
        <v xml:space="preserve"> </v>
      </c>
      <c r="G37" s="280" t="str">
        <f>IF(' Accting USE Data Entry Form'!B40&gt;0,' Accting USE Data Entry Form'!B40,"")</f>
        <v>PH III:  Deliver &amp; Accept  Cavities (69-72)</v>
      </c>
      <c r="H37" s="280"/>
      <c r="I37" s="280"/>
      <c r="J37" s="280"/>
      <c r="K37" s="280"/>
      <c r="L37" s="280"/>
    </row>
    <row r="38" spans="1:12" ht="13.2" customHeight="1" x14ac:dyDescent="0.25">
      <c r="A38" s="247">
        <v>31</v>
      </c>
      <c r="C38" s="248">
        <f>IF(' Accting USE Data Entry Form'!U41&gt;0,' Accting USE Data Entry Form'!U41,0)</f>
        <v>0.25</v>
      </c>
      <c r="D38" s="45"/>
      <c r="E38" s="153"/>
      <c r="G38" s="280" t="str">
        <f>IF(' Accting USE Data Entry Form'!B41&gt;0,' Accting USE Data Entry Form'!B41,"")</f>
        <v>PH III:  Deliver &amp; Accept  Cavities (73-76)</v>
      </c>
      <c r="H38" s="280"/>
      <c r="I38" s="280"/>
      <c r="J38" s="280"/>
      <c r="K38" s="280"/>
      <c r="L38" s="280"/>
    </row>
    <row r="39" spans="1:12" ht="13.2" customHeight="1" x14ac:dyDescent="0.25">
      <c r="A39" s="247">
        <v>32</v>
      </c>
      <c r="C39" s="248">
        <f>IF(' Accting USE Data Entry Form'!U42&gt;0,' Accting USE Data Entry Form'!U42,0)</f>
        <v>0</v>
      </c>
      <c r="D39" s="45"/>
      <c r="E39" s="153"/>
      <c r="G39" s="280" t="str">
        <f>IF(' Accting USE Data Entry Form'!B42&gt;0,' Accting USE Data Entry Form'!B42,"")</f>
        <v>PH III:  Deliver &amp; Accept  Cavities (77-80)</v>
      </c>
      <c r="H39" s="280"/>
      <c r="I39" s="280"/>
      <c r="J39" s="280"/>
      <c r="K39" s="280"/>
      <c r="L39" s="280"/>
    </row>
    <row r="40" spans="1:12" ht="13.2" customHeight="1" x14ac:dyDescent="0.25">
      <c r="A40" s="247">
        <v>33</v>
      </c>
      <c r="C40" s="248">
        <f>IF(' Accting USE Data Entry Form'!U43&gt;0,' Accting USE Data Entry Form'!U43,0)</f>
        <v>0</v>
      </c>
      <c r="D40" s="45"/>
      <c r="E40" s="153"/>
      <c r="G40" s="280" t="str">
        <f>IF(' Accting USE Data Entry Form'!B43&gt;0,' Accting USE Data Entry Form'!B43,"")</f>
        <v>PH III:  Deliver &amp; Accept  Cavities (81-84)</v>
      </c>
      <c r="H40" s="280"/>
      <c r="I40" s="280"/>
      <c r="J40" s="280"/>
      <c r="K40" s="280"/>
      <c r="L40" s="280"/>
    </row>
    <row r="41" spans="1:12" ht="13.2" customHeight="1" x14ac:dyDescent="0.25">
      <c r="A41" s="247">
        <v>34</v>
      </c>
      <c r="C41" s="248">
        <f>IF(' Accting USE Data Entry Form'!U44&gt;0,' Accting USE Data Entry Form'!U44,0)</f>
        <v>0</v>
      </c>
      <c r="D41" s="45"/>
      <c r="E41" s="153"/>
      <c r="G41" s="280" t="str">
        <f>IF(' Accting USE Data Entry Form'!B44&gt;0,' Accting USE Data Entry Form'!B44,"")</f>
        <v>PH III:  Deliver &amp; Accept  Cavities (85-88)</v>
      </c>
      <c r="H41" s="280"/>
      <c r="I41" s="280"/>
      <c r="J41" s="280"/>
      <c r="K41" s="280"/>
      <c r="L41" s="280"/>
    </row>
    <row r="42" spans="1:12" ht="13.2" customHeight="1" x14ac:dyDescent="0.25">
      <c r="A42" s="247">
        <v>35</v>
      </c>
      <c r="C42" s="248">
        <f>IF(' Accting USE Data Entry Form'!U45&gt;0,' Accting USE Data Entry Form'!U45,0)</f>
        <v>0</v>
      </c>
      <c r="D42" s="45"/>
      <c r="E42" s="153"/>
      <c r="G42" s="280" t="str">
        <f>IF(' Accting USE Data Entry Form'!B45&gt;0,' Accting USE Data Entry Form'!B45,"")</f>
        <v>PH III:  Deliver &amp; Accept  Cavities (89-92)</v>
      </c>
      <c r="H42" s="280"/>
      <c r="I42" s="280"/>
      <c r="J42" s="280"/>
      <c r="K42" s="280"/>
      <c r="L42" s="280"/>
    </row>
    <row r="43" spans="1:12" ht="13.2" customHeight="1" x14ac:dyDescent="0.25">
      <c r="A43" s="247">
        <v>36</v>
      </c>
      <c r="C43" s="248">
        <f>IF(' Accting USE Data Entry Form'!U46&gt;0,' Accting USE Data Entry Form'!U46,0)</f>
        <v>0</v>
      </c>
      <c r="D43" s="45"/>
      <c r="E43" s="153"/>
      <c r="G43" s="280" t="str">
        <f>IF(' Accting USE Data Entry Form'!B46&gt;0,' Accting USE Data Entry Form'!B46,"")</f>
        <v>PH III:  Deliver &amp; Accept  Cavities (93-96)</v>
      </c>
      <c r="H43" s="280"/>
      <c r="I43" s="280"/>
      <c r="J43" s="280"/>
      <c r="K43" s="280"/>
      <c r="L43" s="280"/>
    </row>
    <row r="44" spans="1:12" ht="13.2" customHeight="1" x14ac:dyDescent="0.25">
      <c r="A44" s="247">
        <v>37</v>
      </c>
      <c r="C44" s="248">
        <f>IF(' Accting USE Data Entry Form'!U47&gt;0,' Accting USE Data Entry Form'!U47,0)</f>
        <v>0</v>
      </c>
      <c r="D44" s="45"/>
      <c r="E44" s="153"/>
      <c r="G44" s="280" t="str">
        <f>IF(' Accting USE Data Entry Form'!B47&gt;0,' Accting USE Data Entry Form'!B47,"")</f>
        <v>PH III:  Deliver &amp; Accept  Cavities (97-100)</v>
      </c>
      <c r="H44" s="280"/>
      <c r="I44" s="280"/>
      <c r="J44" s="280"/>
      <c r="K44" s="280"/>
      <c r="L44" s="280"/>
    </row>
    <row r="45" spans="1:12" ht="13.2" customHeight="1" x14ac:dyDescent="0.25">
      <c r="A45" s="247">
        <v>38</v>
      </c>
      <c r="C45" s="248">
        <f>IF(' Accting USE Data Entry Form'!U48&gt;0,' Accting USE Data Entry Form'!U48,0)</f>
        <v>0</v>
      </c>
      <c r="D45" s="45"/>
      <c r="E45" s="153"/>
      <c r="G45" s="280" t="str">
        <f>IF(' Accting USE Data Entry Form'!B48&gt;0,' Accting USE Data Entry Form'!B48,"")</f>
        <v>PH III:  Deliver &amp; Accept  Cavities (101-104)</v>
      </c>
      <c r="H45" s="280"/>
      <c r="I45" s="280"/>
      <c r="J45" s="280"/>
      <c r="K45" s="280"/>
      <c r="L45" s="280"/>
    </row>
    <row r="46" spans="1:12" ht="13.2" customHeight="1" x14ac:dyDescent="0.25">
      <c r="A46" s="247">
        <v>39</v>
      </c>
      <c r="C46" s="248">
        <f>IF(' Accting USE Data Entry Form'!U49&gt;0,' Accting USE Data Entry Form'!U49,0)</f>
        <v>0</v>
      </c>
      <c r="D46" s="45"/>
      <c r="E46" s="153"/>
      <c r="G46" s="280" t="str">
        <f>IF(' Accting USE Data Entry Form'!B49&gt;0,' Accting USE Data Entry Form'!B49,"")</f>
        <v>PH III:  Deliver &amp; Accept  Cavities (105-108)</v>
      </c>
      <c r="H46" s="280"/>
      <c r="I46" s="280"/>
      <c r="J46" s="280"/>
      <c r="K46" s="280"/>
      <c r="L46" s="280"/>
    </row>
    <row r="47" spans="1:12" ht="13.2" customHeight="1" x14ac:dyDescent="0.25">
      <c r="A47" s="247">
        <v>40</v>
      </c>
      <c r="C47" s="248">
        <f>IF(' Accting USE Data Entry Form'!U50&gt;0,' Accting USE Data Entry Form'!U50,0)</f>
        <v>0</v>
      </c>
      <c r="D47" s="45"/>
      <c r="E47" s="153"/>
      <c r="G47" s="280" t="str">
        <f>IF(' Accting USE Data Entry Form'!B50&gt;0,' Accting USE Data Entry Form'!B50,"")</f>
        <v>PH III:  Deliver &amp; Accept  Cavities (109-112)</v>
      </c>
      <c r="H47" s="280"/>
      <c r="I47" s="280"/>
      <c r="J47" s="280"/>
      <c r="K47" s="280"/>
      <c r="L47" s="280"/>
    </row>
    <row r="48" spans="1:12" ht="13.2" customHeight="1" x14ac:dyDescent="0.25">
      <c r="A48" s="247">
        <v>41</v>
      </c>
      <c r="C48" s="248">
        <f>IF(' Accting USE Data Entry Form'!U51&gt;0,' Accting USE Data Entry Form'!U51,0)</f>
        <v>0</v>
      </c>
      <c r="D48" s="45"/>
      <c r="E48" s="153"/>
      <c r="G48" s="280" t="str">
        <f>IF(' Accting USE Data Entry Form'!B51&gt;0,' Accting USE Data Entry Form'!B51,"")</f>
        <v>PH III:  Deliver &amp; Accept  Cavities (113-116)</v>
      </c>
      <c r="H48" s="280"/>
      <c r="I48" s="280"/>
      <c r="J48" s="280"/>
      <c r="K48" s="280"/>
      <c r="L48" s="280"/>
    </row>
    <row r="49" spans="1:12" ht="13.2" customHeight="1" x14ac:dyDescent="0.25">
      <c r="A49" s="247">
        <v>42</v>
      </c>
      <c r="C49" s="248">
        <f>IF(' Accting USE Data Entry Form'!U52&gt;0,' Accting USE Data Entry Form'!U52,0)</f>
        <v>0</v>
      </c>
      <c r="D49" s="45"/>
      <c r="E49" s="153"/>
      <c r="G49" s="280" t="str">
        <f>IF(' Accting USE Data Entry Form'!B52&gt;0,' Accting USE Data Entry Form'!B52,"")</f>
        <v>PH III:  Deliver &amp; Accept  Cavities (117-120)</v>
      </c>
      <c r="H49" s="280"/>
      <c r="I49" s="280"/>
      <c r="J49" s="280"/>
      <c r="K49" s="280"/>
      <c r="L49" s="280"/>
    </row>
    <row r="50" spans="1:12" ht="13.2" customHeight="1" x14ac:dyDescent="0.25">
      <c r="A50" s="247">
        <v>43</v>
      </c>
      <c r="C50" s="248">
        <f>IF(' Accting USE Data Entry Form'!U53&gt;0,' Accting USE Data Entry Form'!U53,0)</f>
        <v>0</v>
      </c>
      <c r="D50" s="45"/>
      <c r="E50" s="153"/>
      <c r="G50" s="280" t="str">
        <f>IF(' Accting USE Data Entry Form'!B53&gt;0,' Accting USE Data Entry Form'!B53,"")</f>
        <v>PH III:  Deliver &amp; Accept  Cavities (121-124)</v>
      </c>
      <c r="H50" s="280"/>
      <c r="I50" s="280"/>
      <c r="J50" s="280"/>
      <c r="K50" s="280"/>
      <c r="L50" s="280"/>
    </row>
    <row r="51" spans="1:12" ht="13.2" customHeight="1" x14ac:dyDescent="0.25">
      <c r="A51" s="247">
        <v>44</v>
      </c>
      <c r="C51" s="248">
        <f>IF(' Accting USE Data Entry Form'!U54&gt;0,' Accting USE Data Entry Form'!U54,0)</f>
        <v>0</v>
      </c>
      <c r="D51" s="45"/>
      <c r="E51" s="153" t="str">
        <f t="shared" ref="E51:E113" si="0">IF($L$4="yes","X"," ")</f>
        <v xml:space="preserve"> </v>
      </c>
      <c r="G51" s="280" t="str">
        <f>IF(' Accting USE Data Entry Form'!B54&gt;0,' Accting USE Data Entry Form'!B54,"")</f>
        <v>PH III:  Deliver &amp; Accept  Cavities (125-128)</v>
      </c>
      <c r="H51" s="280"/>
      <c r="I51" s="280"/>
      <c r="J51" s="280"/>
      <c r="K51" s="280"/>
      <c r="L51" s="280"/>
    </row>
    <row r="52" spans="1:12" x14ac:dyDescent="0.25">
      <c r="A52" s="247">
        <v>45</v>
      </c>
      <c r="C52" s="248">
        <f>IF(' Accting USE Data Entry Form'!U55&gt;0,' Accting USE Data Entry Form'!U55,0)</f>
        <v>0</v>
      </c>
      <c r="D52" s="45"/>
      <c r="E52" s="153" t="str">
        <f t="shared" si="0"/>
        <v xml:space="preserve"> </v>
      </c>
      <c r="G52" s="280" t="str">
        <f>IF(' Accting USE Data Entry Form'!B55&gt;0,' Accting USE Data Entry Form'!B55,"")</f>
        <v>PH III:  Deliver &amp; Accept  Cavities (129-133)</v>
      </c>
      <c r="H52" s="280"/>
      <c r="I52" s="280"/>
      <c r="J52" s="280"/>
      <c r="K52" s="280"/>
      <c r="L52" s="280"/>
    </row>
    <row r="53" spans="1:12" x14ac:dyDescent="0.25">
      <c r="A53" s="247">
        <v>46</v>
      </c>
      <c r="C53" s="248">
        <f>IF(' Accting USE Data Entry Form'!U56&gt;0,' Accting USE Data Entry Form'!U56,0)</f>
        <v>1</v>
      </c>
      <c r="D53" s="45"/>
      <c r="E53" s="153" t="str">
        <f t="shared" si="0"/>
        <v xml:space="preserve"> </v>
      </c>
      <c r="G53" s="280" t="str">
        <f>IF(' Accting USE Data Entry Form'!B56&gt;0,' Accting USE Data Entry Form'!B56,"")</f>
        <v>MOD 007: LCLS-II R&amp;D Cavities (4)</v>
      </c>
      <c r="H53" s="280"/>
      <c r="I53" s="280"/>
      <c r="J53" s="280"/>
      <c r="K53" s="280"/>
      <c r="L53" s="280"/>
    </row>
    <row r="54" spans="1:12" x14ac:dyDescent="0.25">
      <c r="A54" s="247">
        <v>47</v>
      </c>
      <c r="C54" s="248">
        <f>IF(' Accting USE Data Entry Form'!U57&gt;0,' Accting USE Data Entry Form'!U57,0)</f>
        <v>1</v>
      </c>
      <c r="D54" s="45"/>
      <c r="E54" s="153" t="str">
        <f t="shared" si="0"/>
        <v xml:space="preserve"> </v>
      </c>
      <c r="G54" s="280" t="str">
        <f>IF(' Accting USE Data Entry Form'!B57&gt;0,' Accting USE Data Entry Form'!B57,"")</f>
        <v>MOD 008: CTM Spare Parts</v>
      </c>
      <c r="H54" s="280"/>
      <c r="I54" s="280"/>
      <c r="J54" s="280"/>
      <c r="K54" s="280"/>
      <c r="L54" s="280"/>
    </row>
    <row r="55" spans="1:12" x14ac:dyDescent="0.25">
      <c r="A55" s="247">
        <v>48</v>
      </c>
      <c r="C55" s="248">
        <f>IF(' Accting USE Data Entry Form'!U58&gt;0,' Accting USE Data Entry Form'!U58,0)</f>
        <v>0.54867239669421486</v>
      </c>
      <c r="D55" s="45"/>
      <c r="E55" s="153" t="str">
        <f t="shared" si="0"/>
        <v xml:space="preserve"> </v>
      </c>
      <c r="G55" s="280" t="str">
        <f>IF(' Accting USE Data Entry Form'!B58&gt;0,' Accting USE Data Entry Form'!B58,"")</f>
        <v>MOD 009: Recipe Modification (21-133) ($4283.18/cavity)</v>
      </c>
      <c r="H55" s="280"/>
      <c r="I55" s="280"/>
      <c r="J55" s="280"/>
      <c r="K55" s="280"/>
      <c r="L55" s="280"/>
    </row>
    <row r="56" spans="1:12" x14ac:dyDescent="0.25">
      <c r="A56" s="247">
        <v>49</v>
      </c>
      <c r="C56" s="248">
        <f>IF(' Accting USE Data Entry Form'!U59&gt;0,' Accting USE Data Entry Form'!U59,0)</f>
        <v>0.52866574394463661</v>
      </c>
      <c r="D56" s="45"/>
      <c r="E56" s="153" t="str">
        <f t="shared" si="0"/>
        <v xml:space="preserve"> </v>
      </c>
      <c r="G56" s="280" t="str">
        <f>IF(' Accting USE Data Entry Form'!B59&gt;0,' Accting USE Data Entry Form'!B59,"")</f>
        <v xml:space="preserve">MOD 010: Niobium Caps $490.00/ea (Cavs 17-133)  </v>
      </c>
      <c r="H56" s="280"/>
      <c r="I56" s="280"/>
      <c r="J56" s="280"/>
      <c r="K56" s="280"/>
      <c r="L56" s="280"/>
    </row>
    <row r="57" spans="1:12" x14ac:dyDescent="0.25">
      <c r="A57" s="247">
        <v>50</v>
      </c>
      <c r="C57" s="248">
        <f>IF(' Accting USE Data Entry Form'!U60&gt;0,' Accting USE Data Entry Form'!U60,0)</f>
        <v>1</v>
      </c>
      <c r="D57" s="45"/>
      <c r="E57" s="153" t="str">
        <f t="shared" si="0"/>
        <v xml:space="preserve"> </v>
      </c>
      <c r="G57" s="280" t="str">
        <f>IF(' Accting USE Data Entry Form'!B60&gt;0,' Accting USE Data Entry Form'!B60,"")</f>
        <v>MOD 010: Ningxia Material Sorting</v>
      </c>
      <c r="H57" s="280"/>
      <c r="I57" s="280"/>
      <c r="J57" s="280"/>
      <c r="K57" s="280"/>
      <c r="L57" s="280"/>
    </row>
    <row r="58" spans="1:12" x14ac:dyDescent="0.25">
      <c r="A58" s="247">
        <v>51</v>
      </c>
      <c r="C58" s="248">
        <f>IF(' Accting USE Data Entry Form'!U61&gt;0,' Accting USE Data Entry Form'!U61,0)</f>
        <v>0</v>
      </c>
      <c r="D58" s="45"/>
      <c r="E58" s="153" t="str">
        <f t="shared" si="0"/>
        <v xml:space="preserve"> </v>
      </c>
      <c r="G58" s="280" t="str">
        <f>IF(' Accting USE Data Entry Form'!B61&gt;0,' Accting USE Data Entry Form'!B61,"")</f>
        <v>MOD 011: Optional Cavities 1-8</v>
      </c>
      <c r="H58" s="280"/>
      <c r="I58" s="280"/>
      <c r="J58" s="280"/>
      <c r="K58" s="280"/>
      <c r="L58" s="280"/>
    </row>
    <row r="59" spans="1:12" x14ac:dyDescent="0.25">
      <c r="A59" s="247">
        <v>52</v>
      </c>
      <c r="C59" s="248">
        <f>IF(' Accting USE Data Entry Form'!U62&gt;0,' Accting USE Data Entry Form'!U62,0)</f>
        <v>0.5</v>
      </c>
      <c r="D59" s="45"/>
      <c r="E59" s="153" t="str">
        <f t="shared" si="0"/>
        <v xml:space="preserve"> </v>
      </c>
      <c r="G59" s="280" t="str">
        <f>IF(' Accting USE Data Entry Form'!B62&gt;0,' Accting USE Data Entry Form'!B62,"")</f>
        <v>MOD 012: DESY Testing 4X RF Tests</v>
      </c>
      <c r="H59" s="280"/>
      <c r="I59" s="280"/>
      <c r="J59" s="280"/>
      <c r="K59" s="280"/>
      <c r="L59" s="280"/>
    </row>
    <row r="60" spans="1:12" ht="12" customHeight="1" x14ac:dyDescent="0.25">
      <c r="A60" s="247">
        <v>53</v>
      </c>
      <c r="C60" s="248">
        <f>IF(' Accting USE Data Entry Form'!U63&gt;0,' Accting USE Data Entry Form'!U63,0)</f>
        <v>0</v>
      </c>
      <c r="D60" s="45"/>
      <c r="E60" s="153" t="str">
        <f t="shared" si="0"/>
        <v xml:space="preserve"> </v>
      </c>
      <c r="G60" s="280" t="str">
        <f>IF(' Accting USE Data Entry Form'!B63&gt;0,' Accting USE Data Entry Form'!B63,"")</f>
        <v>MOD 012: Add DESY Testing Costs (Not to Exceed)</v>
      </c>
      <c r="H60" s="280"/>
      <c r="I60" s="280"/>
      <c r="J60" s="280"/>
      <c r="K60" s="280"/>
      <c r="L60" s="280"/>
    </row>
    <row r="61" spans="1:12" x14ac:dyDescent="0.25">
      <c r="A61" s="247">
        <v>54</v>
      </c>
      <c r="C61" s="248">
        <f>IF(' Accting USE Data Entry Form'!U64&gt;0,' Accting USE Data Entry Form'!U64,0)</f>
        <v>0</v>
      </c>
      <c r="D61" s="45"/>
      <c r="E61" s="153" t="str">
        <f t="shared" si="0"/>
        <v xml:space="preserve"> </v>
      </c>
      <c r="G61" s="280" t="str">
        <f>IF(' Accting USE Data Entry Form'!B64&gt;0,' Accting USE Data Entry Form'!B64,"")</f>
        <v>MOD013-32+3: Material Supply, 1st lot</v>
      </c>
      <c r="H61" s="280"/>
      <c r="I61" s="280"/>
      <c r="J61" s="280"/>
      <c r="K61" s="280"/>
      <c r="L61" s="280"/>
    </row>
    <row r="62" spans="1:12" x14ac:dyDescent="0.25">
      <c r="A62" s="247">
        <v>55</v>
      </c>
      <c r="C62" s="248">
        <f>IF(' Accting USE Data Entry Form'!U65&gt;0,' Accting USE Data Entry Form'!U65,0)</f>
        <v>0</v>
      </c>
      <c r="D62" s="45"/>
      <c r="E62" s="153" t="str">
        <f t="shared" si="0"/>
        <v xml:space="preserve"> </v>
      </c>
      <c r="G62" s="280" t="str">
        <f>IF(' Accting USE Data Entry Form'!B65&gt;0,' Accting USE Data Entry Form'!B65,"")</f>
        <v>MOD013-32+3: Material Supply, 2nd lot</v>
      </c>
      <c r="H62" s="280"/>
      <c r="I62" s="280"/>
      <c r="J62" s="280"/>
      <c r="K62" s="280"/>
      <c r="L62" s="280"/>
    </row>
    <row r="63" spans="1:12" x14ac:dyDescent="0.25">
      <c r="A63" s="247">
        <v>56</v>
      </c>
      <c r="C63" s="248">
        <f>IF(' Accting USE Data Entry Form'!U66&gt;0,' Accting USE Data Entry Form'!U66,0)</f>
        <v>0</v>
      </c>
      <c r="D63" s="45"/>
      <c r="E63" s="153" t="str">
        <f t="shared" si="0"/>
        <v xml:space="preserve"> </v>
      </c>
      <c r="G63" s="280" t="str">
        <f>IF(' Accting USE Data Entry Form'!B66&gt;0,' Accting USE Data Entry Form'!B66,"")</f>
        <v>MOD013-32+3: DESY QA of 1st material lot</v>
      </c>
      <c r="H63" s="280"/>
      <c r="I63" s="280"/>
      <c r="J63" s="280"/>
      <c r="K63" s="280"/>
      <c r="L63" s="280"/>
    </row>
    <row r="64" spans="1:12" x14ac:dyDescent="0.25">
      <c r="A64" s="247">
        <v>57</v>
      </c>
      <c r="C64" s="248">
        <f>IF(' Accting USE Data Entry Form'!U67&gt;0,' Accting USE Data Entry Form'!U67,0)</f>
        <v>0</v>
      </c>
      <c r="D64" s="45"/>
      <c r="E64" s="153" t="str">
        <f t="shared" si="0"/>
        <v xml:space="preserve"> </v>
      </c>
      <c r="G64" s="280" t="str">
        <f>IF(' Accting USE Data Entry Form'!B67&gt;0,' Accting USE Data Entry Form'!B67,"")</f>
        <v>MOD013-32+3: DESY Q of 2nd material lot</v>
      </c>
      <c r="H64" s="280"/>
      <c r="I64" s="280"/>
      <c r="J64" s="280"/>
      <c r="K64" s="280"/>
      <c r="L64" s="280"/>
    </row>
    <row r="65" spans="1:12" x14ac:dyDescent="0.25">
      <c r="A65" s="247">
        <v>58</v>
      </c>
      <c r="C65" s="248">
        <f>IF(' Accting USE Data Entry Form'!U68&gt;0,' Accting USE Data Entry Form'!U68,0)</f>
        <v>0</v>
      </c>
      <c r="D65" s="45"/>
      <c r="E65" s="153" t="str">
        <f t="shared" si="0"/>
        <v xml:space="preserve"> </v>
      </c>
      <c r="G65" s="280" t="str">
        <f>IF(' Accting USE Data Entry Form'!B68&gt;0,' Accting USE Data Entry Form'!B68,"")</f>
        <v>MOD013-32+3: Deliver &amp; Accept 4 Cavities</v>
      </c>
      <c r="H65" s="280"/>
      <c r="I65" s="280"/>
      <c r="J65" s="280"/>
      <c r="K65" s="280"/>
      <c r="L65" s="280"/>
    </row>
    <row r="66" spans="1:12" x14ac:dyDescent="0.25">
      <c r="A66" s="247">
        <v>59</v>
      </c>
      <c r="C66" s="248">
        <f>IF(' Accting USE Data Entry Form'!U69&gt;0,' Accting USE Data Entry Form'!U69,0)</f>
        <v>0</v>
      </c>
      <c r="D66" s="45"/>
      <c r="E66" s="153" t="str">
        <f t="shared" si="0"/>
        <v xml:space="preserve"> </v>
      </c>
      <c r="G66" s="280" t="str">
        <f>IF(' Accting USE Data Entry Form'!B69&gt;0,' Accting USE Data Entry Form'!B69,"")</f>
        <v>MOD013-32+3: Deliver &amp; Accept 4 Cavities</v>
      </c>
      <c r="H66" s="280"/>
      <c r="I66" s="280"/>
      <c r="J66" s="280"/>
      <c r="K66" s="280"/>
      <c r="L66" s="280"/>
    </row>
    <row r="67" spans="1:12" x14ac:dyDescent="0.25">
      <c r="A67" s="247">
        <v>60</v>
      </c>
      <c r="C67" s="248">
        <f>IF(' Accting USE Data Entry Form'!U70&gt;0,' Accting USE Data Entry Form'!U70,0)</f>
        <v>0</v>
      </c>
      <c r="D67" s="45"/>
      <c r="E67" s="153" t="str">
        <f t="shared" si="0"/>
        <v xml:space="preserve"> </v>
      </c>
      <c r="G67" s="280" t="str">
        <f>IF(' Accting USE Data Entry Form'!B70&gt;0,' Accting USE Data Entry Form'!B70,"")</f>
        <v>MOD013-32+3: Deliver &amp; Accept 4 Cavities</v>
      </c>
      <c r="H67" s="280"/>
      <c r="I67" s="280"/>
      <c r="J67" s="280"/>
      <c r="K67" s="280"/>
      <c r="L67" s="280"/>
    </row>
    <row r="68" spans="1:12" x14ac:dyDescent="0.25">
      <c r="A68" s="247">
        <v>61</v>
      </c>
      <c r="C68" s="248">
        <f>IF(' Accting USE Data Entry Form'!U71&gt;0,' Accting USE Data Entry Form'!U71,0)</f>
        <v>0</v>
      </c>
      <c r="D68" s="45"/>
      <c r="E68" s="153" t="str">
        <f t="shared" si="0"/>
        <v xml:space="preserve"> </v>
      </c>
      <c r="G68" s="280" t="str">
        <f>IF(' Accting USE Data Entry Form'!B71&gt;0,' Accting USE Data Entry Form'!B71,"")</f>
        <v>MOD013-32+3: Deliver &amp; Accept 4 Cavities</v>
      </c>
      <c r="H68" s="280"/>
      <c r="I68" s="280"/>
      <c r="J68" s="280"/>
      <c r="K68" s="280"/>
      <c r="L68" s="280"/>
    </row>
    <row r="69" spans="1:12" ht="13.2" customHeight="1" x14ac:dyDescent="0.25">
      <c r="A69" s="247">
        <v>62</v>
      </c>
      <c r="C69" s="248">
        <f>IF(' Accting USE Data Entry Form'!U72&gt;0,' Accting USE Data Entry Form'!U72,0)</f>
        <v>0</v>
      </c>
      <c r="D69" s="45"/>
      <c r="E69" s="153" t="str">
        <f t="shared" si="0"/>
        <v xml:space="preserve"> </v>
      </c>
      <c r="G69" s="280" t="str">
        <f>IF(' Accting USE Data Entry Form'!B72&gt;0,' Accting USE Data Entry Form'!B72,"")</f>
        <v>MOD013-32+3: Deliver &amp; Accept 4 Cavities</v>
      </c>
      <c r="H69" s="280"/>
      <c r="I69" s="280"/>
      <c r="J69" s="280"/>
      <c r="K69" s="280"/>
      <c r="L69" s="280"/>
    </row>
    <row r="70" spans="1:12" x14ac:dyDescent="0.25">
      <c r="A70" s="247">
        <v>63</v>
      </c>
      <c r="C70" s="248">
        <f>IF(' Accting USE Data Entry Form'!U73&gt;0,' Accting USE Data Entry Form'!U73,0)</f>
        <v>0</v>
      </c>
      <c r="D70" s="45"/>
      <c r="E70" s="153" t="str">
        <f t="shared" si="0"/>
        <v xml:space="preserve"> </v>
      </c>
      <c r="G70" s="280" t="str">
        <f>IF(' Accting USE Data Entry Form'!B73&gt;0,' Accting USE Data Entry Form'!B73,"")</f>
        <v>MOD013-32+3: Deliver &amp; Accept 4 Cavities</v>
      </c>
      <c r="H70" s="280"/>
      <c r="I70" s="280"/>
      <c r="J70" s="280"/>
      <c r="K70" s="280"/>
      <c r="L70" s="280"/>
    </row>
    <row r="71" spans="1:12" x14ac:dyDescent="0.25">
      <c r="A71" s="247">
        <v>64</v>
      </c>
      <c r="C71" s="248">
        <f>IF(' Accting USE Data Entry Form'!U74&gt;0,' Accting USE Data Entry Form'!U74,0)</f>
        <v>0</v>
      </c>
      <c r="D71" s="45"/>
      <c r="E71" s="153" t="str">
        <f t="shared" si="0"/>
        <v xml:space="preserve"> </v>
      </c>
      <c r="G71" s="280" t="str">
        <f>IF(' Accting USE Data Entry Form'!B74&gt;0,' Accting USE Data Entry Form'!B74,"")</f>
        <v>MOD013-32+3: Deliver &amp; Accept 4 Cavities</v>
      </c>
      <c r="H71" s="280"/>
      <c r="I71" s="280"/>
      <c r="J71" s="280"/>
      <c r="K71" s="280"/>
      <c r="L71" s="280"/>
    </row>
    <row r="72" spans="1:12" x14ac:dyDescent="0.25">
      <c r="A72" s="247">
        <v>65</v>
      </c>
      <c r="C72" s="248">
        <f>IF(' Accting USE Data Entry Form'!U75&gt;0,' Accting USE Data Entry Form'!U75,0)</f>
        <v>0</v>
      </c>
      <c r="D72" s="45"/>
      <c r="E72" s="153" t="str">
        <f t="shared" si="0"/>
        <v xml:space="preserve"> </v>
      </c>
      <c r="G72" s="280" t="str">
        <f>IF(' Accting USE Data Entry Form'!B75&gt;0,' Accting USE Data Entry Form'!B75,"")</f>
        <v>MOD013-32+3: Deliver &amp; Accept 4 Cavities</v>
      </c>
      <c r="H72" s="280"/>
      <c r="I72" s="280"/>
      <c r="J72" s="280"/>
      <c r="K72" s="280"/>
      <c r="L72" s="280"/>
    </row>
    <row r="73" spans="1:12" x14ac:dyDescent="0.25">
      <c r="A73" s="247">
        <v>66</v>
      </c>
      <c r="C73" s="248">
        <f>IF(' Accting USE Data Entry Form'!U76&gt;0,' Accting USE Data Entry Form'!U76,0)</f>
        <v>0</v>
      </c>
      <c r="D73" s="45"/>
      <c r="E73" s="153" t="str">
        <f t="shared" si="0"/>
        <v xml:space="preserve"> </v>
      </c>
      <c r="G73" s="280" t="str">
        <f>IF(' Accting USE Data Entry Form'!B76&gt;0,' Accting USE Data Entry Form'!B76,"")</f>
        <v>MOD013-32+3: Deliver &amp; Accept 2 Single Cell Cavities</v>
      </c>
      <c r="H73" s="280"/>
      <c r="I73" s="280"/>
      <c r="J73" s="280"/>
      <c r="K73" s="280"/>
      <c r="L73" s="280"/>
    </row>
    <row r="74" spans="1:12" x14ac:dyDescent="0.25">
      <c r="A74" s="247">
        <v>67</v>
      </c>
      <c r="C74" s="248">
        <f>IF(' Accting USE Data Entry Form'!U77&gt;0,' Accting USE Data Entry Form'!U77,0)</f>
        <v>0</v>
      </c>
      <c r="D74" s="45"/>
      <c r="E74" s="153" t="str">
        <f t="shared" si="0"/>
        <v xml:space="preserve"> </v>
      </c>
      <c r="G74" s="280" t="str">
        <f>IF(' Accting USE Data Entry Form'!B77&gt;0,' Accting USE Data Entry Form'!B77,"")</f>
        <v>MOD013-32+3: Lease/Maintenance DESY Equipment</v>
      </c>
      <c r="H74" s="280"/>
      <c r="I74" s="280"/>
      <c r="J74" s="280"/>
      <c r="K74" s="280"/>
      <c r="L74" s="280"/>
    </row>
    <row r="75" spans="1:12" x14ac:dyDescent="0.25">
      <c r="A75" s="247">
        <v>68</v>
      </c>
      <c r="C75" s="248">
        <f>IF(' Accting USE Data Entry Form'!U78&gt;0,' Accting USE Data Entry Form'!U78,0)</f>
        <v>0</v>
      </c>
      <c r="D75" s="45"/>
      <c r="E75" s="153" t="str">
        <f t="shared" si="0"/>
        <v xml:space="preserve"> </v>
      </c>
      <c r="G75" s="280" t="str">
        <f>IF(' Accting USE Data Entry Form'!B78&gt;0,' Accting USE Data Entry Form'!B78,"")</f>
        <v>MOD013-Add Mat'l: Material Supply, 1st lot</v>
      </c>
      <c r="H75" s="280"/>
      <c r="I75" s="280"/>
      <c r="J75" s="280"/>
      <c r="K75" s="280"/>
      <c r="L75" s="280"/>
    </row>
    <row r="76" spans="1:12" x14ac:dyDescent="0.25">
      <c r="A76" s="247">
        <v>69</v>
      </c>
      <c r="C76" s="248">
        <f>IF(' Accting USE Data Entry Form'!U79&gt;0,' Accting USE Data Entry Form'!U79,0)</f>
        <v>0</v>
      </c>
      <c r="D76" s="45"/>
      <c r="E76" s="153" t="str">
        <f t="shared" si="0"/>
        <v xml:space="preserve"> </v>
      </c>
      <c r="G76" s="280" t="str">
        <f>IF(' Accting USE Data Entry Form'!B79&gt;0,' Accting USE Data Entry Form'!B79,"")</f>
        <v>MOD013-Add Mat'l: DESY QA of 1st material lot</v>
      </c>
      <c r="H76" s="280"/>
      <c r="I76" s="280"/>
      <c r="J76" s="280"/>
      <c r="K76" s="280"/>
      <c r="L76" s="280"/>
    </row>
    <row r="77" spans="1:12" x14ac:dyDescent="0.25">
      <c r="A77" s="247">
        <v>70</v>
      </c>
      <c r="C77" s="248">
        <f>IF(' Accting USE Data Entry Form'!U80&gt;0,' Accting USE Data Entry Form'!U80,0)</f>
        <v>0</v>
      </c>
      <c r="D77" s="45"/>
      <c r="E77" s="153"/>
      <c r="G77" s="280" t="str">
        <f>IF(' Accting USE Data Entry Form'!B80&gt;0,' Accting USE Data Entry Form'!B80,"")</f>
        <v>MOD013-Add Mat'l: Material Supply, 2nd lot</v>
      </c>
      <c r="H77" s="280"/>
      <c r="I77" s="280"/>
      <c r="J77" s="280"/>
      <c r="K77" s="280"/>
      <c r="L77" s="280"/>
    </row>
    <row r="78" spans="1:12" x14ac:dyDescent="0.25">
      <c r="A78" s="247">
        <v>71</v>
      </c>
      <c r="C78" s="248">
        <f>IF(' Accting USE Data Entry Form'!U81&gt;0,' Accting USE Data Entry Form'!U81,0)</f>
        <v>0</v>
      </c>
      <c r="D78" s="45"/>
      <c r="E78" s="153"/>
      <c r="G78" s="280" t="str">
        <f>IF(' Accting USE Data Entry Form'!B81&gt;0,' Accting USE Data Entry Form'!B81,"")</f>
        <v>MOD013-Add Mat'l: DESY QA of 2nd material lot</v>
      </c>
      <c r="H78" s="280"/>
      <c r="I78" s="280"/>
      <c r="J78" s="280"/>
      <c r="K78" s="280"/>
      <c r="L78" s="280"/>
    </row>
    <row r="79" spans="1:12" x14ac:dyDescent="0.25">
      <c r="A79" s="247">
        <v>72</v>
      </c>
      <c r="C79" s="248">
        <f>IF(' Accting USE Data Entry Form'!U82&gt;0,' Accting USE Data Entry Form'!U82,0)</f>
        <v>0</v>
      </c>
      <c r="D79" s="45"/>
      <c r="E79" s="153"/>
      <c r="G79" s="280" t="str">
        <f>IF(' Accting USE Data Entry Form'!B82&gt;0,' Accting USE Data Entry Form'!B82,"")</f>
        <v>MOD013-Add Mat'l: Material Supply, 3rd lot</v>
      </c>
      <c r="H79" s="280"/>
      <c r="I79" s="280"/>
      <c r="J79" s="280"/>
      <c r="K79" s="280"/>
      <c r="L79" s="280"/>
    </row>
    <row r="80" spans="1:12" x14ac:dyDescent="0.25">
      <c r="A80" s="247">
        <v>73</v>
      </c>
      <c r="C80" s="248">
        <f>IF(' Accting USE Data Entry Form'!U83&gt;0,' Accting USE Data Entry Form'!U83,0)</f>
        <v>0</v>
      </c>
      <c r="D80" s="45"/>
      <c r="E80" s="153"/>
      <c r="G80" s="280" t="str">
        <f>IF(' Accting USE Data Entry Form'!B83&gt;0,' Accting USE Data Entry Form'!B83,"")</f>
        <v>MOD013-Add Mat'l: DESY QA of 3rd material lot</v>
      </c>
      <c r="H80" s="280"/>
      <c r="I80" s="280"/>
      <c r="J80" s="280"/>
      <c r="K80" s="280"/>
      <c r="L80" s="280"/>
    </row>
    <row r="81" spans="1:12" x14ac:dyDescent="0.25">
      <c r="A81" s="247">
        <v>74</v>
      </c>
      <c r="C81" s="248">
        <f>IF(' Accting USE Data Entry Form'!U84&gt;0,' Accting USE Data Entry Form'!U84,0)</f>
        <v>0</v>
      </c>
      <c r="D81" s="45"/>
      <c r="E81" s="153"/>
      <c r="G81" s="280" t="str">
        <f>IF(' Accting USE Data Entry Form'!B84&gt;0,' Accting USE Data Entry Form'!B84,"")</f>
        <v>MOD013-Add Mat'l: Material Supply, 4th lot</v>
      </c>
      <c r="H81" s="280"/>
      <c r="I81" s="280"/>
      <c r="J81" s="280"/>
      <c r="K81" s="280"/>
      <c r="L81" s="280"/>
    </row>
    <row r="82" spans="1:12" x14ac:dyDescent="0.25">
      <c r="A82" s="247">
        <v>75</v>
      </c>
      <c r="C82" s="248">
        <f>IF(' Accting USE Data Entry Form'!U85&gt;0,' Accting USE Data Entry Form'!U85,0)</f>
        <v>0</v>
      </c>
      <c r="D82" s="45"/>
      <c r="E82" s="153"/>
      <c r="G82" s="280" t="str">
        <f>IF(' Accting USE Data Entry Form'!B85&gt;0,' Accting USE Data Entry Form'!B85,"")</f>
        <v>MOD013-Add Mat'l: DESY QA of 4th material lot</v>
      </c>
      <c r="H82" s="280"/>
      <c r="I82" s="280"/>
      <c r="J82" s="280"/>
      <c r="K82" s="280"/>
      <c r="L82" s="280"/>
    </row>
    <row r="83" spans="1:12" x14ac:dyDescent="0.25">
      <c r="A83" s="247">
        <v>76</v>
      </c>
      <c r="C83" s="248">
        <f>IF(' Accting USE Data Entry Form'!U86&gt;0,' Accting USE Data Entry Form'!U86,0)</f>
        <v>0</v>
      </c>
      <c r="D83" s="45"/>
      <c r="E83" s="153"/>
      <c r="G83" s="280" t="str">
        <f>IF(' Accting USE Data Entry Form'!B86&gt;0,' Accting USE Data Entry Form'!B86,"")</f>
        <v xml:space="preserve">MOD013-Add Mat'l: Storage of material for up to 6 months </v>
      </c>
      <c r="H83" s="280"/>
      <c r="I83" s="280"/>
      <c r="J83" s="280"/>
      <c r="K83" s="280"/>
      <c r="L83" s="280"/>
    </row>
    <row r="84" spans="1:12" x14ac:dyDescent="0.25">
      <c r="A84" s="247">
        <v>77</v>
      </c>
      <c r="C84" s="248">
        <f>IF(' Accting USE Data Entry Form'!U87&gt;0,' Accting USE Data Entry Form'!U87,0)</f>
        <v>0</v>
      </c>
      <c r="D84" s="45"/>
      <c r="E84" s="153"/>
      <c r="G84" s="280" t="str">
        <f>IF(' Accting USE Data Entry Form'!B87&gt;0,' Accting USE Data Entry Form'!B87,"")</f>
        <v>MOD013-Add Mat'l: Package and air shipment of material</v>
      </c>
      <c r="H84" s="280"/>
      <c r="I84" s="280"/>
      <c r="J84" s="280"/>
      <c r="K84" s="280"/>
      <c r="L84" s="280"/>
    </row>
    <row r="85" spans="1:12" x14ac:dyDescent="0.25">
      <c r="A85" s="247">
        <v>78</v>
      </c>
      <c r="C85" s="248">
        <f>IF(' Accting USE Data Entry Form'!U88&gt;0,' Accting USE Data Entry Form'!U88,0)</f>
        <v>0</v>
      </c>
      <c r="D85" s="45"/>
      <c r="E85" s="153"/>
      <c r="G85" s="280" t="str">
        <f>IF(' Accting USE Data Entry Form'!B88&gt;0,' Accting USE Data Entry Form'!B88,"")</f>
        <v>MOD013-Add Mat'l: Deliver &amp; Accept 1-Cell Cavites (Lot 1)</v>
      </c>
      <c r="H85" s="280"/>
      <c r="I85" s="280"/>
      <c r="J85" s="280"/>
      <c r="K85" s="280"/>
      <c r="L85" s="280"/>
    </row>
    <row r="86" spans="1:12" x14ac:dyDescent="0.25">
      <c r="A86" s="247">
        <v>79</v>
      </c>
      <c r="C86" s="248">
        <f>IF(' Accting USE Data Entry Form'!U89&gt;0,' Accting USE Data Entry Form'!U89,0)</f>
        <v>0</v>
      </c>
      <c r="D86" s="45"/>
      <c r="E86" s="153"/>
      <c r="G86" s="280" t="str">
        <f>IF(' Accting USE Data Entry Form'!B89&gt;0,' Accting USE Data Entry Form'!B89,"")</f>
        <v>MOD013-Add Mat'l: Deliver &amp; Accept  1-Cell Cavites (Lot 2)</v>
      </c>
      <c r="H86" s="280"/>
      <c r="I86" s="280"/>
      <c r="J86" s="280"/>
      <c r="K86" s="280"/>
      <c r="L86" s="280"/>
    </row>
    <row r="87" spans="1:12" x14ac:dyDescent="0.25">
      <c r="A87" s="247">
        <v>80</v>
      </c>
      <c r="C87" s="248">
        <f>IF(' Accting USE Data Entry Form'!U90&gt;0,' Accting USE Data Entry Form'!U90,0)</f>
        <v>0</v>
      </c>
      <c r="D87" s="45"/>
      <c r="E87" s="153"/>
      <c r="G87" s="280" t="str">
        <f>IF(' Accting USE Data Entry Form'!B90&gt;0,' Accting USE Data Entry Form'!B90,"")</f>
        <v>MOD013-Add Mat'l: Deliver &amp; Accept  1-Cell Cavites (Lot 3)</v>
      </c>
      <c r="H87" s="280"/>
      <c r="I87" s="280"/>
      <c r="J87" s="280"/>
      <c r="K87" s="280"/>
      <c r="L87" s="280"/>
    </row>
    <row r="88" spans="1:12" x14ac:dyDescent="0.25">
      <c r="A88" s="247">
        <v>81</v>
      </c>
      <c r="C88" s="248">
        <f>IF(' Accting USE Data Entry Form'!U91&gt;0,' Accting USE Data Entry Form'!U91,0)</f>
        <v>0</v>
      </c>
      <c r="D88" s="45"/>
      <c r="E88" s="153"/>
      <c r="G88" s="280" t="str">
        <f>IF(' Accting USE Data Entry Form'!B91&gt;0,' Accting USE Data Entry Form'!B91,"")</f>
        <v>MOD013-Add Mat'l: Deliver &amp; Accept  1-Cell Cavites (Lot 4)</v>
      </c>
      <c r="H88" s="280"/>
      <c r="I88" s="280"/>
      <c r="J88" s="280"/>
      <c r="K88" s="280"/>
      <c r="L88" s="280"/>
    </row>
    <row r="89" spans="1:12" x14ac:dyDescent="0.25">
      <c r="A89" s="247">
        <v>82</v>
      </c>
      <c r="C89" s="248">
        <f>IF(' Accting USE Data Entry Form'!U92&gt;0,' Accting USE Data Entry Form'!U92,0)</f>
        <v>0.86914718178296069</v>
      </c>
      <c r="D89" s="45"/>
      <c r="E89" s="153"/>
      <c r="G89" s="280" t="str">
        <f>IF(' Accting USE Data Entry Form'!B92&gt;0,' Accting USE Data Entry Form'!B92,"")</f>
        <v>MOD014: Supply &amp; QC of 320 TD Sheets</v>
      </c>
      <c r="H89" s="280"/>
      <c r="I89" s="280"/>
      <c r="J89" s="280"/>
      <c r="K89" s="280"/>
      <c r="L89" s="280"/>
    </row>
    <row r="90" spans="1:12" x14ac:dyDescent="0.25">
      <c r="A90" s="247">
        <v>83</v>
      </c>
      <c r="C90" s="248">
        <f>IF(' Accting USE Data Entry Form'!U104&gt;0,' Accting USE Data Entry Form'!U104,0)</f>
        <v>0</v>
      </c>
      <c r="D90" s="45"/>
      <c r="E90" s="153"/>
      <c r="G90" s="280" t="str">
        <f>IF(' Accting USE Data Entry Form'!B104&gt;0,' Accting USE Data Entry Form'!B104,"")</f>
        <v/>
      </c>
      <c r="H90" s="280"/>
      <c r="I90" s="280"/>
      <c r="J90" s="280"/>
      <c r="K90" s="280"/>
      <c r="L90" s="280"/>
    </row>
    <row r="91" spans="1:12" x14ac:dyDescent="0.25">
      <c r="A91" s="247">
        <v>84</v>
      </c>
      <c r="C91" s="248">
        <f>IF(' Accting USE Data Entry Form'!U105&gt;0,' Accting USE Data Entry Form'!U105,0)</f>
        <v>0</v>
      </c>
      <c r="D91" s="45"/>
      <c r="E91" s="153"/>
      <c r="G91" s="280" t="str">
        <f>IF(' Accting USE Data Entry Form'!B105&gt;0,' Accting USE Data Entry Form'!B105,"")</f>
        <v/>
      </c>
      <c r="H91" s="280"/>
      <c r="I91" s="280"/>
      <c r="J91" s="280"/>
      <c r="K91" s="280"/>
      <c r="L91" s="280"/>
    </row>
    <row r="92" spans="1:12" x14ac:dyDescent="0.25">
      <c r="A92" s="247">
        <v>85</v>
      </c>
      <c r="C92" s="248">
        <f>IF(' Accting USE Data Entry Form'!U106&gt;0,' Accting USE Data Entry Form'!U106,0)</f>
        <v>0</v>
      </c>
      <c r="D92" s="45"/>
      <c r="E92" s="153"/>
      <c r="G92" s="280" t="str">
        <f>IF(' Accting USE Data Entry Form'!B106&gt;0,' Accting USE Data Entry Form'!B106,"")</f>
        <v/>
      </c>
      <c r="H92" s="280"/>
      <c r="I92" s="280"/>
      <c r="J92" s="280"/>
      <c r="K92" s="280"/>
      <c r="L92" s="280"/>
    </row>
    <row r="93" spans="1:12" x14ac:dyDescent="0.25">
      <c r="A93" s="247">
        <v>86</v>
      </c>
      <c r="C93" s="248">
        <f>IF(' Accting USE Data Entry Form'!U107&gt;0,' Accting USE Data Entry Form'!U107,0)</f>
        <v>0</v>
      </c>
      <c r="D93" s="45"/>
      <c r="E93" s="153"/>
      <c r="G93" s="280" t="str">
        <f>IF(' Accting USE Data Entry Form'!B107&gt;0,' Accting USE Data Entry Form'!B107,"")</f>
        <v/>
      </c>
      <c r="H93" s="280"/>
      <c r="I93" s="280"/>
      <c r="J93" s="280"/>
      <c r="K93" s="280"/>
      <c r="L93" s="280"/>
    </row>
    <row r="94" spans="1:12" x14ac:dyDescent="0.25">
      <c r="A94" s="247">
        <v>87</v>
      </c>
      <c r="C94" s="248">
        <f>IF(' Accting USE Data Entry Form'!U108&gt;0,' Accting USE Data Entry Form'!U108,0)</f>
        <v>0</v>
      </c>
      <c r="D94" s="45"/>
      <c r="E94" s="153"/>
      <c r="G94" s="280" t="str">
        <f>IF(' Accting USE Data Entry Form'!B108&gt;0,' Accting USE Data Entry Form'!B108,"")</f>
        <v/>
      </c>
      <c r="H94" s="280"/>
      <c r="I94" s="280"/>
      <c r="J94" s="280"/>
      <c r="K94" s="280"/>
      <c r="L94" s="280"/>
    </row>
    <row r="95" spans="1:12" x14ac:dyDescent="0.25">
      <c r="A95" s="247">
        <v>88</v>
      </c>
      <c r="C95" s="248">
        <f>IF(' Accting USE Data Entry Form'!U109&gt;0,' Accting USE Data Entry Form'!U109,0)</f>
        <v>0</v>
      </c>
      <c r="D95" s="45"/>
      <c r="E95" s="153"/>
      <c r="G95" s="280" t="str">
        <f>IF(' Accting USE Data Entry Form'!B109&gt;0,' Accting USE Data Entry Form'!B109,"")</f>
        <v/>
      </c>
      <c r="H95" s="280"/>
      <c r="I95" s="280"/>
      <c r="J95" s="280"/>
      <c r="K95" s="280"/>
      <c r="L95" s="280"/>
    </row>
    <row r="96" spans="1:12" x14ac:dyDescent="0.25">
      <c r="A96" s="247">
        <v>89</v>
      </c>
      <c r="C96" s="248">
        <f>IF(' Accting USE Data Entry Form'!U110&gt;0,' Accting USE Data Entry Form'!U110,0)</f>
        <v>0</v>
      </c>
      <c r="D96" s="45"/>
      <c r="E96" s="153"/>
      <c r="G96" s="280" t="str">
        <f>IF(' Accting USE Data Entry Form'!B110&gt;0,' Accting USE Data Entry Form'!B110,"")</f>
        <v/>
      </c>
      <c r="H96" s="280"/>
      <c r="I96" s="280"/>
      <c r="J96" s="280"/>
      <c r="K96" s="280"/>
      <c r="L96" s="280"/>
    </row>
    <row r="97" spans="1:12" x14ac:dyDescent="0.25">
      <c r="A97" s="247">
        <v>90</v>
      </c>
      <c r="C97" s="248">
        <f>IF(' Accting USE Data Entry Form'!U111&gt;0,' Accting USE Data Entry Form'!U111,0)</f>
        <v>0</v>
      </c>
      <c r="D97" s="45"/>
      <c r="E97" s="153"/>
      <c r="G97" s="280" t="str">
        <f>IF(' Accting USE Data Entry Form'!B111&gt;0,' Accting USE Data Entry Form'!B111,"")</f>
        <v/>
      </c>
      <c r="H97" s="280"/>
      <c r="I97" s="280"/>
      <c r="J97" s="280"/>
      <c r="K97" s="280"/>
      <c r="L97" s="280"/>
    </row>
    <row r="98" spans="1:12" x14ac:dyDescent="0.25">
      <c r="A98" s="247">
        <v>91</v>
      </c>
      <c r="C98" s="248">
        <f>IF(' Accting USE Data Entry Form'!U112&gt;0,' Accting USE Data Entry Form'!U112,0)</f>
        <v>0</v>
      </c>
      <c r="D98" s="45"/>
      <c r="E98" s="153"/>
      <c r="G98" s="280" t="str">
        <f>IF(' Accting USE Data Entry Form'!B112&gt;0,' Accting USE Data Entry Form'!B112,"")</f>
        <v/>
      </c>
      <c r="H98" s="280"/>
      <c r="I98" s="280"/>
      <c r="J98" s="280"/>
      <c r="K98" s="280"/>
      <c r="L98" s="280"/>
    </row>
    <row r="99" spans="1:12" x14ac:dyDescent="0.25">
      <c r="A99" s="247">
        <v>92</v>
      </c>
      <c r="C99" s="248">
        <f>IF(' Accting USE Data Entry Form'!U113&gt;0,' Accting USE Data Entry Form'!U113,0)</f>
        <v>0</v>
      </c>
      <c r="D99" s="45"/>
      <c r="E99" s="153"/>
      <c r="G99" s="280" t="str">
        <f>IF(' Accting USE Data Entry Form'!B113&gt;0,' Accting USE Data Entry Form'!B113,"")</f>
        <v/>
      </c>
      <c r="H99" s="280"/>
      <c r="I99" s="280"/>
      <c r="J99" s="280"/>
      <c r="K99" s="280"/>
      <c r="L99" s="280"/>
    </row>
    <row r="100" spans="1:12" x14ac:dyDescent="0.25">
      <c r="A100" s="247">
        <v>93</v>
      </c>
      <c r="C100" s="248">
        <f>IF(' Accting USE Data Entry Form'!U114&gt;0,' Accting USE Data Entry Form'!U114,0)</f>
        <v>0</v>
      </c>
      <c r="D100" s="45"/>
      <c r="E100" s="153"/>
      <c r="G100" s="280" t="str">
        <f>IF(' Accting USE Data Entry Form'!B114&gt;0,' Accting USE Data Entry Form'!B114,"")</f>
        <v/>
      </c>
      <c r="H100" s="280"/>
      <c r="I100" s="280"/>
      <c r="J100" s="280"/>
      <c r="K100" s="280"/>
      <c r="L100" s="280"/>
    </row>
    <row r="101" spans="1:12" x14ac:dyDescent="0.25">
      <c r="A101" s="247">
        <v>94</v>
      </c>
      <c r="C101" s="248">
        <f>IF(' Accting USE Data Entry Form'!U115&gt;0,' Accting USE Data Entry Form'!U115,0)</f>
        <v>0</v>
      </c>
      <c r="D101" s="45"/>
      <c r="E101" s="153"/>
      <c r="G101" s="280" t="str">
        <f>IF(' Accting USE Data Entry Form'!B115&gt;0,' Accting USE Data Entry Form'!B115,"")</f>
        <v/>
      </c>
      <c r="H101" s="280"/>
      <c r="I101" s="280"/>
      <c r="J101" s="280"/>
      <c r="K101" s="280"/>
      <c r="L101" s="280"/>
    </row>
    <row r="102" spans="1:12" x14ac:dyDescent="0.25">
      <c r="A102" s="247">
        <v>95</v>
      </c>
      <c r="C102" s="248">
        <f>IF(' Accting USE Data Entry Form'!U116&gt;0,' Accting USE Data Entry Form'!U116,0)</f>
        <v>0</v>
      </c>
      <c r="D102" s="45"/>
      <c r="E102" s="153"/>
      <c r="G102" s="280" t="str">
        <f>IF(' Accting USE Data Entry Form'!B116&gt;0,' Accting USE Data Entry Form'!B116,"")</f>
        <v/>
      </c>
      <c r="H102" s="280"/>
      <c r="I102" s="280"/>
      <c r="J102" s="280"/>
      <c r="K102" s="280"/>
      <c r="L102" s="280"/>
    </row>
    <row r="103" spans="1:12" x14ac:dyDescent="0.25">
      <c r="A103" s="247">
        <v>96</v>
      </c>
      <c r="C103" s="248">
        <f>IF(' Accting USE Data Entry Form'!U117&gt;0,' Accting USE Data Entry Form'!U117,0)</f>
        <v>0</v>
      </c>
      <c r="D103" s="45"/>
      <c r="E103" s="153"/>
      <c r="G103" s="280" t="str">
        <f>IF(' Accting USE Data Entry Form'!B117&gt;0,' Accting USE Data Entry Form'!B117,"")</f>
        <v/>
      </c>
      <c r="H103" s="280"/>
      <c r="I103" s="280"/>
      <c r="J103" s="280"/>
      <c r="K103" s="280"/>
      <c r="L103" s="280"/>
    </row>
    <row r="104" spans="1:12" x14ac:dyDescent="0.25">
      <c r="A104" s="247">
        <v>97</v>
      </c>
      <c r="C104" s="248">
        <f>IF(' Accting USE Data Entry Form'!U118&gt;0,' Accting USE Data Entry Form'!U118,0)</f>
        <v>0</v>
      </c>
      <c r="D104" s="45"/>
      <c r="E104" s="153"/>
      <c r="G104" s="280" t="str">
        <f>IF(' Accting USE Data Entry Form'!B118&gt;0,' Accting USE Data Entry Form'!B118,"")</f>
        <v/>
      </c>
      <c r="H104" s="280"/>
      <c r="I104" s="280"/>
      <c r="J104" s="280"/>
      <c r="K104" s="280"/>
      <c r="L104" s="280"/>
    </row>
    <row r="105" spans="1:12" x14ac:dyDescent="0.25">
      <c r="A105" s="247">
        <v>98</v>
      </c>
      <c r="C105" s="248">
        <f>IF(' Accting USE Data Entry Form'!U119&gt;0,' Accting USE Data Entry Form'!U119,0)</f>
        <v>0</v>
      </c>
      <c r="D105" s="45"/>
      <c r="E105" s="153"/>
      <c r="G105" s="280" t="str">
        <f>IF(' Accting USE Data Entry Form'!B119&gt;0,' Accting USE Data Entry Form'!B119,"")</f>
        <v/>
      </c>
      <c r="H105" s="280"/>
      <c r="I105" s="280"/>
      <c r="J105" s="280"/>
      <c r="K105" s="280"/>
      <c r="L105" s="280"/>
    </row>
    <row r="106" spans="1:12" x14ac:dyDescent="0.25">
      <c r="A106" s="247">
        <v>99</v>
      </c>
      <c r="C106" s="248">
        <f>IF(' Accting USE Data Entry Form'!U120&gt;0,' Accting USE Data Entry Form'!U120,0)</f>
        <v>0</v>
      </c>
      <c r="D106" s="45"/>
      <c r="E106" s="153"/>
      <c r="G106" s="280" t="str">
        <f>IF(' Accting USE Data Entry Form'!B120&gt;0,' Accting USE Data Entry Form'!B120,"")</f>
        <v/>
      </c>
      <c r="H106" s="280"/>
      <c r="I106" s="280"/>
      <c r="J106" s="280"/>
      <c r="K106" s="280"/>
      <c r="L106" s="280"/>
    </row>
    <row r="107" spans="1:12" x14ac:dyDescent="0.25">
      <c r="A107" s="247">
        <v>100</v>
      </c>
      <c r="C107" s="248">
        <f>IF(' Accting USE Data Entry Form'!U121&gt;0,' Accting USE Data Entry Form'!U121,0)</f>
        <v>0</v>
      </c>
      <c r="D107" s="45"/>
      <c r="E107" s="153"/>
      <c r="G107" s="280" t="str">
        <f>IF(' Accting USE Data Entry Form'!B121&gt;0,' Accting USE Data Entry Form'!B121,"")</f>
        <v/>
      </c>
      <c r="H107" s="280"/>
      <c r="I107" s="280"/>
      <c r="J107" s="280"/>
      <c r="K107" s="280"/>
      <c r="L107" s="280"/>
    </row>
    <row r="108" spans="1:12" x14ac:dyDescent="0.25">
      <c r="A108" s="247">
        <v>101</v>
      </c>
      <c r="C108" s="248">
        <f>IF(' Accting USE Data Entry Form'!U122&gt;0,' Accting USE Data Entry Form'!U122,0)</f>
        <v>0</v>
      </c>
      <c r="D108" s="45"/>
      <c r="E108" s="153"/>
      <c r="G108" s="280" t="str">
        <f>IF(' Accting USE Data Entry Form'!B122&gt;0,' Accting USE Data Entry Form'!B122,"")</f>
        <v/>
      </c>
      <c r="H108" s="280"/>
      <c r="I108" s="280"/>
      <c r="J108" s="280"/>
      <c r="K108" s="280"/>
      <c r="L108" s="280"/>
    </row>
    <row r="109" spans="1:12" x14ac:dyDescent="0.25">
      <c r="A109" s="247">
        <v>102</v>
      </c>
      <c r="C109" s="248">
        <f>IF(' Accting USE Data Entry Form'!U123&gt;0,' Accting USE Data Entry Form'!U123,0)</f>
        <v>0</v>
      </c>
      <c r="D109" s="45"/>
      <c r="E109" s="153"/>
      <c r="G109" s="280" t="str">
        <f>IF(' Accting USE Data Entry Form'!B123&gt;0,' Accting USE Data Entry Form'!B123,"")</f>
        <v/>
      </c>
      <c r="H109" s="280"/>
      <c r="I109" s="280"/>
      <c r="J109" s="280"/>
      <c r="K109" s="280"/>
      <c r="L109" s="280"/>
    </row>
    <row r="110" spans="1:12" x14ac:dyDescent="0.25">
      <c r="A110" s="247">
        <v>103</v>
      </c>
      <c r="C110" s="248">
        <f>IF(' Accting USE Data Entry Form'!U156&gt;0,' Accting USE Data Entry Form'!U156,0)</f>
        <v>0</v>
      </c>
      <c r="D110" s="45"/>
      <c r="E110" s="153"/>
      <c r="G110" s="280" t="str">
        <f>IF(' Accting USE Data Entry Form'!B124&gt;0,' Accting USE Data Entry Form'!B124,"")</f>
        <v/>
      </c>
      <c r="H110" s="280"/>
      <c r="I110" s="280"/>
      <c r="J110" s="280"/>
      <c r="K110" s="280"/>
      <c r="L110" s="280"/>
    </row>
    <row r="111" spans="1:12" x14ac:dyDescent="0.25">
      <c r="A111" s="247">
        <v>104</v>
      </c>
      <c r="C111" s="248">
        <f>IF(' Accting USE Data Entry Form'!U157&gt;0,' Accting USE Data Entry Form'!U157,0)</f>
        <v>0</v>
      </c>
      <c r="D111" s="45"/>
      <c r="E111" s="153"/>
      <c r="G111" s="280" t="str">
        <f>IF(' Accting USE Data Entry Form'!B125&gt;0,' Accting USE Data Entry Form'!B125,"")</f>
        <v/>
      </c>
      <c r="H111" s="280"/>
      <c r="I111" s="280"/>
      <c r="J111" s="280"/>
      <c r="K111" s="280"/>
      <c r="L111" s="280"/>
    </row>
    <row r="112" spans="1:12" x14ac:dyDescent="0.25">
      <c r="A112" s="247">
        <v>105</v>
      </c>
      <c r="C112" s="248">
        <f>IF(' Accting USE Data Entry Form'!U158&gt;0,' Accting USE Data Entry Form'!U158,0)</f>
        <v>0</v>
      </c>
      <c r="D112" s="45"/>
      <c r="E112" s="153" t="str">
        <f t="shared" si="0"/>
        <v xml:space="preserve"> </v>
      </c>
      <c r="G112" s="280" t="str">
        <f>IF(' Accting USE Data Entry Form'!B126&gt;0,' Accting USE Data Entry Form'!B126,"")</f>
        <v/>
      </c>
      <c r="H112" s="280"/>
      <c r="I112" s="280"/>
      <c r="J112" s="280"/>
      <c r="K112" s="280"/>
      <c r="L112" s="280"/>
    </row>
    <row r="113" spans="1:12" x14ac:dyDescent="0.25">
      <c r="A113" s="247">
        <v>106</v>
      </c>
      <c r="C113" s="248">
        <f>IF(' Accting USE Data Entry Form'!U159&gt;0,' Accting USE Data Entry Form'!U159,0)</f>
        <v>0</v>
      </c>
      <c r="D113" s="45"/>
      <c r="E113" s="153" t="str">
        <f t="shared" si="0"/>
        <v xml:space="preserve"> </v>
      </c>
      <c r="G113" s="280" t="str">
        <f>IF(' Accting USE Data Entry Form'!B127&gt;0,' Accting USE Data Entry Form'!B127,"")</f>
        <v/>
      </c>
      <c r="H113" s="280"/>
      <c r="I113" s="280"/>
      <c r="J113" s="280"/>
      <c r="K113" s="280"/>
      <c r="L113" s="280"/>
    </row>
    <row r="114" spans="1:12" ht="12" customHeight="1" x14ac:dyDescent="0.25">
      <c r="C114" s="4"/>
      <c r="E114" s="4"/>
      <c r="G114" s="280"/>
      <c r="H114" s="280"/>
      <c r="I114" s="280"/>
      <c r="J114" s="280"/>
      <c r="K114" s="280"/>
      <c r="L114" s="280"/>
    </row>
    <row r="115" spans="1:12" ht="12" customHeight="1" x14ac:dyDescent="0.25">
      <c r="A115" s="3" t="s">
        <v>30</v>
      </c>
      <c r="C115" s="40"/>
      <c r="D115" s="5"/>
      <c r="E115" s="40"/>
      <c r="F115" s="5"/>
      <c r="G115" s="5"/>
      <c r="H115" s="1"/>
      <c r="I115" s="1"/>
      <c r="J115" s="16"/>
      <c r="K115" s="1"/>
      <c r="L115" s="1"/>
    </row>
    <row r="116" spans="1:12" ht="23.25" customHeight="1" x14ac:dyDescent="0.25">
      <c r="F116" s="288" t="s">
        <v>31</v>
      </c>
      <c r="G116" s="289"/>
      <c r="H116" s="289"/>
      <c r="I116" s="289"/>
      <c r="J116" s="289"/>
      <c r="K116" s="14"/>
      <c r="L116" s="14" t="s">
        <v>3</v>
      </c>
    </row>
    <row r="117" spans="1:12" x14ac:dyDescent="0.25">
      <c r="A117" s="3" t="s">
        <v>29</v>
      </c>
      <c r="F117" s="5"/>
      <c r="G117" s="5"/>
      <c r="H117" s="285" t="s">
        <v>55</v>
      </c>
      <c r="I117" s="286"/>
      <c r="J117" s="286"/>
      <c r="K117" s="1"/>
      <c r="L117" s="48">
        <f>K5</f>
        <v>42855</v>
      </c>
    </row>
    <row r="118" spans="1:12" ht="23.25" customHeight="1" x14ac:dyDescent="0.25">
      <c r="F118" s="5"/>
      <c r="G118" s="5"/>
      <c r="H118" s="5"/>
      <c r="I118" s="5"/>
      <c r="J118" s="15" t="s">
        <v>32</v>
      </c>
      <c r="K118" s="14"/>
      <c r="L118" s="14" t="s">
        <v>3</v>
      </c>
    </row>
    <row r="119" spans="1:12" ht="15.75" customHeight="1" x14ac:dyDescent="0.25">
      <c r="A119" s="3"/>
      <c r="F119" s="5"/>
      <c r="G119" s="5"/>
      <c r="H119" s="5"/>
      <c r="I119" s="5"/>
      <c r="J119" s="15"/>
      <c r="K119" s="14"/>
      <c r="L119" s="14"/>
    </row>
    <row r="120" spans="1:12" ht="23.25" customHeight="1" x14ac:dyDescent="0.25">
      <c r="F120" s="5"/>
      <c r="G120" s="5"/>
      <c r="H120" s="5"/>
      <c r="I120" s="5"/>
      <c r="J120" s="15"/>
      <c r="K120" s="14"/>
    </row>
    <row r="121" spans="1:12" ht="15.75" customHeight="1" x14ac:dyDescent="0.25">
      <c r="A121" s="27" t="s">
        <v>25</v>
      </c>
      <c r="B121" s="27"/>
      <c r="C121" s="41"/>
      <c r="D121" s="27"/>
      <c r="E121" s="41"/>
      <c r="F121" s="28"/>
      <c r="G121" s="28"/>
      <c r="H121" s="28"/>
      <c r="I121" s="28"/>
      <c r="J121" s="29"/>
      <c r="K121" s="30"/>
      <c r="L121" s="27"/>
    </row>
    <row r="122" spans="1:12" ht="27.75" customHeight="1" x14ac:dyDescent="0.25">
      <c r="A122" s="18"/>
      <c r="B122" s="18"/>
      <c r="C122" s="42"/>
      <c r="D122" s="18"/>
      <c r="E122" s="42"/>
      <c r="F122" s="19"/>
      <c r="G122" s="19"/>
      <c r="H122" s="19"/>
      <c r="I122" s="19"/>
      <c r="J122" s="20"/>
      <c r="K122" s="21"/>
      <c r="L122" s="18"/>
    </row>
    <row r="123" spans="1:12" x14ac:dyDescent="0.25">
      <c r="A123" s="23" t="s">
        <v>23</v>
      </c>
      <c r="B123" s="18"/>
      <c r="C123" s="42"/>
      <c r="D123" s="18"/>
      <c r="E123" s="42"/>
      <c r="F123" s="19"/>
      <c r="G123" s="19"/>
      <c r="H123" s="19"/>
      <c r="I123" s="24"/>
      <c r="J123" s="25"/>
      <c r="K123" s="24"/>
      <c r="L123" s="24"/>
    </row>
    <row r="124" spans="1:12" ht="23.25" customHeight="1" x14ac:dyDescent="0.25">
      <c r="A124" s="18"/>
      <c r="B124" s="18"/>
      <c r="C124" s="42"/>
      <c r="D124" s="18"/>
      <c r="E124" s="42"/>
      <c r="F124" s="19"/>
      <c r="G124" s="19"/>
      <c r="H124" s="19"/>
      <c r="I124" s="19"/>
      <c r="J124" s="20"/>
      <c r="K124" s="21" t="s">
        <v>3</v>
      </c>
      <c r="L124" s="18"/>
    </row>
    <row r="125" spans="1:12" x14ac:dyDescent="0.25">
      <c r="A125" s="23" t="s">
        <v>22</v>
      </c>
      <c r="B125" s="18"/>
      <c r="C125" s="42"/>
      <c r="D125" s="18"/>
      <c r="E125" s="42"/>
      <c r="F125" s="19"/>
      <c r="G125" s="26"/>
      <c r="H125" s="24"/>
      <c r="I125" s="24"/>
      <c r="J125" s="25"/>
      <c r="K125" s="24"/>
      <c r="L125" s="24"/>
    </row>
    <row r="126" spans="1:12" ht="16.5" customHeight="1" x14ac:dyDescent="0.25">
      <c r="A126" s="18"/>
      <c r="B126" s="18"/>
      <c r="C126" s="42"/>
      <c r="D126" s="18"/>
      <c r="E126" s="42"/>
      <c r="F126" s="18"/>
      <c r="G126" s="18"/>
      <c r="H126" s="18"/>
      <c r="I126" s="18"/>
      <c r="J126" s="21"/>
      <c r="K126" s="21" t="s">
        <v>3</v>
      </c>
      <c r="L126" s="18"/>
    </row>
    <row r="127" spans="1:12" x14ac:dyDescent="0.25">
      <c r="A127" s="18"/>
      <c r="B127" s="18"/>
      <c r="C127" s="42"/>
      <c r="D127" s="18"/>
      <c r="E127" s="42"/>
      <c r="F127" s="18"/>
      <c r="G127" s="18"/>
      <c r="H127" s="18"/>
      <c r="I127" s="18"/>
      <c r="J127" s="18"/>
      <c r="K127" s="18"/>
      <c r="L127" s="18"/>
    </row>
  </sheetData>
  <sheetProtection selectLockedCells="1"/>
  <autoFilter ref="A7:L113"/>
  <mergeCells count="116">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88:L88"/>
    <mergeCell ref="G89:L89"/>
    <mergeCell ref="G90:L90"/>
    <mergeCell ref="G91:L91"/>
    <mergeCell ref="G82:L82"/>
    <mergeCell ref="G83:L83"/>
    <mergeCell ref="G84:L84"/>
    <mergeCell ref="G85:L85"/>
    <mergeCell ref="G86:L86"/>
    <mergeCell ref="G97:L97"/>
    <mergeCell ref="G98:L98"/>
    <mergeCell ref="G99:L99"/>
    <mergeCell ref="G100:L100"/>
    <mergeCell ref="G101:L101"/>
    <mergeCell ref="G92:L92"/>
    <mergeCell ref="G93:L93"/>
    <mergeCell ref="G94:L94"/>
    <mergeCell ref="G95:L95"/>
    <mergeCell ref="G96:L96"/>
    <mergeCell ref="G114:L114"/>
    <mergeCell ref="G107:L107"/>
    <mergeCell ref="G108:L108"/>
    <mergeCell ref="G109:L109"/>
    <mergeCell ref="G110:L110"/>
    <mergeCell ref="G111:L111"/>
    <mergeCell ref="G102:L102"/>
    <mergeCell ref="G103:L103"/>
    <mergeCell ref="G104:L104"/>
    <mergeCell ref="G105:L105"/>
    <mergeCell ref="G106:L106"/>
  </mergeCells>
  <phoneticPr fontId="6" type="noConversion"/>
  <conditionalFormatting sqref="E8:E50 E52:E113">
    <cfRule type="expression" dxfId="13" priority="5">
      <formula>$L$4="no"</formula>
    </cfRule>
  </conditionalFormatting>
  <conditionalFormatting sqref="C8:C113">
    <cfRule type="expression" dxfId="12" priority="3">
      <formula>$L$4="yes"</formula>
    </cfRule>
  </conditionalFormatting>
  <conditionalFormatting sqref="E51">
    <cfRule type="expression" dxfId="11" priority="1">
      <formula>$L$4="no"</formula>
    </cfRule>
  </conditionalFormatting>
  <dataValidations count="1">
    <dataValidation allowBlank="1" sqref="C8:C113"/>
  </dataValidations>
  <printOptions horizontalCentered="1"/>
  <pageMargins left="0.5" right="0.5" top="0.5" bottom="0.5" header="0.5" footer="0.5"/>
  <pageSetup scale="91" orientation="portrait" r:id="rId1"/>
  <headerFooter alignWithMargins="0">
    <oddFooter>&amp;L&amp;8&amp;Z&amp;F</oddFooter>
  </headerFooter>
  <ignoredErrors>
    <ignoredError sqref="G8:L53 C4:C5 H5 K5 L117 C8 G54:L5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90"/>
      <c r="B1" s="290"/>
      <c r="C1" s="290"/>
      <c r="D1" s="290"/>
      <c r="E1" s="290"/>
      <c r="F1" s="290"/>
      <c r="G1" s="290"/>
      <c r="H1" s="290"/>
    </row>
    <row r="2" spans="1:11" ht="15.6" x14ac:dyDescent="0.3">
      <c r="A2" s="291" t="s">
        <v>4</v>
      </c>
      <c r="B2" s="291"/>
      <c r="C2" s="291"/>
      <c r="D2" s="291"/>
      <c r="E2" s="291"/>
      <c r="F2" s="291"/>
      <c r="G2" s="291"/>
      <c r="H2" s="291"/>
      <c r="I2" s="291"/>
      <c r="J2" s="291"/>
    </row>
    <row r="3" spans="1:11" ht="15.6" x14ac:dyDescent="0.3">
      <c r="A3" s="291" t="s">
        <v>34</v>
      </c>
      <c r="B3" s="291"/>
      <c r="C3" s="291"/>
      <c r="D3" s="291"/>
      <c r="E3" s="291"/>
      <c r="F3" s="291"/>
      <c r="G3" s="291"/>
      <c r="H3" s="291"/>
      <c r="I3" s="291"/>
      <c r="J3" s="291"/>
    </row>
    <row r="4" spans="1:11" ht="15.6" x14ac:dyDescent="0.3">
      <c r="A4" s="291" t="s">
        <v>44</v>
      </c>
      <c r="B4" s="291"/>
      <c r="C4" s="291"/>
      <c r="D4" s="291"/>
      <c r="E4" s="291"/>
      <c r="F4" s="291"/>
      <c r="G4" s="291"/>
      <c r="H4" s="291"/>
      <c r="I4" s="291"/>
      <c r="J4" s="291"/>
    </row>
    <row r="6" spans="1:11" ht="30.75" customHeight="1" x14ac:dyDescent="0.25">
      <c r="A6" s="292" t="s">
        <v>37</v>
      </c>
      <c r="B6" s="293"/>
      <c r="C6" s="293"/>
      <c r="D6" s="293"/>
      <c r="E6" s="293"/>
      <c r="F6" s="293"/>
      <c r="G6" s="293"/>
      <c r="H6" s="293"/>
      <c r="I6" s="293"/>
      <c r="J6" s="293"/>
    </row>
    <row r="7" spans="1:11" ht="19.5" customHeight="1" x14ac:dyDescent="0.25"/>
    <row r="8" spans="1:11" ht="16.5" customHeight="1" x14ac:dyDescent="0.25">
      <c r="A8" s="33" t="s">
        <v>35</v>
      </c>
      <c r="B8" s="32"/>
      <c r="C8" s="32"/>
      <c r="D8" s="32"/>
      <c r="E8" s="32"/>
      <c r="F8" s="32"/>
      <c r="G8" s="32"/>
      <c r="H8" s="32"/>
    </row>
    <row r="9" spans="1:11" ht="19.5" customHeight="1" x14ac:dyDescent="0.25"/>
    <row r="10" spans="1:11" ht="30.75" customHeight="1" x14ac:dyDescent="0.25">
      <c r="A10" s="292" t="s">
        <v>36</v>
      </c>
      <c r="B10" s="293"/>
      <c r="C10" s="293"/>
      <c r="D10" s="293"/>
      <c r="E10" s="293"/>
      <c r="F10" s="293"/>
      <c r="G10" s="293"/>
      <c r="H10" s="293"/>
      <c r="I10" s="293"/>
      <c r="J10" s="293"/>
    </row>
    <row r="11" spans="1:11" ht="65.25" customHeight="1" x14ac:dyDescent="0.25">
      <c r="B11" s="292" t="s">
        <v>46</v>
      </c>
      <c r="C11" s="293"/>
      <c r="D11" s="293"/>
      <c r="E11" s="293"/>
      <c r="F11" s="293"/>
      <c r="G11" s="293"/>
      <c r="H11" s="293"/>
      <c r="I11" s="293"/>
      <c r="J11" s="35"/>
      <c r="K11" s="35"/>
    </row>
    <row r="12" spans="1:11" ht="19.5" customHeight="1" x14ac:dyDescent="0.25">
      <c r="A12" s="2"/>
      <c r="B12" s="2"/>
      <c r="C12" s="2"/>
      <c r="D12" s="2"/>
      <c r="E12" s="2"/>
      <c r="F12" s="2"/>
      <c r="G12" s="2"/>
      <c r="H12" s="2"/>
    </row>
    <row r="13" spans="1:11" ht="43.5" customHeight="1" x14ac:dyDescent="0.25">
      <c r="A13" s="292" t="s">
        <v>43</v>
      </c>
      <c r="B13" s="292"/>
      <c r="C13" s="292"/>
      <c r="D13" s="292"/>
      <c r="E13" s="292"/>
      <c r="F13" s="292"/>
      <c r="G13" s="292"/>
      <c r="H13" s="292"/>
      <c r="I13" s="292"/>
      <c r="J13" s="292"/>
    </row>
    <row r="14" spans="1:11" ht="19.5" customHeight="1" x14ac:dyDescent="0.25">
      <c r="A14" s="2"/>
      <c r="B14" s="2"/>
      <c r="C14" s="2"/>
      <c r="D14" s="2"/>
      <c r="E14" s="2"/>
      <c r="F14" s="2"/>
      <c r="G14" s="2"/>
      <c r="H14" s="2"/>
    </row>
    <row r="15" spans="1:11" ht="54.75" customHeight="1" x14ac:dyDescent="0.25">
      <c r="A15" s="292" t="s">
        <v>38</v>
      </c>
      <c r="B15" s="295"/>
      <c r="C15" s="295"/>
      <c r="D15" s="295"/>
      <c r="E15" s="295"/>
      <c r="F15" s="295"/>
      <c r="G15" s="295"/>
      <c r="H15" s="295"/>
      <c r="I15" s="295"/>
      <c r="J15" s="295"/>
    </row>
    <row r="16" spans="1:11" ht="19.5" customHeight="1" x14ac:dyDescent="0.25"/>
    <row r="17" spans="1:10" ht="39" customHeight="1" x14ac:dyDescent="0.25">
      <c r="A17" s="294" t="s">
        <v>39</v>
      </c>
      <c r="B17" s="296"/>
      <c r="C17" s="296"/>
      <c r="D17" s="296"/>
      <c r="E17" s="296"/>
      <c r="F17" s="296"/>
      <c r="G17" s="296"/>
      <c r="H17" s="296"/>
      <c r="I17" s="296"/>
      <c r="J17" s="296"/>
    </row>
    <row r="18" spans="1:10" ht="19.5" customHeight="1" x14ac:dyDescent="0.25"/>
    <row r="19" spans="1:10" ht="56.25" customHeight="1" x14ac:dyDescent="0.25">
      <c r="A19" s="294" t="s">
        <v>40</v>
      </c>
      <c r="B19" s="296"/>
      <c r="C19" s="296"/>
      <c r="D19" s="296"/>
      <c r="E19" s="296"/>
      <c r="F19" s="296"/>
      <c r="G19" s="296"/>
      <c r="H19" s="296"/>
      <c r="I19" s="296"/>
      <c r="J19" s="296"/>
    </row>
    <row r="20" spans="1:10" ht="20.25" customHeight="1" x14ac:dyDescent="0.25"/>
    <row r="21" spans="1:10" ht="27.75" customHeight="1" x14ac:dyDescent="0.25">
      <c r="A21" s="294" t="s">
        <v>20</v>
      </c>
      <c r="B21" s="294"/>
      <c r="C21" s="294"/>
      <c r="D21" s="294"/>
      <c r="E21" s="294"/>
      <c r="F21" s="294"/>
      <c r="G21" s="294"/>
      <c r="H21" s="294"/>
      <c r="I21" s="294"/>
      <c r="J21" s="294"/>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AI111"/>
  <sheetViews>
    <sheetView showGridLines="0" zoomScale="85" zoomScaleNormal="85" workbookViewId="0">
      <pane xSplit="2" ySplit="10" topLeftCell="I78" activePane="bottomRight" state="frozen"/>
      <selection activeCell="O5" sqref="O5"/>
      <selection pane="topRight" activeCell="O5" sqref="O5"/>
      <selection pane="bottomLeft" activeCell="O5" sqref="O5"/>
      <selection pane="bottomRight" activeCell="S93" sqref="S93"/>
    </sheetView>
  </sheetViews>
  <sheetFormatPr defaultColWidth="29.5546875" defaultRowHeight="13.2" outlineLevelCol="1" x14ac:dyDescent="0.25"/>
  <cols>
    <col min="1" max="1" width="5.109375" style="62" customWidth="1"/>
    <col min="2" max="2" width="54" style="51" customWidth="1"/>
    <col min="3" max="3" width="52" style="51" hidden="1" customWidth="1"/>
    <col min="4" max="4" width="15.77734375" style="51" customWidth="1"/>
    <col min="5" max="5" width="12.21875" style="51" customWidth="1"/>
    <col min="6" max="6" width="12.5546875" style="51" hidden="1" customWidth="1"/>
    <col min="7" max="7" width="15.44140625" style="51" hidden="1" customWidth="1"/>
    <col min="8" max="8" width="12.5546875" style="51" hidden="1" customWidth="1"/>
    <col min="9" max="9" width="12.5546875" style="203" customWidth="1"/>
    <col min="10" max="10" width="13.33203125" style="51" customWidth="1" outlineLevel="1"/>
    <col min="11" max="17" width="12.5546875" style="51" hidden="1" customWidth="1" outlineLevel="1"/>
    <col min="18" max="18" width="13" style="115" hidden="1" customWidth="1" outlineLevel="1"/>
    <col min="19" max="19" width="13" style="255" customWidth="1" outlineLevel="1"/>
    <col min="20" max="20" width="12.5546875" style="51" customWidth="1"/>
    <col min="21" max="21" width="11.21875" style="57" customWidth="1"/>
    <col min="22" max="22" width="4.109375" style="51" customWidth="1"/>
    <col min="23" max="23" width="14.88671875" style="51" customWidth="1"/>
    <col min="24" max="24" width="3.88671875" style="57" customWidth="1"/>
    <col min="25" max="25" width="13.6640625" style="54" customWidth="1"/>
    <col min="26" max="26" width="3.88671875" style="57" customWidth="1"/>
    <col min="27" max="27" width="12.88671875" style="51" customWidth="1"/>
    <col min="28" max="28" width="2.44140625" style="51" customWidth="1"/>
    <col min="29" max="29" width="12.88671875" style="54" customWidth="1"/>
    <col min="30" max="30" width="2.44140625" style="51" customWidth="1"/>
    <col min="31" max="31" width="14.44140625" style="54" customWidth="1"/>
    <col min="32" max="32" width="5" style="51" customWidth="1"/>
    <col min="33" max="33" width="18.77734375" style="54" customWidth="1"/>
    <col min="34" max="16384" width="29.5546875" style="51"/>
  </cols>
  <sheetData>
    <row r="1" spans="1:35" ht="15.6" x14ac:dyDescent="0.3">
      <c r="A1" s="291" t="s">
        <v>4</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5" x14ac:dyDescent="0.25">
      <c r="A2" s="290" t="s">
        <v>9</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row>
    <row r="3" spans="1:35" x14ac:dyDescent="0.25">
      <c r="A3" s="290" t="s">
        <v>19</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row>
    <row r="4" spans="1:35" x14ac:dyDescent="0.25">
      <c r="I4" s="51"/>
    </row>
    <row r="5" spans="1:35" ht="15" customHeight="1" x14ac:dyDescent="0.25">
      <c r="A5" s="56"/>
      <c r="B5" s="55" t="s">
        <v>0</v>
      </c>
      <c r="C5" s="200"/>
      <c r="D5" s="113"/>
      <c r="E5" s="113"/>
      <c r="F5" s="124"/>
      <c r="G5" s="124"/>
      <c r="H5" s="124"/>
      <c r="I5" s="124"/>
      <c r="J5" s="124"/>
      <c r="K5" s="124"/>
      <c r="L5" s="124"/>
      <c r="M5" s="124"/>
      <c r="N5" s="124"/>
      <c r="O5" s="124"/>
      <c r="P5" s="124"/>
      <c r="Q5" s="124"/>
      <c r="R5" s="113"/>
      <c r="S5" s="254"/>
      <c r="T5" s="54"/>
      <c r="U5" s="284" t="s">
        <v>56</v>
      </c>
      <c r="V5" s="284"/>
      <c r="W5" s="284"/>
      <c r="X5" s="284"/>
      <c r="Y5" s="284"/>
      <c r="Z5" s="284"/>
      <c r="AA5" s="59"/>
      <c r="AB5" s="59" t="s">
        <v>26</v>
      </c>
      <c r="AE5" s="93">
        <v>42855</v>
      </c>
    </row>
    <row r="6" spans="1:35" x14ac:dyDescent="0.25">
      <c r="A6" s="58"/>
      <c r="B6" s="54"/>
      <c r="C6" s="199"/>
      <c r="D6" s="114"/>
      <c r="E6" s="114"/>
      <c r="F6" s="125"/>
      <c r="G6" s="125"/>
      <c r="H6" s="125"/>
      <c r="I6" s="125"/>
      <c r="J6" s="125"/>
      <c r="K6" s="125"/>
      <c r="L6" s="125"/>
      <c r="M6" s="125"/>
      <c r="N6" s="125"/>
      <c r="O6" s="125"/>
      <c r="P6" s="125"/>
      <c r="Q6" s="125"/>
      <c r="R6" s="61"/>
      <c r="S6" s="61"/>
      <c r="T6" s="54"/>
      <c r="Y6" s="60"/>
      <c r="AB6" s="59"/>
      <c r="AE6" s="61" t="s">
        <v>6</v>
      </c>
    </row>
    <row r="7" spans="1:35" ht="13.2" customHeight="1" x14ac:dyDescent="0.25">
      <c r="A7" s="54"/>
      <c r="B7" s="52" t="s">
        <v>2</v>
      </c>
      <c r="C7" s="52"/>
      <c r="D7" s="52"/>
      <c r="E7" s="52"/>
      <c r="F7" s="52"/>
      <c r="G7" s="52"/>
      <c r="H7" s="52"/>
      <c r="I7" s="52"/>
      <c r="J7" s="52"/>
      <c r="K7" s="52"/>
      <c r="L7" s="52"/>
      <c r="M7" s="52"/>
      <c r="N7" s="52"/>
      <c r="O7" s="52"/>
      <c r="P7" s="52"/>
      <c r="Q7" s="52"/>
      <c r="R7" s="52"/>
      <c r="S7" s="52"/>
      <c r="T7" s="54"/>
      <c r="U7" s="298" t="s">
        <v>50</v>
      </c>
      <c r="V7" s="298"/>
      <c r="W7" s="298"/>
      <c r="X7" s="298"/>
      <c r="AB7" s="59"/>
      <c r="AC7" s="47" t="s">
        <v>16</v>
      </c>
      <c r="AE7" s="60"/>
    </row>
    <row r="8" spans="1:35" x14ac:dyDescent="0.25">
      <c r="B8" s="53" t="s">
        <v>41</v>
      </c>
      <c r="C8" s="53"/>
      <c r="D8" s="53"/>
      <c r="E8" s="53"/>
      <c r="F8" s="53"/>
      <c r="G8" s="53"/>
      <c r="H8" s="53"/>
      <c r="I8" s="52"/>
      <c r="J8" s="52"/>
      <c r="K8" s="52"/>
      <c r="L8" s="52"/>
      <c r="M8" s="52"/>
      <c r="N8" s="52"/>
      <c r="O8" s="52"/>
      <c r="P8" s="52"/>
      <c r="Q8" s="52"/>
      <c r="R8" s="52"/>
      <c r="S8" s="52"/>
      <c r="T8" s="59"/>
      <c r="U8" s="299" t="s">
        <v>57</v>
      </c>
      <c r="V8" s="299"/>
      <c r="W8" s="299"/>
      <c r="X8" s="63"/>
      <c r="AB8" s="59" t="s">
        <v>17</v>
      </c>
      <c r="AE8" s="64"/>
    </row>
    <row r="9" spans="1:35" x14ac:dyDescent="0.25">
      <c r="B9" s="53"/>
      <c r="C9" s="53"/>
      <c r="D9" s="53"/>
      <c r="E9" s="53"/>
      <c r="F9" s="160">
        <v>42675</v>
      </c>
      <c r="G9" s="161">
        <v>42705</v>
      </c>
      <c r="H9" s="161">
        <v>42736</v>
      </c>
      <c r="I9" s="52"/>
      <c r="J9" s="52"/>
      <c r="K9" s="52"/>
      <c r="L9" s="52"/>
      <c r="M9" s="52"/>
      <c r="N9" s="52"/>
      <c r="O9" s="52"/>
      <c r="P9" s="52"/>
      <c r="Q9" s="52"/>
      <c r="R9" s="52"/>
      <c r="S9" s="52"/>
      <c r="T9" s="59"/>
      <c r="U9" s="120"/>
      <c r="V9" s="120"/>
      <c r="W9" s="120"/>
      <c r="X9" s="63"/>
      <c r="Y9" s="106"/>
      <c r="Z9" s="107"/>
      <c r="AB9" s="59"/>
      <c r="AC9" s="106"/>
      <c r="AE9" s="64"/>
      <c r="AG9" s="106"/>
    </row>
    <row r="10" spans="1:35" s="77" customFormat="1" ht="44.4" customHeight="1" x14ac:dyDescent="0.25">
      <c r="A10" s="142" t="s">
        <v>1</v>
      </c>
      <c r="B10" s="142" t="s">
        <v>48</v>
      </c>
      <c r="C10" s="142"/>
      <c r="D10" s="142" t="s">
        <v>24</v>
      </c>
      <c r="E10" s="142" t="s">
        <v>211</v>
      </c>
      <c r="F10" s="146" t="s">
        <v>210</v>
      </c>
      <c r="G10" s="146" t="s">
        <v>213</v>
      </c>
      <c r="H10" s="146" t="s">
        <v>214</v>
      </c>
      <c r="I10" s="161">
        <v>42767</v>
      </c>
      <c r="J10" s="161">
        <v>42795</v>
      </c>
      <c r="K10" s="161">
        <v>42826</v>
      </c>
      <c r="L10" s="161">
        <v>42856</v>
      </c>
      <c r="M10" s="161">
        <v>42887</v>
      </c>
      <c r="N10" s="161">
        <v>42917</v>
      </c>
      <c r="O10" s="161">
        <v>42948</v>
      </c>
      <c r="P10" s="161">
        <v>42979</v>
      </c>
      <c r="Q10" s="161">
        <v>43009</v>
      </c>
      <c r="R10" s="161">
        <v>43040</v>
      </c>
      <c r="S10" s="260" t="s">
        <v>245</v>
      </c>
      <c r="T10" s="142" t="s">
        <v>51</v>
      </c>
      <c r="U10" s="142" t="s">
        <v>5</v>
      </c>
      <c r="V10" s="143" t="s">
        <v>107</v>
      </c>
      <c r="W10" s="142" t="s">
        <v>209</v>
      </c>
      <c r="X10" s="144" t="s">
        <v>10</v>
      </c>
      <c r="Y10" s="142" t="s">
        <v>11</v>
      </c>
      <c r="Z10" s="145" t="s">
        <v>194</v>
      </c>
      <c r="AA10" s="142" t="s">
        <v>196</v>
      </c>
      <c r="AB10" s="143" t="s">
        <v>12</v>
      </c>
      <c r="AC10" s="142" t="s">
        <v>15</v>
      </c>
      <c r="AD10" s="144" t="s">
        <v>197</v>
      </c>
      <c r="AE10" s="142" t="s">
        <v>13</v>
      </c>
      <c r="AF10" s="144" t="s">
        <v>198</v>
      </c>
      <c r="AG10" s="142" t="s">
        <v>14</v>
      </c>
      <c r="AH10" s="77" t="s">
        <v>195</v>
      </c>
      <c r="AI10" s="77" t="s">
        <v>208</v>
      </c>
    </row>
    <row r="11" spans="1:35" ht="14.4" customHeight="1" x14ac:dyDescent="0.25">
      <c r="A11" s="65">
        <v>1</v>
      </c>
      <c r="B11" s="83" t="s">
        <v>49</v>
      </c>
      <c r="C11" s="83">
        <f>A11</f>
        <v>1</v>
      </c>
      <c r="D11" s="91">
        <v>157470</v>
      </c>
      <c r="E11" s="66">
        <v>1</v>
      </c>
      <c r="F11" s="147"/>
      <c r="G11" s="139"/>
      <c r="H11" s="122"/>
      <c r="I11" s="122"/>
      <c r="J11" s="122"/>
      <c r="K11" s="122"/>
      <c r="L11" s="123"/>
      <c r="M11" s="123"/>
      <c r="N11" s="123"/>
      <c r="O11" s="123"/>
      <c r="P11" s="123"/>
      <c r="Q11" s="123"/>
      <c r="R11" s="122"/>
      <c r="S11" s="122"/>
      <c r="T11" s="81">
        <v>42248</v>
      </c>
      <c r="U11" s="66">
        <f>IF(E11&lt;1,SUM(F11:S11)/D11+E11,1)</f>
        <v>1</v>
      </c>
      <c r="V11" s="22" t="s">
        <v>27</v>
      </c>
      <c r="W11" s="91">
        <f t="shared" ref="W11:W42" si="0">D11</f>
        <v>157470</v>
      </c>
      <c r="X11" s="57" t="s">
        <v>10</v>
      </c>
      <c r="Y11" s="67">
        <f t="shared" ref="Y11:Y42" si="1">U11*W11</f>
        <v>157470</v>
      </c>
      <c r="Z11" s="68"/>
      <c r="AA11" s="69">
        <f t="shared" ref="AA11:AA16" si="2">+Y11</f>
        <v>157470</v>
      </c>
      <c r="AB11" s="70" t="s">
        <v>12</v>
      </c>
      <c r="AC11" s="67">
        <f t="shared" ref="AC11:AC20" si="3">AA11-AE11</f>
        <v>0</v>
      </c>
      <c r="AD11" s="71" t="s">
        <v>12</v>
      </c>
      <c r="AE11" s="67">
        <f>SUMIF(Table2[Milestone/ Line],$B11,Table2[Invoice Amount])</f>
        <v>157470</v>
      </c>
      <c r="AF11" s="71" t="s">
        <v>10</v>
      </c>
      <c r="AG11" s="72">
        <f>+AA11-AC11-AE11</f>
        <v>0</v>
      </c>
      <c r="AI11" s="51">
        <f t="shared" ref="AI11:AI56" si="4">9200/147200</f>
        <v>6.25E-2</v>
      </c>
    </row>
    <row r="12" spans="1:35" ht="14.4" customHeight="1" x14ac:dyDescent="0.25">
      <c r="A12" s="65">
        <v>2</v>
      </c>
      <c r="B12" s="83" t="s">
        <v>47</v>
      </c>
      <c r="C12" s="83">
        <f t="shared" ref="C12:C60" si="5">A12</f>
        <v>2</v>
      </c>
      <c r="D12" s="92">
        <v>157470</v>
      </c>
      <c r="E12" s="66">
        <v>1</v>
      </c>
      <c r="F12" s="147"/>
      <c r="G12" s="139"/>
      <c r="H12" s="122"/>
      <c r="I12" s="122"/>
      <c r="J12" s="122"/>
      <c r="K12" s="122"/>
      <c r="L12" s="123"/>
      <c r="M12" s="123"/>
      <c r="N12" s="123"/>
      <c r="O12" s="123"/>
      <c r="P12" s="123"/>
      <c r="Q12" s="123"/>
      <c r="R12" s="122"/>
      <c r="S12" s="122"/>
      <c r="T12" s="81">
        <v>42309</v>
      </c>
      <c r="U12" s="66">
        <f t="shared" ref="U12:U75" si="6">IF(E12&lt;1,SUM(F12:S12)/D12+E12,1)</f>
        <v>1</v>
      </c>
      <c r="V12" s="22" t="s">
        <v>27</v>
      </c>
      <c r="W12" s="91">
        <f t="shared" si="0"/>
        <v>157470</v>
      </c>
      <c r="X12" s="57" t="s">
        <v>10</v>
      </c>
      <c r="Y12" s="67">
        <f t="shared" si="1"/>
        <v>157470</v>
      </c>
      <c r="Z12" s="68"/>
      <c r="AA12" s="69">
        <f t="shared" si="2"/>
        <v>157470</v>
      </c>
      <c r="AB12" s="70" t="s">
        <v>12</v>
      </c>
      <c r="AC12" s="67">
        <f t="shared" si="3"/>
        <v>0</v>
      </c>
      <c r="AD12" s="71" t="s">
        <v>12</v>
      </c>
      <c r="AE12" s="67">
        <f>SUMIF(Table2[Milestone/ Line],$B12,Table2[Invoice Amount])</f>
        <v>157470</v>
      </c>
      <c r="AF12" s="71" t="s">
        <v>10</v>
      </c>
      <c r="AG12" s="72">
        <f>+AA12-AC12-AE12</f>
        <v>0</v>
      </c>
      <c r="AI12" s="51">
        <f t="shared" si="4"/>
        <v>6.25E-2</v>
      </c>
    </row>
    <row r="13" spans="1:35" ht="14.4" customHeight="1" x14ac:dyDescent="0.25">
      <c r="A13" s="65">
        <v>3</v>
      </c>
      <c r="B13" s="83" t="s">
        <v>53</v>
      </c>
      <c r="C13" s="83">
        <f t="shared" si="5"/>
        <v>3</v>
      </c>
      <c r="D13" s="92">
        <v>104980</v>
      </c>
      <c r="E13" s="66">
        <v>1</v>
      </c>
      <c r="F13" s="147"/>
      <c r="G13" s="139"/>
      <c r="H13" s="122"/>
      <c r="I13" s="122"/>
      <c r="J13" s="122"/>
      <c r="K13" s="122"/>
      <c r="L13" s="123"/>
      <c r="M13" s="123"/>
      <c r="N13" s="123"/>
      <c r="O13" s="123"/>
      <c r="P13" s="123"/>
      <c r="Q13" s="123"/>
      <c r="R13" s="122"/>
      <c r="S13" s="170"/>
      <c r="T13" s="82">
        <v>42339</v>
      </c>
      <c r="U13" s="66">
        <f t="shared" si="6"/>
        <v>1</v>
      </c>
      <c r="V13" s="22" t="s">
        <v>27</v>
      </c>
      <c r="W13" s="91">
        <f t="shared" si="0"/>
        <v>104980</v>
      </c>
      <c r="X13" s="57" t="s">
        <v>10</v>
      </c>
      <c r="Y13" s="67">
        <f t="shared" si="1"/>
        <v>104980</v>
      </c>
      <c r="Z13" s="68"/>
      <c r="AA13" s="69">
        <f t="shared" si="2"/>
        <v>104980</v>
      </c>
      <c r="AB13" s="70" t="s">
        <v>12</v>
      </c>
      <c r="AC13" s="67">
        <f t="shared" si="3"/>
        <v>0</v>
      </c>
      <c r="AD13" s="71" t="s">
        <v>12</v>
      </c>
      <c r="AE13" s="67">
        <f>SUMIF(Table2[Milestone/ Line],$B13,Table2[Invoice Amount])</f>
        <v>104980</v>
      </c>
      <c r="AF13" s="71" t="s">
        <v>10</v>
      </c>
      <c r="AG13" s="72">
        <f>+AA13-AC13-AE13</f>
        <v>0</v>
      </c>
      <c r="AI13" s="51">
        <f t="shared" si="4"/>
        <v>6.25E-2</v>
      </c>
    </row>
    <row r="14" spans="1:35" ht="14.4" customHeight="1" x14ac:dyDescent="0.25">
      <c r="A14" s="65">
        <v>4</v>
      </c>
      <c r="B14" s="83" t="s">
        <v>54</v>
      </c>
      <c r="C14" s="83">
        <f t="shared" si="5"/>
        <v>4</v>
      </c>
      <c r="D14" s="92">
        <v>104980</v>
      </c>
      <c r="E14" s="66">
        <v>1</v>
      </c>
      <c r="F14" s="147"/>
      <c r="G14" s="139"/>
      <c r="H14" s="122"/>
      <c r="I14" s="122"/>
      <c r="J14" s="122"/>
      <c r="K14" s="122"/>
      <c r="L14" s="123"/>
      <c r="M14" s="123"/>
      <c r="N14" s="123"/>
      <c r="O14" s="123"/>
      <c r="P14" s="123"/>
      <c r="Q14" s="123"/>
      <c r="R14" s="122"/>
      <c r="S14" s="170"/>
      <c r="T14" s="82">
        <f>T11+180</f>
        <v>42428</v>
      </c>
      <c r="U14" s="66">
        <f t="shared" si="6"/>
        <v>1</v>
      </c>
      <c r="V14" s="22" t="s">
        <v>27</v>
      </c>
      <c r="W14" s="91">
        <f t="shared" si="0"/>
        <v>104980</v>
      </c>
      <c r="X14" s="57" t="s">
        <v>10</v>
      </c>
      <c r="Y14" s="67">
        <f t="shared" si="1"/>
        <v>104980</v>
      </c>
      <c r="Z14" s="68"/>
      <c r="AA14" s="69">
        <f t="shared" si="2"/>
        <v>104980</v>
      </c>
      <c r="AB14" s="70" t="s">
        <v>12</v>
      </c>
      <c r="AC14" s="67">
        <f t="shared" si="3"/>
        <v>0</v>
      </c>
      <c r="AD14" s="71" t="s">
        <v>12</v>
      </c>
      <c r="AE14" s="67">
        <f>SUMIF(Table2[Milestone/ Line],$B14,Table2[Invoice Amount])</f>
        <v>104980</v>
      </c>
      <c r="AF14" s="71" t="s">
        <v>10</v>
      </c>
      <c r="AG14" s="72">
        <f>+AA14-AC14-AE14</f>
        <v>0</v>
      </c>
      <c r="AI14" s="51">
        <f t="shared" si="4"/>
        <v>6.25E-2</v>
      </c>
    </row>
    <row r="15" spans="1:35" ht="14.4" customHeight="1" x14ac:dyDescent="0.25">
      <c r="A15" s="65">
        <v>5</v>
      </c>
      <c r="B15" s="83" t="s">
        <v>104</v>
      </c>
      <c r="C15" s="83">
        <f t="shared" si="5"/>
        <v>5</v>
      </c>
      <c r="D15" s="92">
        <v>317520</v>
      </c>
      <c r="E15" s="66">
        <v>1</v>
      </c>
      <c r="F15" s="147"/>
      <c r="G15" s="139"/>
      <c r="H15" s="122"/>
      <c r="I15" s="122"/>
      <c r="J15" s="122"/>
      <c r="K15" s="122"/>
      <c r="L15" s="123"/>
      <c r="M15" s="123"/>
      <c r="N15" s="123"/>
      <c r="O15" s="123"/>
      <c r="P15" s="123"/>
      <c r="Q15" s="123"/>
      <c r="R15" s="122"/>
      <c r="S15" s="122"/>
      <c r="T15" s="81">
        <v>42342</v>
      </c>
      <c r="U15" s="66">
        <f t="shared" si="6"/>
        <v>1</v>
      </c>
      <c r="V15" s="22" t="s">
        <v>27</v>
      </c>
      <c r="W15" s="91">
        <f t="shared" si="0"/>
        <v>317520</v>
      </c>
      <c r="X15" s="57" t="s">
        <v>10</v>
      </c>
      <c r="Y15" s="73">
        <f t="shared" si="1"/>
        <v>317520</v>
      </c>
      <c r="Z15" s="68"/>
      <c r="AA15" s="69">
        <f t="shared" si="2"/>
        <v>317520</v>
      </c>
      <c r="AB15" s="70" t="s">
        <v>12</v>
      </c>
      <c r="AC15" s="67">
        <f t="shared" si="3"/>
        <v>0</v>
      </c>
      <c r="AD15" s="71" t="s">
        <v>12</v>
      </c>
      <c r="AE15" s="67">
        <f>SUMIF(Table2[Milestone/ Line],$B15,Table2[Invoice Amount])</f>
        <v>317520</v>
      </c>
      <c r="AF15" s="71" t="s">
        <v>10</v>
      </c>
      <c r="AG15" s="72">
        <f>+AA15-AC15-AE15</f>
        <v>0</v>
      </c>
      <c r="AI15" s="51">
        <f t="shared" si="4"/>
        <v>6.25E-2</v>
      </c>
    </row>
    <row r="16" spans="1:35" ht="14.4" customHeight="1" x14ac:dyDescent="0.25">
      <c r="A16" s="65">
        <v>6</v>
      </c>
      <c r="B16" s="83" t="s">
        <v>105</v>
      </c>
      <c r="C16" s="83">
        <f t="shared" si="5"/>
        <v>6</v>
      </c>
      <c r="D16" s="92">
        <v>423360</v>
      </c>
      <c r="E16" s="66">
        <v>1</v>
      </c>
      <c r="F16" s="147"/>
      <c r="G16" s="139"/>
      <c r="H16" s="122"/>
      <c r="I16" s="122"/>
      <c r="J16" s="122"/>
      <c r="K16" s="122"/>
      <c r="L16" s="123"/>
      <c r="M16" s="123"/>
      <c r="N16" s="123"/>
      <c r="O16" s="123"/>
      <c r="P16" s="123"/>
      <c r="Q16" s="123"/>
      <c r="R16" s="122"/>
      <c r="S16" s="122"/>
      <c r="T16" s="81">
        <v>42349</v>
      </c>
      <c r="U16" s="66">
        <f t="shared" si="6"/>
        <v>1</v>
      </c>
      <c r="V16" s="22" t="s">
        <v>27</v>
      </c>
      <c r="W16" s="91">
        <f t="shared" si="0"/>
        <v>423360</v>
      </c>
      <c r="X16" s="57" t="s">
        <v>10</v>
      </c>
      <c r="Y16" s="73">
        <f t="shared" si="1"/>
        <v>423360</v>
      </c>
      <c r="Z16" s="68"/>
      <c r="AA16" s="69">
        <f t="shared" si="2"/>
        <v>423360</v>
      </c>
      <c r="AB16" s="70" t="s">
        <v>12</v>
      </c>
      <c r="AC16" s="67">
        <f t="shared" si="3"/>
        <v>0</v>
      </c>
      <c r="AD16" s="71" t="s">
        <v>12</v>
      </c>
      <c r="AE16" s="67">
        <f>SUMIF(Table2[Milestone/ Line],$B16,Table2[Invoice Amount])</f>
        <v>423360</v>
      </c>
      <c r="AF16" s="71" t="s">
        <v>10</v>
      </c>
      <c r="AG16" s="72">
        <v>0</v>
      </c>
      <c r="AH16" s="74"/>
      <c r="AI16" s="51">
        <f t="shared" si="4"/>
        <v>6.25E-2</v>
      </c>
    </row>
    <row r="17" spans="1:35" ht="14.4" customHeight="1" x14ac:dyDescent="0.25">
      <c r="A17" s="65">
        <v>7</v>
      </c>
      <c r="B17" s="84" t="s">
        <v>106</v>
      </c>
      <c r="C17" s="83">
        <f t="shared" si="5"/>
        <v>7</v>
      </c>
      <c r="D17" s="92">
        <v>1607500</v>
      </c>
      <c r="E17" s="90">
        <v>1</v>
      </c>
      <c r="F17" s="147"/>
      <c r="G17" s="140"/>
      <c r="H17" s="162"/>
      <c r="I17" s="162"/>
      <c r="J17" s="162"/>
      <c r="K17" s="162"/>
      <c r="L17" s="123"/>
      <c r="M17" s="123"/>
      <c r="N17" s="123"/>
      <c r="O17" s="123"/>
      <c r="P17" s="123"/>
      <c r="Q17" s="123"/>
      <c r="R17" s="122"/>
      <c r="S17" s="122"/>
      <c r="T17" s="81">
        <v>42356</v>
      </c>
      <c r="U17" s="66">
        <f t="shared" si="6"/>
        <v>1</v>
      </c>
      <c r="V17" s="22" t="s">
        <v>27</v>
      </c>
      <c r="W17" s="91">
        <f t="shared" si="0"/>
        <v>1607500</v>
      </c>
      <c r="X17" s="57" t="s">
        <v>10</v>
      </c>
      <c r="Y17" s="73">
        <f t="shared" si="1"/>
        <v>1607500</v>
      </c>
      <c r="Z17" s="68"/>
      <c r="AA17" s="69">
        <f>+Y17</f>
        <v>1607500</v>
      </c>
      <c r="AB17" s="70" t="s">
        <v>12</v>
      </c>
      <c r="AC17" s="67">
        <f t="shared" si="3"/>
        <v>0</v>
      </c>
      <c r="AD17" s="71" t="s">
        <v>12</v>
      </c>
      <c r="AE17" s="67">
        <f>SUMIF(Table2[Milestone/ Line],$B17,Table2[Invoice Amount])</f>
        <v>1607500</v>
      </c>
      <c r="AF17" s="71" t="s">
        <v>10</v>
      </c>
      <c r="AG17" s="72">
        <f>+AA17-AC17-AE17</f>
        <v>0</v>
      </c>
      <c r="AI17" s="51">
        <f t="shared" si="4"/>
        <v>6.25E-2</v>
      </c>
    </row>
    <row r="18" spans="1:35" ht="14.4" customHeight="1" x14ac:dyDescent="0.25">
      <c r="A18" s="65">
        <v>8</v>
      </c>
      <c r="B18" s="84" t="s">
        <v>58</v>
      </c>
      <c r="C18" s="83">
        <f t="shared" si="5"/>
        <v>8</v>
      </c>
      <c r="D18" s="87">
        <v>1446750</v>
      </c>
      <c r="E18" s="90">
        <v>1</v>
      </c>
      <c r="F18" s="148"/>
      <c r="G18" s="140"/>
      <c r="H18" s="162"/>
      <c r="I18" s="162"/>
      <c r="J18" s="162"/>
      <c r="K18" s="162"/>
      <c r="L18" s="123"/>
      <c r="M18" s="123"/>
      <c r="N18" s="123"/>
      <c r="O18" s="123"/>
      <c r="P18" s="123"/>
      <c r="Q18" s="123"/>
      <c r="R18" s="123"/>
      <c r="S18" s="123"/>
      <c r="T18" s="81">
        <v>42460</v>
      </c>
      <c r="U18" s="66">
        <f t="shared" si="6"/>
        <v>1</v>
      </c>
      <c r="V18" s="22" t="s">
        <v>27</v>
      </c>
      <c r="W18" s="91">
        <f t="shared" si="0"/>
        <v>1446750</v>
      </c>
      <c r="X18" s="57" t="s">
        <v>10</v>
      </c>
      <c r="Y18" s="73">
        <f t="shared" si="1"/>
        <v>1446750</v>
      </c>
      <c r="Z18" s="68"/>
      <c r="AA18" s="69">
        <f>+Y18</f>
        <v>1446750</v>
      </c>
      <c r="AB18" s="70" t="s">
        <v>12</v>
      </c>
      <c r="AC18" s="67">
        <f t="shared" si="3"/>
        <v>0</v>
      </c>
      <c r="AD18" s="71" t="s">
        <v>12</v>
      </c>
      <c r="AE18" s="67">
        <f>SUMIF(Table2[Milestone/ Line],$B18,Table2[Invoice Amount])</f>
        <v>1446750</v>
      </c>
      <c r="AF18" s="71" t="s">
        <v>10</v>
      </c>
      <c r="AG18" s="72">
        <f>+AA18-AC18-AE18</f>
        <v>0</v>
      </c>
      <c r="AI18" s="51">
        <f t="shared" si="4"/>
        <v>6.25E-2</v>
      </c>
    </row>
    <row r="19" spans="1:35" ht="14.4" customHeight="1" x14ac:dyDescent="0.25">
      <c r="A19" s="65">
        <v>9</v>
      </c>
      <c r="B19" s="84" t="s">
        <v>59</v>
      </c>
      <c r="C19" s="83">
        <f t="shared" si="5"/>
        <v>9</v>
      </c>
      <c r="D19" s="87">
        <v>317520</v>
      </c>
      <c r="E19" s="90">
        <v>1</v>
      </c>
      <c r="F19" s="148"/>
      <c r="G19" s="140"/>
      <c r="H19" s="162"/>
      <c r="I19" s="162"/>
      <c r="J19" s="162"/>
      <c r="K19" s="162"/>
      <c r="L19" s="123"/>
      <c r="M19" s="123"/>
      <c r="N19" s="123"/>
      <c r="O19" s="123"/>
      <c r="P19" s="123"/>
      <c r="Q19" s="123"/>
      <c r="R19" s="123"/>
      <c r="S19" s="123"/>
      <c r="T19" s="81">
        <v>42607</v>
      </c>
      <c r="U19" s="66">
        <f t="shared" si="6"/>
        <v>1</v>
      </c>
      <c r="V19" s="22" t="s">
        <v>27</v>
      </c>
      <c r="W19" s="91">
        <f t="shared" si="0"/>
        <v>317520</v>
      </c>
      <c r="X19" s="57" t="s">
        <v>10</v>
      </c>
      <c r="Y19" s="73">
        <f t="shared" si="1"/>
        <v>317520</v>
      </c>
      <c r="Z19" s="68"/>
      <c r="AA19" s="69">
        <f>+Y19</f>
        <v>317520</v>
      </c>
      <c r="AB19" s="70"/>
      <c r="AC19" s="67">
        <f t="shared" si="3"/>
        <v>0</v>
      </c>
      <c r="AD19" s="71" t="s">
        <v>12</v>
      </c>
      <c r="AE19" s="67">
        <f>SUMIF(Table2[Milestone/ Line],$B19,Table2[Invoice Amount])</f>
        <v>317520</v>
      </c>
      <c r="AF19" s="71" t="s">
        <v>10</v>
      </c>
      <c r="AG19" s="72">
        <f>+AA19-AC19-AE19</f>
        <v>0</v>
      </c>
      <c r="AI19" s="51">
        <f t="shared" si="4"/>
        <v>6.25E-2</v>
      </c>
    </row>
    <row r="20" spans="1:35" ht="14.4" customHeight="1" x14ac:dyDescent="0.25">
      <c r="A20" s="65">
        <v>10</v>
      </c>
      <c r="B20" s="84" t="s">
        <v>60</v>
      </c>
      <c r="C20" s="83">
        <f t="shared" si="5"/>
        <v>10</v>
      </c>
      <c r="D20" s="87">
        <v>160750</v>
      </c>
      <c r="E20" s="90">
        <v>1</v>
      </c>
      <c r="F20" s="148"/>
      <c r="G20" s="140"/>
      <c r="H20" s="162"/>
      <c r="I20" s="162"/>
      <c r="J20" s="162"/>
      <c r="K20" s="162"/>
      <c r="L20" s="123"/>
      <c r="M20" s="123"/>
      <c r="N20" s="123"/>
      <c r="O20" s="123"/>
      <c r="P20" s="123"/>
      <c r="Q20" s="123"/>
      <c r="R20" s="123"/>
      <c r="S20" s="123"/>
      <c r="T20" s="81">
        <v>42719</v>
      </c>
      <c r="U20" s="66">
        <f t="shared" si="6"/>
        <v>1</v>
      </c>
      <c r="V20" s="22" t="s">
        <v>27</v>
      </c>
      <c r="W20" s="91">
        <f t="shared" si="0"/>
        <v>160750</v>
      </c>
      <c r="X20" s="57" t="s">
        <v>10</v>
      </c>
      <c r="Y20" s="73">
        <f t="shared" si="1"/>
        <v>160750</v>
      </c>
      <c r="Z20" s="68"/>
      <c r="AA20" s="69">
        <f>+Y20</f>
        <v>160750</v>
      </c>
      <c r="AB20" s="70" t="s">
        <v>12</v>
      </c>
      <c r="AC20" s="67">
        <f t="shared" si="3"/>
        <v>0</v>
      </c>
      <c r="AD20" s="71" t="s">
        <v>12</v>
      </c>
      <c r="AE20" s="67">
        <f>SUMIF(Table2[Milestone/ Line],$B20,Table2[Invoice Amount])</f>
        <v>160750</v>
      </c>
      <c r="AF20" s="71" t="s">
        <v>10</v>
      </c>
      <c r="AG20" s="72">
        <f>+AA20-AC20-AE20</f>
        <v>0</v>
      </c>
      <c r="AI20" s="51">
        <f t="shared" si="4"/>
        <v>6.25E-2</v>
      </c>
    </row>
    <row r="21" spans="1:35" ht="14.4" customHeight="1" x14ac:dyDescent="0.25">
      <c r="A21" s="65">
        <v>11</v>
      </c>
      <c r="B21" s="84" t="s">
        <v>61</v>
      </c>
      <c r="C21" s="83">
        <f t="shared" si="5"/>
        <v>11</v>
      </c>
      <c r="D21" s="87">
        <v>160750</v>
      </c>
      <c r="E21" s="90">
        <v>1</v>
      </c>
      <c r="F21" s="148"/>
      <c r="G21" s="140"/>
      <c r="H21" s="162"/>
      <c r="I21" s="162"/>
      <c r="J21" s="162"/>
      <c r="K21" s="162"/>
      <c r="L21" s="123"/>
      <c r="M21" s="123"/>
      <c r="N21" s="123"/>
      <c r="O21" s="123"/>
      <c r="P21" s="123"/>
      <c r="Q21" s="123"/>
      <c r="R21" s="123"/>
      <c r="S21" s="123"/>
      <c r="T21" s="81">
        <v>42738</v>
      </c>
      <c r="U21" s="66">
        <f t="shared" si="6"/>
        <v>1</v>
      </c>
      <c r="V21" s="22" t="s">
        <v>27</v>
      </c>
      <c r="W21" s="91">
        <f t="shared" si="0"/>
        <v>160750</v>
      </c>
      <c r="X21" s="57" t="s">
        <v>10</v>
      </c>
      <c r="Y21" s="73">
        <f t="shared" si="1"/>
        <v>160750</v>
      </c>
      <c r="Z21" s="68"/>
      <c r="AA21" s="69">
        <f t="shared" ref="AA21:AA56" si="7">+Y21</f>
        <v>160750</v>
      </c>
      <c r="AB21" s="70" t="s">
        <v>12</v>
      </c>
      <c r="AC21" s="67">
        <f t="shared" ref="AC21:AC53" si="8">AA21-AE21</f>
        <v>0</v>
      </c>
      <c r="AD21" s="71" t="s">
        <v>12</v>
      </c>
      <c r="AE21" s="67">
        <f>SUMIF(Table2[Milestone/ Line],$B21,Table2[Invoice Amount])</f>
        <v>160750</v>
      </c>
      <c r="AF21" s="71" t="s">
        <v>10</v>
      </c>
      <c r="AG21" s="72">
        <f t="shared" ref="AG21:AG56" si="9">+AA21-AC21-AE21</f>
        <v>0</v>
      </c>
      <c r="AI21" s="51">
        <f t="shared" si="4"/>
        <v>6.25E-2</v>
      </c>
    </row>
    <row r="22" spans="1:35" ht="14.4" customHeight="1" x14ac:dyDescent="0.25">
      <c r="A22" s="65">
        <v>12</v>
      </c>
      <c r="B22" s="84" t="s">
        <v>62</v>
      </c>
      <c r="C22" s="83">
        <f t="shared" si="5"/>
        <v>12</v>
      </c>
      <c r="D22" s="87">
        <v>160750</v>
      </c>
      <c r="E22" s="121">
        <v>1</v>
      </c>
      <c r="F22" s="148"/>
      <c r="G22" s="141"/>
      <c r="H22" s="163"/>
      <c r="I22" s="163"/>
      <c r="J22" s="163"/>
      <c r="K22" s="163"/>
      <c r="L22" s="123"/>
      <c r="M22" s="123"/>
      <c r="N22" s="123"/>
      <c r="O22" s="123"/>
      <c r="P22" s="123"/>
      <c r="Q22" s="123"/>
      <c r="R22" s="123"/>
      <c r="S22" s="123"/>
      <c r="T22" s="81">
        <v>42746</v>
      </c>
      <c r="U22" s="66">
        <f t="shared" si="6"/>
        <v>1</v>
      </c>
      <c r="V22" s="22" t="s">
        <v>27</v>
      </c>
      <c r="W22" s="91">
        <f t="shared" si="0"/>
        <v>160750</v>
      </c>
      <c r="X22" s="57" t="s">
        <v>10</v>
      </c>
      <c r="Y22" s="73">
        <f t="shared" si="1"/>
        <v>160750</v>
      </c>
      <c r="Z22" s="68"/>
      <c r="AA22" s="69">
        <f t="shared" si="7"/>
        <v>160750</v>
      </c>
      <c r="AB22" s="70" t="s">
        <v>12</v>
      </c>
      <c r="AC22" s="67">
        <f t="shared" si="8"/>
        <v>0</v>
      </c>
      <c r="AD22" s="71" t="s">
        <v>12</v>
      </c>
      <c r="AE22" s="67">
        <f>SUMIF(Table2[Milestone/ Line],$B22,Table2[Invoice Amount])</f>
        <v>160750</v>
      </c>
      <c r="AF22" s="71" t="s">
        <v>10</v>
      </c>
      <c r="AG22" s="72">
        <f t="shared" si="9"/>
        <v>0</v>
      </c>
      <c r="AI22" s="51">
        <f t="shared" si="4"/>
        <v>6.25E-2</v>
      </c>
    </row>
    <row r="23" spans="1:35" ht="14.4" customHeight="1" x14ac:dyDescent="0.25">
      <c r="A23" s="65">
        <v>13</v>
      </c>
      <c r="B23" s="84" t="s">
        <v>63</v>
      </c>
      <c r="C23" s="83">
        <f t="shared" si="5"/>
        <v>13</v>
      </c>
      <c r="D23" s="87">
        <v>160750</v>
      </c>
      <c r="E23" s="90"/>
      <c r="F23" s="148">
        <v>160750</v>
      </c>
      <c r="G23" s="140"/>
      <c r="H23" s="162"/>
      <c r="I23" s="162"/>
      <c r="J23" s="162"/>
      <c r="K23" s="162"/>
      <c r="L23" s="123"/>
      <c r="M23" s="123"/>
      <c r="N23" s="123"/>
      <c r="O23" s="123"/>
      <c r="P23" s="123"/>
      <c r="Q23" s="123"/>
      <c r="R23" s="123"/>
      <c r="S23" s="123"/>
      <c r="T23" s="81">
        <v>42754</v>
      </c>
      <c r="U23" s="66">
        <f t="shared" si="6"/>
        <v>1</v>
      </c>
      <c r="V23" s="22" t="s">
        <v>27</v>
      </c>
      <c r="W23" s="91">
        <f t="shared" si="0"/>
        <v>160750</v>
      </c>
      <c r="X23" s="57" t="s">
        <v>10</v>
      </c>
      <c r="Y23" s="73">
        <f t="shared" si="1"/>
        <v>160750</v>
      </c>
      <c r="Z23" s="68"/>
      <c r="AA23" s="69">
        <f t="shared" si="7"/>
        <v>160750</v>
      </c>
      <c r="AB23" s="70" t="s">
        <v>12</v>
      </c>
      <c r="AC23" s="67">
        <f t="shared" si="8"/>
        <v>0</v>
      </c>
      <c r="AD23" s="71" t="s">
        <v>12</v>
      </c>
      <c r="AE23" s="67">
        <f>SUMIF(Table2[Milestone/ Line],$B23,Table2[Invoice Amount])</f>
        <v>160750</v>
      </c>
      <c r="AF23" s="71" t="s">
        <v>10</v>
      </c>
      <c r="AG23" s="72">
        <f t="shared" si="9"/>
        <v>0</v>
      </c>
      <c r="AI23" s="51">
        <f t="shared" si="4"/>
        <v>6.25E-2</v>
      </c>
    </row>
    <row r="24" spans="1:35" ht="14.4" customHeight="1" x14ac:dyDescent="0.25">
      <c r="A24" s="65">
        <v>14</v>
      </c>
      <c r="B24" s="84" t="s">
        <v>64</v>
      </c>
      <c r="C24" s="83">
        <f t="shared" si="5"/>
        <v>14</v>
      </c>
      <c r="D24" s="87">
        <v>160750</v>
      </c>
      <c r="E24" s="90"/>
      <c r="F24" s="148"/>
      <c r="G24" s="162">
        <v>160750</v>
      </c>
      <c r="H24" s="162"/>
      <c r="I24" s="162"/>
      <c r="J24" s="162"/>
      <c r="K24" s="162"/>
      <c r="L24" s="123"/>
      <c r="M24" s="123"/>
      <c r="N24" s="123"/>
      <c r="O24" s="123"/>
      <c r="P24" s="123"/>
      <c r="Q24" s="123"/>
      <c r="R24" s="123"/>
      <c r="S24" s="123"/>
      <c r="T24" s="81">
        <v>42762</v>
      </c>
      <c r="U24" s="66">
        <f t="shared" si="6"/>
        <v>1</v>
      </c>
      <c r="V24" s="22" t="s">
        <v>27</v>
      </c>
      <c r="W24" s="91">
        <f t="shared" si="0"/>
        <v>160750</v>
      </c>
      <c r="X24" s="57" t="s">
        <v>10</v>
      </c>
      <c r="Y24" s="73">
        <f t="shared" si="1"/>
        <v>160750</v>
      </c>
      <c r="Z24" s="68"/>
      <c r="AA24" s="69">
        <f t="shared" si="7"/>
        <v>160750</v>
      </c>
      <c r="AB24" s="70" t="s">
        <v>12</v>
      </c>
      <c r="AC24" s="67">
        <f t="shared" si="8"/>
        <v>0</v>
      </c>
      <c r="AD24" s="71" t="s">
        <v>12</v>
      </c>
      <c r="AE24" s="67">
        <f>SUMIF(Table2[Milestone/ Line],$B24,Table2[Invoice Amount])</f>
        <v>160750</v>
      </c>
      <c r="AF24" s="71" t="s">
        <v>10</v>
      </c>
      <c r="AG24" s="72">
        <f t="shared" si="9"/>
        <v>0</v>
      </c>
      <c r="AI24" s="51">
        <f t="shared" si="4"/>
        <v>6.25E-2</v>
      </c>
    </row>
    <row r="25" spans="1:35" ht="14.4" customHeight="1" x14ac:dyDescent="0.25">
      <c r="A25" s="65">
        <v>15</v>
      </c>
      <c r="B25" s="84" t="s">
        <v>65</v>
      </c>
      <c r="C25" s="83">
        <f t="shared" si="5"/>
        <v>15</v>
      </c>
      <c r="D25" s="87">
        <v>160750</v>
      </c>
      <c r="E25" s="90"/>
      <c r="F25" s="148"/>
      <c r="G25" s="162">
        <v>160750</v>
      </c>
      <c r="H25" s="162"/>
      <c r="I25" s="162"/>
      <c r="J25" s="162"/>
      <c r="K25" s="162"/>
      <c r="L25" s="123"/>
      <c r="M25" s="123"/>
      <c r="N25" s="123"/>
      <c r="O25" s="123"/>
      <c r="P25" s="123"/>
      <c r="Q25" s="123"/>
      <c r="R25" s="123"/>
      <c r="S25" s="123"/>
      <c r="T25" s="81">
        <v>42772</v>
      </c>
      <c r="U25" s="66">
        <f t="shared" si="6"/>
        <v>1</v>
      </c>
      <c r="V25" s="22" t="s">
        <v>27</v>
      </c>
      <c r="W25" s="91">
        <f t="shared" si="0"/>
        <v>160750</v>
      </c>
      <c r="X25" s="57" t="s">
        <v>10</v>
      </c>
      <c r="Y25" s="73">
        <f t="shared" si="1"/>
        <v>160750</v>
      </c>
      <c r="Z25" s="68"/>
      <c r="AA25" s="69">
        <f t="shared" si="7"/>
        <v>160750</v>
      </c>
      <c r="AB25" s="70" t="s">
        <v>12</v>
      </c>
      <c r="AC25" s="67">
        <f t="shared" si="8"/>
        <v>0</v>
      </c>
      <c r="AD25" s="71" t="s">
        <v>12</v>
      </c>
      <c r="AE25" s="67">
        <f>SUMIF(Table2[Milestone/ Line],$B25,Table2[Invoice Amount])</f>
        <v>160750</v>
      </c>
      <c r="AF25" s="71" t="s">
        <v>10</v>
      </c>
      <c r="AG25" s="72">
        <f t="shared" si="9"/>
        <v>0</v>
      </c>
      <c r="AI25" s="51">
        <f t="shared" si="4"/>
        <v>6.25E-2</v>
      </c>
    </row>
    <row r="26" spans="1:35" ht="14.4" customHeight="1" x14ac:dyDescent="0.25">
      <c r="A26" s="65">
        <v>16</v>
      </c>
      <c r="B26" s="84" t="s">
        <v>66</v>
      </c>
      <c r="C26" s="83">
        <f t="shared" si="5"/>
        <v>16</v>
      </c>
      <c r="D26" s="87">
        <v>160750</v>
      </c>
      <c r="E26" s="90"/>
      <c r="F26" s="148"/>
      <c r="G26" s="162">
        <v>160750</v>
      </c>
      <c r="H26" s="162"/>
      <c r="I26" s="162"/>
      <c r="J26" s="162"/>
      <c r="K26" s="162"/>
      <c r="L26" s="123"/>
      <c r="M26" s="123"/>
      <c r="N26" s="123"/>
      <c r="O26" s="123"/>
      <c r="P26" s="123"/>
      <c r="Q26" s="123"/>
      <c r="R26" s="123"/>
      <c r="S26" s="123"/>
      <c r="T26" s="81">
        <v>42780</v>
      </c>
      <c r="U26" s="66">
        <f t="shared" si="6"/>
        <v>1</v>
      </c>
      <c r="V26" s="22" t="s">
        <v>27</v>
      </c>
      <c r="W26" s="91">
        <f t="shared" si="0"/>
        <v>160750</v>
      </c>
      <c r="X26" s="57" t="s">
        <v>10</v>
      </c>
      <c r="Y26" s="73">
        <f t="shared" si="1"/>
        <v>160750</v>
      </c>
      <c r="Z26" s="68"/>
      <c r="AA26" s="69">
        <f t="shared" si="7"/>
        <v>160750</v>
      </c>
      <c r="AB26" s="70" t="s">
        <v>12</v>
      </c>
      <c r="AC26" s="67">
        <f t="shared" si="8"/>
        <v>0</v>
      </c>
      <c r="AD26" s="71" t="s">
        <v>12</v>
      </c>
      <c r="AE26" s="67">
        <f>SUMIF(Table2[Milestone/ Line],$B26,Table2[Invoice Amount])</f>
        <v>160750</v>
      </c>
      <c r="AF26" s="71" t="s">
        <v>10</v>
      </c>
      <c r="AG26" s="72">
        <f t="shared" si="9"/>
        <v>0</v>
      </c>
      <c r="AI26" s="51">
        <f t="shared" si="4"/>
        <v>6.25E-2</v>
      </c>
    </row>
    <row r="27" spans="1:35" ht="14.4" customHeight="1" x14ac:dyDescent="0.25">
      <c r="A27" s="65">
        <v>17</v>
      </c>
      <c r="B27" s="84" t="s">
        <v>67</v>
      </c>
      <c r="C27" s="83">
        <f t="shared" si="5"/>
        <v>17</v>
      </c>
      <c r="D27" s="87">
        <v>160750</v>
      </c>
      <c r="E27" s="90"/>
      <c r="F27" s="148"/>
      <c r="G27" s="162">
        <v>160750</v>
      </c>
      <c r="H27" s="162"/>
      <c r="I27" s="162"/>
      <c r="J27" s="162"/>
      <c r="K27" s="162"/>
      <c r="L27" s="123"/>
      <c r="M27" s="123"/>
      <c r="N27" s="123"/>
      <c r="O27" s="123"/>
      <c r="P27" s="123"/>
      <c r="Q27" s="123"/>
      <c r="R27" s="123"/>
      <c r="S27" s="123"/>
      <c r="T27" s="81">
        <v>42788</v>
      </c>
      <c r="U27" s="66">
        <f t="shared" si="6"/>
        <v>1</v>
      </c>
      <c r="V27" s="22" t="s">
        <v>27</v>
      </c>
      <c r="W27" s="91">
        <f t="shared" si="0"/>
        <v>160750</v>
      </c>
      <c r="X27" s="57" t="s">
        <v>10</v>
      </c>
      <c r="Y27" s="73">
        <f t="shared" si="1"/>
        <v>160750</v>
      </c>
      <c r="Z27" s="68"/>
      <c r="AA27" s="69">
        <f t="shared" si="7"/>
        <v>160750</v>
      </c>
      <c r="AB27" s="70" t="s">
        <v>12</v>
      </c>
      <c r="AC27" s="67">
        <f t="shared" si="8"/>
        <v>0</v>
      </c>
      <c r="AD27" s="71" t="s">
        <v>12</v>
      </c>
      <c r="AE27" s="67">
        <f>SUMIF(Table2[Milestone/ Line],$B27,Table2[Invoice Amount])</f>
        <v>160750</v>
      </c>
      <c r="AF27" s="71" t="s">
        <v>10</v>
      </c>
      <c r="AG27" s="72">
        <f t="shared" si="9"/>
        <v>0</v>
      </c>
      <c r="AI27" s="51">
        <f t="shared" si="4"/>
        <v>6.25E-2</v>
      </c>
    </row>
    <row r="28" spans="1:35" ht="14.4" customHeight="1" x14ac:dyDescent="0.25">
      <c r="A28" s="65">
        <v>18</v>
      </c>
      <c r="B28" s="84" t="s">
        <v>68</v>
      </c>
      <c r="C28" s="83">
        <f t="shared" si="5"/>
        <v>18</v>
      </c>
      <c r="D28" s="87">
        <v>160750</v>
      </c>
      <c r="E28" s="90"/>
      <c r="F28" s="148"/>
      <c r="G28" s="162">
        <v>160750</v>
      </c>
      <c r="H28" s="162"/>
      <c r="I28" s="162"/>
      <c r="J28" s="162"/>
      <c r="K28" s="162"/>
      <c r="L28" s="123"/>
      <c r="M28" s="123"/>
      <c r="N28" s="123"/>
      <c r="O28" s="123"/>
      <c r="P28" s="123"/>
      <c r="Q28" s="123"/>
      <c r="R28" s="123"/>
      <c r="S28" s="123"/>
      <c r="T28" s="81">
        <v>42796</v>
      </c>
      <c r="U28" s="66">
        <f t="shared" si="6"/>
        <v>1</v>
      </c>
      <c r="V28" s="22" t="s">
        <v>27</v>
      </c>
      <c r="W28" s="91">
        <f t="shared" si="0"/>
        <v>160750</v>
      </c>
      <c r="X28" s="57" t="s">
        <v>10</v>
      </c>
      <c r="Y28" s="73">
        <f t="shared" si="1"/>
        <v>160750</v>
      </c>
      <c r="Z28" s="68"/>
      <c r="AA28" s="69">
        <f t="shared" si="7"/>
        <v>160750</v>
      </c>
      <c r="AB28" s="70" t="s">
        <v>12</v>
      </c>
      <c r="AC28" s="67">
        <f t="shared" si="8"/>
        <v>0</v>
      </c>
      <c r="AD28" s="71" t="s">
        <v>12</v>
      </c>
      <c r="AE28" s="67">
        <f>SUMIF(Table2[Milestone/ Line],$B28,Table2[Invoice Amount])</f>
        <v>160750</v>
      </c>
      <c r="AF28" s="71" t="s">
        <v>10</v>
      </c>
      <c r="AG28" s="72">
        <f t="shared" si="9"/>
        <v>0</v>
      </c>
      <c r="AI28" s="51">
        <f t="shared" si="4"/>
        <v>6.25E-2</v>
      </c>
    </row>
    <row r="29" spans="1:35" ht="14.4" customHeight="1" x14ac:dyDescent="0.25">
      <c r="A29" s="65">
        <v>19</v>
      </c>
      <c r="B29" s="84" t="s">
        <v>69</v>
      </c>
      <c r="C29" s="83">
        <f t="shared" si="5"/>
        <v>19</v>
      </c>
      <c r="D29" s="87">
        <v>160750</v>
      </c>
      <c r="E29" s="90">
        <v>1</v>
      </c>
      <c r="F29" s="148"/>
      <c r="G29" s="162"/>
      <c r="H29" s="162"/>
      <c r="I29" s="162">
        <v>160750</v>
      </c>
      <c r="J29" s="162"/>
      <c r="K29" s="162"/>
      <c r="L29" s="123"/>
      <c r="M29" s="123"/>
      <c r="N29" s="123"/>
      <c r="O29" s="123"/>
      <c r="P29" s="123"/>
      <c r="Q29" s="123"/>
      <c r="R29" s="123"/>
      <c r="S29" s="123"/>
      <c r="T29" s="81">
        <v>42804</v>
      </c>
      <c r="U29" s="66">
        <f t="shared" si="6"/>
        <v>1</v>
      </c>
      <c r="V29" s="22" t="s">
        <v>27</v>
      </c>
      <c r="W29" s="91">
        <f t="shared" si="0"/>
        <v>160750</v>
      </c>
      <c r="X29" s="57" t="s">
        <v>10</v>
      </c>
      <c r="Y29" s="73">
        <f t="shared" si="1"/>
        <v>160750</v>
      </c>
      <c r="Z29" s="68"/>
      <c r="AA29" s="69">
        <f t="shared" si="7"/>
        <v>160750</v>
      </c>
      <c r="AB29" s="70" t="s">
        <v>12</v>
      </c>
      <c r="AC29" s="67">
        <f t="shared" si="8"/>
        <v>0</v>
      </c>
      <c r="AD29" s="71" t="s">
        <v>12</v>
      </c>
      <c r="AE29" s="67">
        <f>SUMIF(Table2[Milestone/ Line],$B29,Table2[Invoice Amount])</f>
        <v>160750</v>
      </c>
      <c r="AF29" s="71" t="s">
        <v>10</v>
      </c>
      <c r="AG29" s="72">
        <f t="shared" si="9"/>
        <v>0</v>
      </c>
      <c r="AI29" s="51">
        <f t="shared" si="4"/>
        <v>6.25E-2</v>
      </c>
    </row>
    <row r="30" spans="1:35" ht="14.4" customHeight="1" x14ac:dyDescent="0.25">
      <c r="A30" s="65">
        <v>20</v>
      </c>
      <c r="B30" s="84" t="s">
        <v>70</v>
      </c>
      <c r="C30" s="83">
        <f t="shared" si="5"/>
        <v>20</v>
      </c>
      <c r="D30" s="87">
        <v>160750</v>
      </c>
      <c r="E30" s="90">
        <v>1</v>
      </c>
      <c r="F30" s="148"/>
      <c r="G30" s="162"/>
      <c r="H30" s="162"/>
      <c r="I30" s="162">
        <v>160750</v>
      </c>
      <c r="J30" s="162"/>
      <c r="K30" s="162"/>
      <c r="L30" s="123"/>
      <c r="M30" s="123"/>
      <c r="N30" s="123"/>
      <c r="O30" s="123"/>
      <c r="P30" s="123"/>
      <c r="Q30" s="123"/>
      <c r="R30" s="123"/>
      <c r="S30" s="123"/>
      <c r="T30" s="81">
        <v>42814</v>
      </c>
      <c r="U30" s="66">
        <f t="shared" si="6"/>
        <v>1</v>
      </c>
      <c r="V30" s="22" t="s">
        <v>27</v>
      </c>
      <c r="W30" s="91">
        <f t="shared" si="0"/>
        <v>160750</v>
      </c>
      <c r="X30" s="57" t="s">
        <v>10</v>
      </c>
      <c r="Y30" s="73">
        <f t="shared" si="1"/>
        <v>160750</v>
      </c>
      <c r="Z30" s="68"/>
      <c r="AA30" s="69">
        <f t="shared" si="7"/>
        <v>160750</v>
      </c>
      <c r="AB30" s="70" t="s">
        <v>12</v>
      </c>
      <c r="AC30" s="67">
        <f t="shared" si="8"/>
        <v>0</v>
      </c>
      <c r="AD30" s="71" t="s">
        <v>12</v>
      </c>
      <c r="AE30" s="67">
        <f>SUMIF(Table2[Milestone/ Line],$B30,Table2[Invoice Amount])</f>
        <v>160750</v>
      </c>
      <c r="AF30" s="71" t="s">
        <v>10</v>
      </c>
      <c r="AG30" s="72">
        <f t="shared" si="9"/>
        <v>0</v>
      </c>
      <c r="AI30" s="51">
        <f t="shared" si="4"/>
        <v>6.25E-2</v>
      </c>
    </row>
    <row r="31" spans="1:35" ht="14.4" customHeight="1" x14ac:dyDescent="0.25">
      <c r="A31" s="65">
        <v>21</v>
      </c>
      <c r="B31" s="84" t="s">
        <v>91</v>
      </c>
      <c r="C31" s="83">
        <f t="shared" si="5"/>
        <v>21</v>
      </c>
      <c r="D31" s="87">
        <v>90800</v>
      </c>
      <c r="E31" s="90">
        <v>1</v>
      </c>
      <c r="F31" s="148"/>
      <c r="G31" s="162"/>
      <c r="H31" s="162"/>
      <c r="I31" s="162"/>
      <c r="J31" s="162"/>
      <c r="K31" s="162"/>
      <c r="L31" s="123"/>
      <c r="M31" s="123"/>
      <c r="N31" s="123"/>
      <c r="O31" s="123"/>
      <c r="P31" s="123"/>
      <c r="Q31" s="123"/>
      <c r="R31" s="123"/>
      <c r="S31" s="123"/>
      <c r="T31" s="81">
        <v>42478</v>
      </c>
      <c r="U31" s="66">
        <f t="shared" si="6"/>
        <v>1</v>
      </c>
      <c r="V31" s="22" t="s">
        <v>27</v>
      </c>
      <c r="W31" s="91">
        <f t="shared" si="0"/>
        <v>90800</v>
      </c>
      <c r="X31" s="57" t="s">
        <v>10</v>
      </c>
      <c r="Y31" s="73">
        <f t="shared" si="1"/>
        <v>90800</v>
      </c>
      <c r="Z31" s="68"/>
      <c r="AA31" s="69">
        <f t="shared" si="7"/>
        <v>90800</v>
      </c>
      <c r="AB31" s="70" t="s">
        <v>12</v>
      </c>
      <c r="AC31" s="67">
        <f t="shared" si="8"/>
        <v>0</v>
      </c>
      <c r="AD31" s="71" t="s">
        <v>12</v>
      </c>
      <c r="AE31" s="67">
        <f>SUMIF(Table2[Milestone/ Line],$B31,Table2[Invoice Amount])</f>
        <v>90800</v>
      </c>
      <c r="AF31" s="71" t="s">
        <v>10</v>
      </c>
      <c r="AG31" s="72">
        <f t="shared" si="9"/>
        <v>0</v>
      </c>
      <c r="AI31" s="51">
        <f t="shared" si="4"/>
        <v>6.25E-2</v>
      </c>
    </row>
    <row r="32" spans="1:35" ht="14.4" customHeight="1" x14ac:dyDescent="0.25">
      <c r="A32" s="65">
        <v>22</v>
      </c>
      <c r="B32" s="84" t="s">
        <v>92</v>
      </c>
      <c r="C32" s="83">
        <f t="shared" si="5"/>
        <v>22</v>
      </c>
      <c r="D32" s="87">
        <v>49696</v>
      </c>
      <c r="E32" s="90">
        <v>0.152</v>
      </c>
      <c r="F32" s="148"/>
      <c r="G32" s="162">
        <v>7554.66</v>
      </c>
      <c r="H32" s="162"/>
      <c r="I32" s="162"/>
      <c r="J32" s="162"/>
      <c r="K32" s="162"/>
      <c r="L32" s="123"/>
      <c r="M32" s="123"/>
      <c r="N32" s="123"/>
      <c r="O32" s="123"/>
      <c r="P32" s="123"/>
      <c r="Q32" s="123"/>
      <c r="R32" s="123"/>
      <c r="S32" s="123"/>
      <c r="T32" s="81">
        <v>42905</v>
      </c>
      <c r="U32" s="66">
        <f t="shared" si="6"/>
        <v>0.30401746619446235</v>
      </c>
      <c r="V32" s="22" t="s">
        <v>27</v>
      </c>
      <c r="W32" s="91">
        <f t="shared" si="0"/>
        <v>49696</v>
      </c>
      <c r="X32" s="57" t="s">
        <v>10</v>
      </c>
      <c r="Y32" s="73">
        <f t="shared" si="1"/>
        <v>15108.452000000001</v>
      </c>
      <c r="Z32" s="68"/>
      <c r="AA32" s="69">
        <f t="shared" si="7"/>
        <v>15108.452000000001</v>
      </c>
      <c r="AB32" s="70" t="s">
        <v>12</v>
      </c>
      <c r="AC32" s="67">
        <f t="shared" si="8"/>
        <v>7553.7920000000013</v>
      </c>
      <c r="AD32" s="71" t="s">
        <v>12</v>
      </c>
      <c r="AE32" s="67">
        <f>SUMIF(Table2[Milestone/ Line],$B32,Table2[Invoice Amount])</f>
        <v>7554.66</v>
      </c>
      <c r="AF32" s="71" t="s">
        <v>10</v>
      </c>
      <c r="AG32" s="72">
        <f t="shared" si="9"/>
        <v>0</v>
      </c>
      <c r="AI32" s="51">
        <f t="shared" si="4"/>
        <v>6.25E-2</v>
      </c>
    </row>
    <row r="33" spans="1:35" ht="14.4" customHeight="1" x14ac:dyDescent="0.25">
      <c r="A33" s="65">
        <v>23</v>
      </c>
      <c r="B33" s="84" t="s">
        <v>93</v>
      </c>
      <c r="C33" s="83">
        <f t="shared" si="5"/>
        <v>23</v>
      </c>
      <c r="D33" s="87">
        <v>323136</v>
      </c>
      <c r="E33" s="90">
        <v>0.97727272727269998</v>
      </c>
      <c r="F33" s="148"/>
      <c r="G33" s="162"/>
      <c r="H33" s="162"/>
      <c r="I33" s="162"/>
      <c r="J33" s="162"/>
      <c r="K33" s="162"/>
      <c r="L33" s="123"/>
      <c r="M33" s="123"/>
      <c r="N33" s="123"/>
      <c r="O33" s="123"/>
      <c r="P33" s="123"/>
      <c r="Q33" s="123"/>
      <c r="R33" s="123"/>
      <c r="S33" s="123"/>
      <c r="T33" s="81">
        <v>42653</v>
      </c>
      <c r="U33" s="66">
        <f t="shared" si="6"/>
        <v>0.97727272727269998</v>
      </c>
      <c r="V33" s="22" t="s">
        <v>27</v>
      </c>
      <c r="W33" s="91">
        <f t="shared" si="0"/>
        <v>323136</v>
      </c>
      <c r="X33" s="57" t="s">
        <v>10</v>
      </c>
      <c r="Y33" s="73">
        <f t="shared" si="1"/>
        <v>315791.99999999115</v>
      </c>
      <c r="Z33" s="68"/>
      <c r="AA33" s="69">
        <f t="shared" si="7"/>
        <v>315791.99999999115</v>
      </c>
      <c r="AB33" s="70" t="s">
        <v>12</v>
      </c>
      <c r="AC33" s="67">
        <f t="shared" si="8"/>
        <v>-8.8475644588470459E-9</v>
      </c>
      <c r="AD33" s="71" t="s">
        <v>12</v>
      </c>
      <c r="AE33" s="67">
        <f>SUMIF(Table2[Milestone/ Line],$B33,Table2[Invoice Amount])</f>
        <v>315792</v>
      </c>
      <c r="AF33" s="71" t="s">
        <v>10</v>
      </c>
      <c r="AG33" s="72">
        <f t="shared" si="9"/>
        <v>0</v>
      </c>
      <c r="AH33" s="103" t="s">
        <v>109</v>
      </c>
      <c r="AI33" s="51">
        <f t="shared" si="4"/>
        <v>6.25E-2</v>
      </c>
    </row>
    <row r="34" spans="1:35" ht="14.4" customHeight="1" x14ac:dyDescent="0.25">
      <c r="A34" s="65">
        <v>24</v>
      </c>
      <c r="B34" s="84" t="s">
        <v>94</v>
      </c>
      <c r="C34" s="83">
        <f t="shared" si="5"/>
        <v>24</v>
      </c>
      <c r="D34" s="87">
        <v>246240</v>
      </c>
      <c r="E34" s="121">
        <v>9.3404808000000006E-2</v>
      </c>
      <c r="F34" s="152">
        <v>23000</v>
      </c>
      <c r="G34" s="163">
        <v>101080</v>
      </c>
      <c r="H34" s="163"/>
      <c r="I34" s="163">
        <f>2270*8</f>
        <v>18160</v>
      </c>
      <c r="J34" s="163">
        <v>7000</v>
      </c>
      <c r="K34" s="163"/>
      <c r="L34" s="123"/>
      <c r="M34" s="123"/>
      <c r="N34" s="123"/>
      <c r="O34" s="123"/>
      <c r="P34" s="123"/>
      <c r="Q34" s="123"/>
      <c r="R34" s="123"/>
      <c r="S34" s="123">
        <v>10000</v>
      </c>
      <c r="T34" s="81">
        <v>42933</v>
      </c>
      <c r="U34" s="66">
        <f t="shared" si="6"/>
        <v>0.74009096784405459</v>
      </c>
      <c r="V34" s="22" t="s">
        <v>27</v>
      </c>
      <c r="W34" s="91">
        <f t="shared" si="0"/>
        <v>246240</v>
      </c>
      <c r="X34" s="57" t="s">
        <v>10</v>
      </c>
      <c r="Y34" s="73">
        <f t="shared" si="1"/>
        <v>182239.99992192001</v>
      </c>
      <c r="Z34" s="68"/>
      <c r="AA34" s="69">
        <f t="shared" si="7"/>
        <v>182239.99992192001</v>
      </c>
      <c r="AB34" s="70" t="s">
        <v>12</v>
      </c>
      <c r="AC34" s="67">
        <f t="shared" si="8"/>
        <v>16999.999921920011</v>
      </c>
      <c r="AD34" s="71" t="s">
        <v>12</v>
      </c>
      <c r="AE34" s="67">
        <f>SUMIF(Table2[Milestone/ Line],$B34,Table2[Invoice Amount])</f>
        <v>165240</v>
      </c>
      <c r="AF34" s="71" t="s">
        <v>10</v>
      </c>
      <c r="AG34" s="72">
        <f t="shared" si="9"/>
        <v>0</v>
      </c>
      <c r="AH34" s="51" t="s">
        <v>113</v>
      </c>
      <c r="AI34" s="51">
        <f t="shared" si="4"/>
        <v>6.25E-2</v>
      </c>
    </row>
    <row r="35" spans="1:35" ht="14.4" customHeight="1" x14ac:dyDescent="0.25">
      <c r="A35" s="65">
        <v>25</v>
      </c>
      <c r="B35" s="84" t="s">
        <v>95</v>
      </c>
      <c r="C35" s="83">
        <f t="shared" si="5"/>
        <v>25</v>
      </c>
      <c r="D35" s="87">
        <v>147200</v>
      </c>
      <c r="E35" s="121">
        <v>0.3125</v>
      </c>
      <c r="F35" s="148">
        <v>9200</v>
      </c>
      <c r="G35" s="163">
        <v>9200</v>
      </c>
      <c r="H35" s="163">
        <v>9200</v>
      </c>
      <c r="I35" s="163">
        <v>9200</v>
      </c>
      <c r="J35" s="163">
        <v>9200</v>
      </c>
      <c r="K35" s="163"/>
      <c r="L35" s="123"/>
      <c r="M35" s="123"/>
      <c r="N35" s="123"/>
      <c r="O35" s="123"/>
      <c r="P35" s="123"/>
      <c r="Q35" s="123"/>
      <c r="R35" s="123"/>
      <c r="S35" s="123">
        <v>9200</v>
      </c>
      <c r="T35" s="81">
        <v>42933</v>
      </c>
      <c r="U35" s="66">
        <f t="shared" si="6"/>
        <v>0.6875</v>
      </c>
      <c r="V35" s="22" t="s">
        <v>27</v>
      </c>
      <c r="W35" s="91">
        <f t="shared" si="0"/>
        <v>147200</v>
      </c>
      <c r="X35" s="57" t="s">
        <v>10</v>
      </c>
      <c r="Y35" s="73">
        <f t="shared" si="1"/>
        <v>101200</v>
      </c>
      <c r="Z35" s="68"/>
      <c r="AA35" s="69">
        <f t="shared" si="7"/>
        <v>101200</v>
      </c>
      <c r="AB35" s="70" t="s">
        <v>12</v>
      </c>
      <c r="AC35" s="67">
        <f t="shared" si="8"/>
        <v>36800</v>
      </c>
      <c r="AD35" s="71" t="s">
        <v>12</v>
      </c>
      <c r="AE35" s="67">
        <f>SUMIF(Table2[Milestone/ Line],$B35,Table2[Invoice Amount])</f>
        <v>64400</v>
      </c>
      <c r="AF35" s="71" t="s">
        <v>10</v>
      </c>
      <c r="AG35" s="72">
        <f t="shared" si="9"/>
        <v>0</v>
      </c>
      <c r="AH35" s="51" t="s">
        <v>114</v>
      </c>
      <c r="AI35" s="51">
        <f t="shared" si="4"/>
        <v>6.25E-2</v>
      </c>
    </row>
    <row r="36" spans="1:35" ht="14.4" customHeight="1" x14ac:dyDescent="0.25">
      <c r="A36" s="65">
        <v>26</v>
      </c>
      <c r="B36" s="84" t="s">
        <v>71</v>
      </c>
      <c r="C36" s="83">
        <f t="shared" si="5"/>
        <v>26</v>
      </c>
      <c r="D36" s="87">
        <v>160750</v>
      </c>
      <c r="E36" s="66"/>
      <c r="F36" s="148"/>
      <c r="G36" s="122"/>
      <c r="H36" s="122"/>
      <c r="I36" s="122"/>
      <c r="J36" s="252">
        <v>160750</v>
      </c>
      <c r="K36" s="122"/>
      <c r="L36" s="123"/>
      <c r="M36" s="123"/>
      <c r="N36" s="123"/>
      <c r="O36" s="123"/>
      <c r="P36" s="123"/>
      <c r="Q36" s="123"/>
      <c r="R36" s="123"/>
      <c r="S36" s="123"/>
      <c r="T36" s="86">
        <v>42822</v>
      </c>
      <c r="U36" s="66">
        <f t="shared" si="6"/>
        <v>1</v>
      </c>
      <c r="V36" s="22" t="s">
        <v>27</v>
      </c>
      <c r="W36" s="91">
        <f t="shared" si="0"/>
        <v>160750</v>
      </c>
      <c r="X36" s="57" t="s">
        <v>10</v>
      </c>
      <c r="Y36" s="73">
        <f t="shared" si="1"/>
        <v>160750</v>
      </c>
      <c r="Z36" s="68"/>
      <c r="AA36" s="69">
        <f t="shared" si="7"/>
        <v>160750</v>
      </c>
      <c r="AB36" s="70" t="s">
        <v>12</v>
      </c>
      <c r="AC36" s="67">
        <f t="shared" si="8"/>
        <v>160750</v>
      </c>
      <c r="AD36" s="71" t="s">
        <v>12</v>
      </c>
      <c r="AE36" s="67">
        <f>SUMIF(Table2[Milestone/ Line],$B36,Table2[Invoice Amount])</f>
        <v>0</v>
      </c>
      <c r="AF36" s="71" t="s">
        <v>10</v>
      </c>
      <c r="AG36" s="72">
        <f t="shared" si="9"/>
        <v>0</v>
      </c>
      <c r="AI36" s="51">
        <f t="shared" si="4"/>
        <v>6.25E-2</v>
      </c>
    </row>
    <row r="37" spans="1:35" ht="14.4" customHeight="1" x14ac:dyDescent="0.25">
      <c r="A37" s="65">
        <v>27</v>
      </c>
      <c r="B37" s="84" t="s">
        <v>72</v>
      </c>
      <c r="C37" s="83">
        <f t="shared" si="5"/>
        <v>27</v>
      </c>
      <c r="D37" s="87">
        <v>160750</v>
      </c>
      <c r="E37" s="66"/>
      <c r="F37" s="148"/>
      <c r="G37" s="122"/>
      <c r="H37" s="122"/>
      <c r="I37" s="122">
        <f>160750/2</f>
        <v>80375</v>
      </c>
      <c r="J37" s="122"/>
      <c r="K37" s="122"/>
      <c r="L37" s="123"/>
      <c r="M37" s="123"/>
      <c r="N37" s="123"/>
      <c r="O37" s="123"/>
      <c r="P37" s="123"/>
      <c r="Q37" s="123"/>
      <c r="R37" s="123"/>
      <c r="S37" s="123">
        <v>80375</v>
      </c>
      <c r="T37" s="86">
        <v>42830</v>
      </c>
      <c r="U37" s="66">
        <f t="shared" si="6"/>
        <v>1</v>
      </c>
      <c r="V37" s="22" t="s">
        <v>27</v>
      </c>
      <c r="W37" s="91">
        <f t="shared" si="0"/>
        <v>160750</v>
      </c>
      <c r="X37" s="57" t="s">
        <v>10</v>
      </c>
      <c r="Y37" s="73">
        <f t="shared" si="1"/>
        <v>160750</v>
      </c>
      <c r="Z37" s="68"/>
      <c r="AA37" s="69">
        <f t="shared" si="7"/>
        <v>160750</v>
      </c>
      <c r="AB37" s="70" t="s">
        <v>12</v>
      </c>
      <c r="AC37" s="67">
        <f t="shared" si="8"/>
        <v>160750</v>
      </c>
      <c r="AD37" s="71" t="s">
        <v>12</v>
      </c>
      <c r="AE37" s="67">
        <f>SUMIF(Table2[Milestone/ Line],$B37,Table2[Invoice Amount])</f>
        <v>0</v>
      </c>
      <c r="AF37" s="71" t="s">
        <v>10</v>
      </c>
      <c r="AG37" s="72">
        <f t="shared" si="9"/>
        <v>0</v>
      </c>
      <c r="AI37" s="51">
        <f t="shared" si="4"/>
        <v>6.25E-2</v>
      </c>
    </row>
    <row r="38" spans="1:35" ht="14.4" customHeight="1" x14ac:dyDescent="0.25">
      <c r="A38" s="65">
        <v>28</v>
      </c>
      <c r="B38" s="84" t="s">
        <v>73</v>
      </c>
      <c r="C38" s="83">
        <f t="shared" si="5"/>
        <v>28</v>
      </c>
      <c r="D38" s="87">
        <v>160750</v>
      </c>
      <c r="E38" s="66"/>
      <c r="F38" s="148"/>
      <c r="G38" s="122"/>
      <c r="H38" s="122"/>
      <c r="I38" s="122">
        <f>160750/4</f>
        <v>40187.5</v>
      </c>
      <c r="J38" s="122">
        <v>120562.5</v>
      </c>
      <c r="K38" s="122"/>
      <c r="L38" s="123"/>
      <c r="M38" s="123"/>
      <c r="N38" s="123"/>
      <c r="O38" s="123"/>
      <c r="P38" s="123"/>
      <c r="Q38" s="123"/>
      <c r="R38" s="123"/>
      <c r="S38" s="123"/>
      <c r="T38" s="86">
        <v>42838</v>
      </c>
      <c r="U38" s="66">
        <f t="shared" si="6"/>
        <v>1</v>
      </c>
      <c r="V38" s="22" t="s">
        <v>27</v>
      </c>
      <c r="W38" s="91">
        <f t="shared" si="0"/>
        <v>160750</v>
      </c>
      <c r="X38" s="57" t="s">
        <v>10</v>
      </c>
      <c r="Y38" s="73">
        <f t="shared" si="1"/>
        <v>160750</v>
      </c>
      <c r="Z38" s="68"/>
      <c r="AA38" s="69">
        <f t="shared" si="7"/>
        <v>160750</v>
      </c>
      <c r="AB38" s="70" t="s">
        <v>12</v>
      </c>
      <c r="AC38" s="67">
        <f t="shared" si="8"/>
        <v>160750</v>
      </c>
      <c r="AD38" s="71" t="s">
        <v>12</v>
      </c>
      <c r="AE38" s="67">
        <f>SUMIF(Table2[Milestone/ Line],$B38,Table2[Invoice Amount])</f>
        <v>0</v>
      </c>
      <c r="AF38" s="71" t="s">
        <v>10</v>
      </c>
      <c r="AG38" s="72">
        <f t="shared" si="9"/>
        <v>0</v>
      </c>
      <c r="AI38" s="51">
        <f t="shared" si="4"/>
        <v>6.25E-2</v>
      </c>
    </row>
    <row r="39" spans="1:35" ht="14.4" customHeight="1" x14ac:dyDescent="0.25">
      <c r="A39" s="65">
        <v>29</v>
      </c>
      <c r="B39" s="84" t="s">
        <v>74</v>
      </c>
      <c r="C39" s="83">
        <f t="shared" si="5"/>
        <v>29</v>
      </c>
      <c r="D39" s="87">
        <v>160750</v>
      </c>
      <c r="E39" s="66"/>
      <c r="F39" s="148"/>
      <c r="G39" s="122"/>
      <c r="H39" s="122"/>
      <c r="I39" s="122"/>
      <c r="J39" s="122"/>
      <c r="K39" s="122"/>
      <c r="L39" s="123"/>
      <c r="M39" s="123"/>
      <c r="N39" s="123"/>
      <c r="O39" s="123"/>
      <c r="P39" s="123"/>
      <c r="Q39" s="123"/>
      <c r="R39" s="123"/>
      <c r="S39" s="123">
        <v>160750</v>
      </c>
      <c r="T39" s="86">
        <v>42846</v>
      </c>
      <c r="U39" s="66">
        <f t="shared" si="6"/>
        <v>1</v>
      </c>
      <c r="V39" s="22" t="s">
        <v>27</v>
      </c>
      <c r="W39" s="91">
        <f t="shared" si="0"/>
        <v>160750</v>
      </c>
      <c r="X39" s="57" t="s">
        <v>10</v>
      </c>
      <c r="Y39" s="73">
        <f t="shared" si="1"/>
        <v>160750</v>
      </c>
      <c r="Z39" s="68"/>
      <c r="AA39" s="69">
        <f t="shared" si="7"/>
        <v>160750</v>
      </c>
      <c r="AB39" s="70" t="s">
        <v>12</v>
      </c>
      <c r="AC39" s="67">
        <f t="shared" si="8"/>
        <v>160750</v>
      </c>
      <c r="AD39" s="71" t="s">
        <v>12</v>
      </c>
      <c r="AE39" s="67">
        <f>SUMIF(Table2[Milestone/ Line],$B39,Table2[Invoice Amount])</f>
        <v>0</v>
      </c>
      <c r="AF39" s="71" t="s">
        <v>10</v>
      </c>
      <c r="AG39" s="72">
        <f t="shared" si="9"/>
        <v>0</v>
      </c>
      <c r="AI39" s="51">
        <f t="shared" si="4"/>
        <v>6.25E-2</v>
      </c>
    </row>
    <row r="40" spans="1:35" ht="14.4" customHeight="1" x14ac:dyDescent="0.25">
      <c r="A40" s="65">
        <v>30</v>
      </c>
      <c r="B40" s="84" t="s">
        <v>75</v>
      </c>
      <c r="C40" s="83">
        <f t="shared" si="5"/>
        <v>30</v>
      </c>
      <c r="D40" s="87">
        <v>160750</v>
      </c>
      <c r="E40" s="66"/>
      <c r="F40" s="148"/>
      <c r="G40" s="122"/>
      <c r="H40" s="122"/>
      <c r="I40" s="122"/>
      <c r="J40" s="122"/>
      <c r="K40" s="122"/>
      <c r="L40" s="123"/>
      <c r="M40" s="123"/>
      <c r="N40" s="123"/>
      <c r="O40" s="123"/>
      <c r="P40" s="123"/>
      <c r="Q40" s="123"/>
      <c r="R40" s="123"/>
      <c r="S40" s="123">
        <v>160750</v>
      </c>
      <c r="T40" s="86">
        <v>42856</v>
      </c>
      <c r="U40" s="66">
        <f t="shared" si="6"/>
        <v>1</v>
      </c>
      <c r="V40" s="22" t="s">
        <v>27</v>
      </c>
      <c r="W40" s="91">
        <f t="shared" si="0"/>
        <v>160750</v>
      </c>
      <c r="X40" s="57" t="s">
        <v>10</v>
      </c>
      <c r="Y40" s="73">
        <f t="shared" si="1"/>
        <v>160750</v>
      </c>
      <c r="Z40" s="68"/>
      <c r="AA40" s="69">
        <f t="shared" si="7"/>
        <v>160750</v>
      </c>
      <c r="AB40" s="70" t="s">
        <v>12</v>
      </c>
      <c r="AC40" s="67">
        <f t="shared" si="8"/>
        <v>160750</v>
      </c>
      <c r="AD40" s="71" t="s">
        <v>12</v>
      </c>
      <c r="AE40" s="67">
        <f>SUMIF(Table2[Milestone/ Line],$B40,Table2[Invoice Amount])</f>
        <v>0</v>
      </c>
      <c r="AF40" s="71" t="s">
        <v>10</v>
      </c>
      <c r="AG40" s="72">
        <f t="shared" si="9"/>
        <v>0</v>
      </c>
      <c r="AI40" s="51">
        <f t="shared" si="4"/>
        <v>6.25E-2</v>
      </c>
    </row>
    <row r="41" spans="1:35" ht="14.4" customHeight="1" x14ac:dyDescent="0.25">
      <c r="A41" s="65">
        <v>31</v>
      </c>
      <c r="B41" s="84" t="s">
        <v>76</v>
      </c>
      <c r="C41" s="83">
        <f t="shared" si="5"/>
        <v>31</v>
      </c>
      <c r="D41" s="87">
        <v>160750</v>
      </c>
      <c r="E41" s="66"/>
      <c r="F41" s="148"/>
      <c r="G41" s="122"/>
      <c r="H41" s="122"/>
      <c r="I41" s="122"/>
      <c r="J41" s="122"/>
      <c r="K41" s="122"/>
      <c r="L41" s="123"/>
      <c r="M41" s="123"/>
      <c r="N41" s="123"/>
      <c r="O41" s="123"/>
      <c r="P41" s="123"/>
      <c r="Q41" s="123"/>
      <c r="R41" s="123"/>
      <c r="S41" s="123">
        <f>D41/4</f>
        <v>40187.5</v>
      </c>
      <c r="T41" s="86">
        <v>42864</v>
      </c>
      <c r="U41" s="66">
        <f t="shared" si="6"/>
        <v>0.25</v>
      </c>
      <c r="V41" s="22" t="s">
        <v>27</v>
      </c>
      <c r="W41" s="91">
        <f t="shared" si="0"/>
        <v>160750</v>
      </c>
      <c r="X41" s="57" t="s">
        <v>10</v>
      </c>
      <c r="Y41" s="73">
        <f t="shared" si="1"/>
        <v>40187.5</v>
      </c>
      <c r="Z41" s="68"/>
      <c r="AA41" s="69">
        <f t="shared" si="7"/>
        <v>40187.5</v>
      </c>
      <c r="AB41" s="70" t="s">
        <v>12</v>
      </c>
      <c r="AC41" s="67">
        <f t="shared" si="8"/>
        <v>40187.5</v>
      </c>
      <c r="AD41" s="71" t="s">
        <v>12</v>
      </c>
      <c r="AE41" s="67">
        <f>SUMIF(Table2[Milestone/ Line],$B41,Table2[Invoice Amount])</f>
        <v>0</v>
      </c>
      <c r="AF41" s="71" t="s">
        <v>10</v>
      </c>
      <c r="AG41" s="72">
        <f t="shared" si="9"/>
        <v>0</v>
      </c>
      <c r="AI41" s="51">
        <f t="shared" si="4"/>
        <v>6.25E-2</v>
      </c>
    </row>
    <row r="42" spans="1:35" ht="14.4" customHeight="1" x14ac:dyDescent="0.25">
      <c r="A42" s="65">
        <v>32</v>
      </c>
      <c r="B42" s="84" t="s">
        <v>77</v>
      </c>
      <c r="C42" s="83">
        <f t="shared" si="5"/>
        <v>32</v>
      </c>
      <c r="D42" s="87">
        <v>160750</v>
      </c>
      <c r="E42" s="66"/>
      <c r="F42" s="148"/>
      <c r="G42" s="122"/>
      <c r="H42" s="122"/>
      <c r="I42" s="122"/>
      <c r="J42" s="122"/>
      <c r="K42" s="122"/>
      <c r="L42" s="123"/>
      <c r="M42" s="123"/>
      <c r="N42" s="123"/>
      <c r="O42" s="123"/>
      <c r="P42" s="123"/>
      <c r="Q42" s="123"/>
      <c r="R42" s="123"/>
      <c r="S42" s="123"/>
      <c r="T42" s="86">
        <v>42872</v>
      </c>
      <c r="U42" s="66">
        <f t="shared" si="6"/>
        <v>0</v>
      </c>
      <c r="V42" s="22" t="s">
        <v>27</v>
      </c>
      <c r="W42" s="91">
        <f t="shared" si="0"/>
        <v>160750</v>
      </c>
      <c r="X42" s="57" t="s">
        <v>10</v>
      </c>
      <c r="Y42" s="73">
        <f t="shared" si="1"/>
        <v>0</v>
      </c>
      <c r="Z42" s="68"/>
      <c r="AA42" s="69">
        <f t="shared" si="7"/>
        <v>0</v>
      </c>
      <c r="AB42" s="70" t="s">
        <v>12</v>
      </c>
      <c r="AC42" s="67">
        <f t="shared" si="8"/>
        <v>0</v>
      </c>
      <c r="AD42" s="71" t="s">
        <v>12</v>
      </c>
      <c r="AE42" s="67">
        <f>SUMIF(Table2[Milestone/ Line],$B42,Table2[Invoice Amount])</f>
        <v>0</v>
      </c>
      <c r="AF42" s="71" t="s">
        <v>10</v>
      </c>
      <c r="AG42" s="72">
        <f t="shared" si="9"/>
        <v>0</v>
      </c>
      <c r="AI42" s="51">
        <f t="shared" si="4"/>
        <v>6.25E-2</v>
      </c>
    </row>
    <row r="43" spans="1:35" ht="14.4" customHeight="1" x14ac:dyDescent="0.25">
      <c r="A43" s="65">
        <v>33</v>
      </c>
      <c r="B43" s="84" t="s">
        <v>78</v>
      </c>
      <c r="C43" s="83">
        <f t="shared" si="5"/>
        <v>33</v>
      </c>
      <c r="D43" s="87">
        <v>160750</v>
      </c>
      <c r="E43" s="66"/>
      <c r="F43" s="148"/>
      <c r="G43" s="122"/>
      <c r="H43" s="122"/>
      <c r="I43" s="122"/>
      <c r="J43" s="122"/>
      <c r="K43" s="122"/>
      <c r="L43" s="123"/>
      <c r="M43" s="123"/>
      <c r="N43" s="123"/>
      <c r="O43" s="123"/>
      <c r="P43" s="123"/>
      <c r="Q43" s="123"/>
      <c r="R43" s="123"/>
      <c r="S43" s="123"/>
      <c r="T43" s="86">
        <v>42880</v>
      </c>
      <c r="U43" s="66">
        <f t="shared" si="6"/>
        <v>0</v>
      </c>
      <c r="V43" s="22" t="s">
        <v>27</v>
      </c>
      <c r="W43" s="91">
        <f t="shared" ref="W43:W61" si="10">D43</f>
        <v>160750</v>
      </c>
      <c r="X43" s="57" t="s">
        <v>10</v>
      </c>
      <c r="Y43" s="73">
        <f t="shared" ref="Y43:Y56" si="11">U43*W43</f>
        <v>0</v>
      </c>
      <c r="Z43" s="68"/>
      <c r="AA43" s="69">
        <f t="shared" si="7"/>
        <v>0</v>
      </c>
      <c r="AB43" s="70" t="s">
        <v>12</v>
      </c>
      <c r="AC43" s="67">
        <f t="shared" si="8"/>
        <v>0</v>
      </c>
      <c r="AD43" s="71" t="s">
        <v>12</v>
      </c>
      <c r="AE43" s="67">
        <f>SUMIF(Table2[Milestone/ Line],$B43,Table2[Invoice Amount])</f>
        <v>0</v>
      </c>
      <c r="AF43" s="71" t="s">
        <v>10</v>
      </c>
      <c r="AG43" s="72">
        <f t="shared" si="9"/>
        <v>0</v>
      </c>
      <c r="AI43" s="51">
        <f t="shared" si="4"/>
        <v>6.25E-2</v>
      </c>
    </row>
    <row r="44" spans="1:35" ht="14.4" customHeight="1" x14ac:dyDescent="0.25">
      <c r="A44" s="65">
        <v>34</v>
      </c>
      <c r="B44" s="84" t="s">
        <v>79</v>
      </c>
      <c r="C44" s="83">
        <f t="shared" si="5"/>
        <v>34</v>
      </c>
      <c r="D44" s="87">
        <v>160750</v>
      </c>
      <c r="E44" s="66"/>
      <c r="F44" s="148"/>
      <c r="G44" s="122"/>
      <c r="H44" s="122"/>
      <c r="I44" s="122"/>
      <c r="J44" s="122"/>
      <c r="K44" s="122"/>
      <c r="L44" s="123"/>
      <c r="M44" s="123"/>
      <c r="N44" s="123"/>
      <c r="O44" s="123"/>
      <c r="P44" s="123"/>
      <c r="Q44" s="123"/>
      <c r="R44" s="123"/>
      <c r="S44" s="123"/>
      <c r="T44" s="86">
        <v>42888</v>
      </c>
      <c r="U44" s="66">
        <f t="shared" si="6"/>
        <v>0</v>
      </c>
      <c r="V44" s="22" t="s">
        <v>27</v>
      </c>
      <c r="W44" s="91">
        <f t="shared" si="10"/>
        <v>160750</v>
      </c>
      <c r="X44" s="57" t="s">
        <v>10</v>
      </c>
      <c r="Y44" s="73">
        <f t="shared" si="11"/>
        <v>0</v>
      </c>
      <c r="Z44" s="68"/>
      <c r="AA44" s="69">
        <f t="shared" si="7"/>
        <v>0</v>
      </c>
      <c r="AB44" s="70" t="s">
        <v>12</v>
      </c>
      <c r="AC44" s="67">
        <f t="shared" si="8"/>
        <v>0</v>
      </c>
      <c r="AD44" s="71" t="s">
        <v>12</v>
      </c>
      <c r="AE44" s="67">
        <f>SUMIF(Table2[Milestone/ Line],$B44,Table2[Invoice Amount])</f>
        <v>0</v>
      </c>
      <c r="AF44" s="71" t="s">
        <v>10</v>
      </c>
      <c r="AG44" s="72">
        <f t="shared" si="9"/>
        <v>0</v>
      </c>
      <c r="AI44" s="51">
        <f t="shared" si="4"/>
        <v>6.25E-2</v>
      </c>
    </row>
    <row r="45" spans="1:35" ht="14.4" customHeight="1" x14ac:dyDescent="0.25">
      <c r="A45" s="65">
        <v>35</v>
      </c>
      <c r="B45" s="84" t="s">
        <v>80</v>
      </c>
      <c r="C45" s="83">
        <f t="shared" si="5"/>
        <v>35</v>
      </c>
      <c r="D45" s="87">
        <v>160750</v>
      </c>
      <c r="E45" s="66"/>
      <c r="F45" s="148"/>
      <c r="G45" s="122"/>
      <c r="H45" s="122"/>
      <c r="I45" s="122"/>
      <c r="J45" s="122"/>
      <c r="K45" s="122"/>
      <c r="L45" s="123"/>
      <c r="M45" s="123"/>
      <c r="N45" s="123"/>
      <c r="O45" s="123"/>
      <c r="P45" s="123"/>
      <c r="Q45" s="123"/>
      <c r="R45" s="123"/>
      <c r="S45" s="123"/>
      <c r="T45" s="86">
        <v>42898</v>
      </c>
      <c r="U45" s="66">
        <f t="shared" si="6"/>
        <v>0</v>
      </c>
      <c r="V45" s="22" t="s">
        <v>27</v>
      </c>
      <c r="W45" s="91">
        <f t="shared" si="10"/>
        <v>160750</v>
      </c>
      <c r="X45" s="57" t="s">
        <v>10</v>
      </c>
      <c r="Y45" s="73">
        <f t="shared" si="11"/>
        <v>0</v>
      </c>
      <c r="Z45" s="68"/>
      <c r="AA45" s="69">
        <f t="shared" si="7"/>
        <v>0</v>
      </c>
      <c r="AB45" s="70" t="s">
        <v>12</v>
      </c>
      <c r="AC45" s="67">
        <f t="shared" si="8"/>
        <v>0</v>
      </c>
      <c r="AD45" s="71" t="s">
        <v>12</v>
      </c>
      <c r="AE45" s="67">
        <f>SUMIF(Table2[Milestone/ Line],$B45,Table2[Invoice Amount])</f>
        <v>0</v>
      </c>
      <c r="AF45" s="71" t="s">
        <v>10</v>
      </c>
      <c r="AG45" s="72">
        <f t="shared" si="9"/>
        <v>0</v>
      </c>
      <c r="AI45" s="51">
        <f t="shared" si="4"/>
        <v>6.25E-2</v>
      </c>
    </row>
    <row r="46" spans="1:35" ht="14.4" customHeight="1" x14ac:dyDescent="0.25">
      <c r="A46" s="65">
        <v>36</v>
      </c>
      <c r="B46" s="84" t="s">
        <v>81</v>
      </c>
      <c r="C46" s="83">
        <f t="shared" si="5"/>
        <v>36</v>
      </c>
      <c r="D46" s="87">
        <v>160750</v>
      </c>
      <c r="E46" s="66"/>
      <c r="F46" s="148"/>
      <c r="G46" s="122"/>
      <c r="H46" s="122"/>
      <c r="I46" s="122"/>
      <c r="J46" s="122"/>
      <c r="K46" s="122"/>
      <c r="L46" s="123"/>
      <c r="M46" s="123"/>
      <c r="N46" s="123"/>
      <c r="O46" s="123"/>
      <c r="P46" s="123"/>
      <c r="Q46" s="123"/>
      <c r="R46" s="123"/>
      <c r="S46" s="123"/>
      <c r="T46" s="86">
        <v>42906</v>
      </c>
      <c r="U46" s="66">
        <f t="shared" si="6"/>
        <v>0</v>
      </c>
      <c r="V46" s="22" t="s">
        <v>27</v>
      </c>
      <c r="W46" s="91">
        <f t="shared" si="10"/>
        <v>160750</v>
      </c>
      <c r="X46" s="57" t="s">
        <v>10</v>
      </c>
      <c r="Y46" s="73">
        <f t="shared" si="11"/>
        <v>0</v>
      </c>
      <c r="Z46" s="68"/>
      <c r="AA46" s="69">
        <f t="shared" si="7"/>
        <v>0</v>
      </c>
      <c r="AB46" s="70" t="s">
        <v>12</v>
      </c>
      <c r="AC46" s="67">
        <f t="shared" si="8"/>
        <v>0</v>
      </c>
      <c r="AD46" s="71" t="s">
        <v>12</v>
      </c>
      <c r="AE46" s="67">
        <f>SUMIF(Table2[Milestone/ Line],$B46,Table2[Invoice Amount])</f>
        <v>0</v>
      </c>
      <c r="AF46" s="71" t="s">
        <v>10</v>
      </c>
      <c r="AG46" s="72">
        <f t="shared" si="9"/>
        <v>0</v>
      </c>
      <c r="AI46" s="51">
        <f t="shared" si="4"/>
        <v>6.25E-2</v>
      </c>
    </row>
    <row r="47" spans="1:35" ht="14.4" customHeight="1" x14ac:dyDescent="0.25">
      <c r="A47" s="65">
        <v>37</v>
      </c>
      <c r="B47" s="84" t="s">
        <v>82</v>
      </c>
      <c r="C47" s="83">
        <f t="shared" si="5"/>
        <v>37</v>
      </c>
      <c r="D47" s="87">
        <v>160750</v>
      </c>
      <c r="E47" s="66"/>
      <c r="F47" s="148"/>
      <c r="G47" s="122"/>
      <c r="H47" s="122"/>
      <c r="I47" s="122"/>
      <c r="J47" s="122"/>
      <c r="K47" s="122"/>
      <c r="L47" s="123"/>
      <c r="M47" s="123"/>
      <c r="N47" s="123"/>
      <c r="O47" s="123"/>
      <c r="P47" s="123"/>
      <c r="Q47" s="123"/>
      <c r="R47" s="123"/>
      <c r="S47" s="123"/>
      <c r="T47" s="86">
        <v>42914</v>
      </c>
      <c r="U47" s="66">
        <f t="shared" si="6"/>
        <v>0</v>
      </c>
      <c r="V47" s="22" t="s">
        <v>27</v>
      </c>
      <c r="W47" s="91">
        <f t="shared" si="10"/>
        <v>160750</v>
      </c>
      <c r="X47" s="57" t="s">
        <v>10</v>
      </c>
      <c r="Y47" s="73">
        <f t="shared" si="11"/>
        <v>0</v>
      </c>
      <c r="Z47" s="68"/>
      <c r="AA47" s="69">
        <f t="shared" si="7"/>
        <v>0</v>
      </c>
      <c r="AB47" s="70" t="s">
        <v>12</v>
      </c>
      <c r="AC47" s="67">
        <f t="shared" si="8"/>
        <v>0</v>
      </c>
      <c r="AD47" s="71" t="s">
        <v>12</v>
      </c>
      <c r="AE47" s="67">
        <f>SUMIF(Table2[Milestone/ Line],$B47,Table2[Invoice Amount])</f>
        <v>0</v>
      </c>
      <c r="AF47" s="71" t="s">
        <v>10</v>
      </c>
      <c r="AG47" s="72">
        <f t="shared" si="9"/>
        <v>0</v>
      </c>
      <c r="AI47" s="51">
        <f t="shared" si="4"/>
        <v>6.25E-2</v>
      </c>
    </row>
    <row r="48" spans="1:35" ht="14.4" customHeight="1" x14ac:dyDescent="0.25">
      <c r="A48" s="65">
        <v>38</v>
      </c>
      <c r="B48" s="84" t="s">
        <v>83</v>
      </c>
      <c r="C48" s="83">
        <f t="shared" si="5"/>
        <v>38</v>
      </c>
      <c r="D48" s="87">
        <v>160750</v>
      </c>
      <c r="E48" s="66"/>
      <c r="F48" s="148"/>
      <c r="G48" s="122"/>
      <c r="H48" s="122"/>
      <c r="I48" s="122"/>
      <c r="J48" s="122"/>
      <c r="K48" s="122"/>
      <c r="L48" s="123"/>
      <c r="M48" s="123"/>
      <c r="N48" s="123"/>
      <c r="O48" s="123"/>
      <c r="P48" s="123"/>
      <c r="Q48" s="123"/>
      <c r="R48" s="123"/>
      <c r="S48" s="123"/>
      <c r="T48" s="86">
        <v>42922</v>
      </c>
      <c r="U48" s="66">
        <f t="shared" si="6"/>
        <v>0</v>
      </c>
      <c r="V48" s="22" t="s">
        <v>27</v>
      </c>
      <c r="W48" s="91">
        <f t="shared" si="10"/>
        <v>160750</v>
      </c>
      <c r="X48" s="57" t="s">
        <v>10</v>
      </c>
      <c r="Y48" s="73">
        <f t="shared" si="11"/>
        <v>0</v>
      </c>
      <c r="Z48" s="68"/>
      <c r="AA48" s="69">
        <f t="shared" si="7"/>
        <v>0</v>
      </c>
      <c r="AB48" s="70" t="s">
        <v>12</v>
      </c>
      <c r="AC48" s="67">
        <f t="shared" si="8"/>
        <v>0</v>
      </c>
      <c r="AD48" s="71" t="s">
        <v>12</v>
      </c>
      <c r="AE48" s="67">
        <f>SUMIF(Table2[Milestone/ Line],$B48,Table2[Invoice Amount])</f>
        <v>0</v>
      </c>
      <c r="AF48" s="71" t="s">
        <v>10</v>
      </c>
      <c r="AG48" s="72">
        <f t="shared" si="9"/>
        <v>0</v>
      </c>
      <c r="AI48" s="51">
        <f t="shared" si="4"/>
        <v>6.25E-2</v>
      </c>
    </row>
    <row r="49" spans="1:35" ht="14.4" customHeight="1" x14ac:dyDescent="0.25">
      <c r="A49" s="65">
        <v>39</v>
      </c>
      <c r="B49" s="84" t="s">
        <v>84</v>
      </c>
      <c r="C49" s="83">
        <f t="shared" si="5"/>
        <v>39</v>
      </c>
      <c r="D49" s="87">
        <v>160750</v>
      </c>
      <c r="E49" s="66"/>
      <c r="F49" s="148"/>
      <c r="G49" s="122"/>
      <c r="H49" s="122"/>
      <c r="I49" s="122"/>
      <c r="J49" s="122"/>
      <c r="K49" s="122"/>
      <c r="L49" s="123"/>
      <c r="M49" s="123"/>
      <c r="N49" s="123"/>
      <c r="O49" s="123"/>
      <c r="P49" s="123"/>
      <c r="Q49" s="123"/>
      <c r="R49" s="123"/>
      <c r="S49" s="123"/>
      <c r="T49" s="86">
        <v>42930</v>
      </c>
      <c r="U49" s="66">
        <f t="shared" si="6"/>
        <v>0</v>
      </c>
      <c r="V49" s="22" t="s">
        <v>27</v>
      </c>
      <c r="W49" s="91">
        <f t="shared" si="10"/>
        <v>160750</v>
      </c>
      <c r="X49" s="57" t="s">
        <v>10</v>
      </c>
      <c r="Y49" s="73">
        <f t="shared" si="11"/>
        <v>0</v>
      </c>
      <c r="Z49" s="68"/>
      <c r="AA49" s="69">
        <f t="shared" si="7"/>
        <v>0</v>
      </c>
      <c r="AB49" s="70" t="s">
        <v>12</v>
      </c>
      <c r="AC49" s="67">
        <f t="shared" si="8"/>
        <v>0</v>
      </c>
      <c r="AD49" s="71" t="s">
        <v>12</v>
      </c>
      <c r="AE49" s="67">
        <f>SUMIF(Table2[Milestone/ Line],$B49,Table2[Invoice Amount])</f>
        <v>0</v>
      </c>
      <c r="AF49" s="71" t="s">
        <v>10</v>
      </c>
      <c r="AG49" s="72">
        <f t="shared" si="9"/>
        <v>0</v>
      </c>
      <c r="AI49" s="51">
        <f t="shared" si="4"/>
        <v>6.25E-2</v>
      </c>
    </row>
    <row r="50" spans="1:35" ht="14.4" customHeight="1" x14ac:dyDescent="0.25">
      <c r="A50" s="65">
        <v>40</v>
      </c>
      <c r="B50" s="84" t="s">
        <v>85</v>
      </c>
      <c r="C50" s="83">
        <f t="shared" si="5"/>
        <v>40</v>
      </c>
      <c r="D50" s="87">
        <v>160750</v>
      </c>
      <c r="E50" s="66"/>
      <c r="F50" s="148"/>
      <c r="G50" s="122"/>
      <c r="H50" s="122"/>
      <c r="I50" s="122"/>
      <c r="J50" s="122"/>
      <c r="K50" s="122"/>
      <c r="L50" s="123"/>
      <c r="M50" s="123"/>
      <c r="N50" s="123"/>
      <c r="O50" s="123"/>
      <c r="P50" s="123"/>
      <c r="Q50" s="123"/>
      <c r="R50" s="123"/>
      <c r="S50" s="123"/>
      <c r="T50" s="86">
        <v>42940</v>
      </c>
      <c r="U50" s="66">
        <f t="shared" si="6"/>
        <v>0</v>
      </c>
      <c r="V50" s="22" t="s">
        <v>27</v>
      </c>
      <c r="W50" s="91">
        <f t="shared" si="10"/>
        <v>160750</v>
      </c>
      <c r="X50" s="57" t="s">
        <v>10</v>
      </c>
      <c r="Y50" s="73">
        <f t="shared" si="11"/>
        <v>0</v>
      </c>
      <c r="Z50" s="68"/>
      <c r="AA50" s="69">
        <f t="shared" si="7"/>
        <v>0</v>
      </c>
      <c r="AB50" s="70" t="s">
        <v>12</v>
      </c>
      <c r="AC50" s="67">
        <f t="shared" si="8"/>
        <v>0</v>
      </c>
      <c r="AD50" s="71" t="s">
        <v>12</v>
      </c>
      <c r="AE50" s="67">
        <f>SUMIF(Table2[Milestone/ Line],$B50,Table2[Invoice Amount])</f>
        <v>0</v>
      </c>
      <c r="AF50" s="71" t="s">
        <v>10</v>
      </c>
      <c r="AG50" s="72">
        <f t="shared" si="9"/>
        <v>0</v>
      </c>
      <c r="AI50" s="51">
        <f t="shared" si="4"/>
        <v>6.25E-2</v>
      </c>
    </row>
    <row r="51" spans="1:35" ht="14.4" customHeight="1" x14ac:dyDescent="0.25">
      <c r="A51" s="65">
        <v>41</v>
      </c>
      <c r="B51" s="84" t="s">
        <v>86</v>
      </c>
      <c r="C51" s="83">
        <f t="shared" si="5"/>
        <v>41</v>
      </c>
      <c r="D51" s="87">
        <v>160750</v>
      </c>
      <c r="E51" s="66"/>
      <c r="F51" s="148"/>
      <c r="G51" s="122"/>
      <c r="H51" s="122"/>
      <c r="I51" s="122"/>
      <c r="J51" s="122"/>
      <c r="K51" s="122"/>
      <c r="L51" s="123"/>
      <c r="M51" s="123"/>
      <c r="N51" s="123"/>
      <c r="O51" s="123"/>
      <c r="P51" s="123"/>
      <c r="Q51" s="123"/>
      <c r="R51" s="123"/>
      <c r="S51" s="123"/>
      <c r="T51" s="86">
        <v>42948</v>
      </c>
      <c r="U51" s="66">
        <f t="shared" si="6"/>
        <v>0</v>
      </c>
      <c r="V51" s="22" t="s">
        <v>27</v>
      </c>
      <c r="W51" s="91">
        <f t="shared" si="10"/>
        <v>160750</v>
      </c>
      <c r="X51" s="57" t="s">
        <v>10</v>
      </c>
      <c r="Y51" s="73">
        <f t="shared" si="11"/>
        <v>0</v>
      </c>
      <c r="Z51" s="68"/>
      <c r="AA51" s="69">
        <f t="shared" si="7"/>
        <v>0</v>
      </c>
      <c r="AB51" s="70" t="s">
        <v>12</v>
      </c>
      <c r="AC51" s="67">
        <f t="shared" si="8"/>
        <v>0</v>
      </c>
      <c r="AD51" s="71" t="s">
        <v>12</v>
      </c>
      <c r="AE51" s="67">
        <f>SUMIF(Table2[Milestone/ Line],$B51,Table2[Invoice Amount])</f>
        <v>0</v>
      </c>
      <c r="AF51" s="71" t="s">
        <v>10</v>
      </c>
      <c r="AG51" s="72">
        <f t="shared" si="9"/>
        <v>0</v>
      </c>
      <c r="AI51" s="51">
        <f t="shared" si="4"/>
        <v>6.25E-2</v>
      </c>
    </row>
    <row r="52" spans="1:35" ht="14.4" customHeight="1" x14ac:dyDescent="0.25">
      <c r="A52" s="65">
        <v>42</v>
      </c>
      <c r="B52" s="84" t="s">
        <v>87</v>
      </c>
      <c r="C52" s="83">
        <f t="shared" si="5"/>
        <v>42</v>
      </c>
      <c r="D52" s="87">
        <v>160750</v>
      </c>
      <c r="E52" s="66"/>
      <c r="F52" s="148"/>
      <c r="G52" s="122"/>
      <c r="H52" s="122"/>
      <c r="I52" s="122"/>
      <c r="J52" s="122"/>
      <c r="K52" s="122"/>
      <c r="L52" s="123"/>
      <c r="M52" s="123"/>
      <c r="N52" s="123"/>
      <c r="O52" s="123"/>
      <c r="P52" s="123"/>
      <c r="Q52" s="123"/>
      <c r="R52" s="123"/>
      <c r="S52" s="123"/>
      <c r="T52" s="86">
        <v>42956</v>
      </c>
      <c r="U52" s="66">
        <f t="shared" si="6"/>
        <v>0</v>
      </c>
      <c r="V52" s="22" t="s">
        <v>27</v>
      </c>
      <c r="W52" s="91">
        <f t="shared" si="10"/>
        <v>160750</v>
      </c>
      <c r="X52" s="57" t="s">
        <v>10</v>
      </c>
      <c r="Y52" s="73">
        <f t="shared" si="11"/>
        <v>0</v>
      </c>
      <c r="Z52" s="68"/>
      <c r="AA52" s="69">
        <f t="shared" si="7"/>
        <v>0</v>
      </c>
      <c r="AB52" s="70" t="s">
        <v>12</v>
      </c>
      <c r="AC52" s="67">
        <f t="shared" si="8"/>
        <v>0</v>
      </c>
      <c r="AD52" s="71" t="s">
        <v>12</v>
      </c>
      <c r="AE52" s="67">
        <f>SUMIF(Table2[Milestone/ Line],$B52,Table2[Invoice Amount])</f>
        <v>0</v>
      </c>
      <c r="AF52" s="71" t="s">
        <v>10</v>
      </c>
      <c r="AG52" s="72">
        <f t="shared" si="9"/>
        <v>0</v>
      </c>
      <c r="AI52" s="51">
        <f t="shared" si="4"/>
        <v>6.25E-2</v>
      </c>
    </row>
    <row r="53" spans="1:35" ht="14.4" customHeight="1" x14ac:dyDescent="0.25">
      <c r="A53" s="65">
        <v>43</v>
      </c>
      <c r="B53" s="84" t="s">
        <v>88</v>
      </c>
      <c r="C53" s="83">
        <f t="shared" si="5"/>
        <v>43</v>
      </c>
      <c r="D53" s="87">
        <v>160750</v>
      </c>
      <c r="E53" s="66"/>
      <c r="F53" s="148"/>
      <c r="G53" s="122"/>
      <c r="H53" s="122"/>
      <c r="I53" s="122"/>
      <c r="J53" s="122"/>
      <c r="K53" s="122"/>
      <c r="L53" s="123"/>
      <c r="M53" s="123"/>
      <c r="N53" s="123"/>
      <c r="O53" s="123"/>
      <c r="P53" s="123"/>
      <c r="Q53" s="123"/>
      <c r="R53" s="123"/>
      <c r="S53" s="123"/>
      <c r="T53" s="86">
        <v>42964</v>
      </c>
      <c r="U53" s="66">
        <f t="shared" si="6"/>
        <v>0</v>
      </c>
      <c r="V53" s="22" t="s">
        <v>27</v>
      </c>
      <c r="W53" s="91">
        <f t="shared" si="10"/>
        <v>160750</v>
      </c>
      <c r="X53" s="57" t="s">
        <v>10</v>
      </c>
      <c r="Y53" s="73">
        <f t="shared" si="11"/>
        <v>0</v>
      </c>
      <c r="Z53" s="68"/>
      <c r="AA53" s="69">
        <f t="shared" si="7"/>
        <v>0</v>
      </c>
      <c r="AB53" s="70" t="s">
        <v>12</v>
      </c>
      <c r="AC53" s="67">
        <f t="shared" si="8"/>
        <v>0</v>
      </c>
      <c r="AD53" s="71" t="s">
        <v>12</v>
      </c>
      <c r="AE53" s="67">
        <f>SUMIF(Table2[Milestone/ Line],$B53,Table2[Invoice Amount])</f>
        <v>0</v>
      </c>
      <c r="AF53" s="71" t="s">
        <v>10</v>
      </c>
      <c r="AG53" s="72">
        <f t="shared" si="9"/>
        <v>0</v>
      </c>
      <c r="AI53" s="51">
        <f t="shared" si="4"/>
        <v>6.25E-2</v>
      </c>
    </row>
    <row r="54" spans="1:35" ht="14.4" customHeight="1" x14ac:dyDescent="0.25">
      <c r="A54" s="65">
        <v>44</v>
      </c>
      <c r="B54" s="84" t="s">
        <v>89</v>
      </c>
      <c r="C54" s="83">
        <f t="shared" si="5"/>
        <v>44</v>
      </c>
      <c r="D54" s="87">
        <v>160750</v>
      </c>
      <c r="E54" s="66"/>
      <c r="F54" s="148"/>
      <c r="G54" s="122"/>
      <c r="H54" s="122"/>
      <c r="I54" s="122"/>
      <c r="J54" s="122"/>
      <c r="K54" s="122"/>
      <c r="L54" s="123"/>
      <c r="M54" s="123"/>
      <c r="N54" s="123"/>
      <c r="O54" s="123"/>
      <c r="P54" s="123"/>
      <c r="Q54" s="123"/>
      <c r="R54" s="123"/>
      <c r="S54" s="123"/>
      <c r="T54" s="86">
        <v>42972</v>
      </c>
      <c r="U54" s="66">
        <f t="shared" si="6"/>
        <v>0</v>
      </c>
      <c r="V54" s="22" t="s">
        <v>27</v>
      </c>
      <c r="W54" s="91">
        <f t="shared" si="10"/>
        <v>160750</v>
      </c>
      <c r="X54" s="57" t="s">
        <v>10</v>
      </c>
      <c r="Y54" s="73">
        <f t="shared" si="11"/>
        <v>0</v>
      </c>
      <c r="Z54" s="68"/>
      <c r="AA54" s="69">
        <f t="shared" si="7"/>
        <v>0</v>
      </c>
      <c r="AB54" s="70" t="s">
        <v>12</v>
      </c>
      <c r="AC54" s="67">
        <f t="shared" ref="AC54:AC60" si="12">AA54-AE54</f>
        <v>0</v>
      </c>
      <c r="AD54" s="71" t="s">
        <v>12</v>
      </c>
      <c r="AE54" s="67">
        <f>SUMIF(Table2[Milestone/ Line],$B54,Table2[Invoice Amount])</f>
        <v>0</v>
      </c>
      <c r="AF54" s="71" t="s">
        <v>10</v>
      </c>
      <c r="AG54" s="72">
        <f t="shared" si="9"/>
        <v>0</v>
      </c>
      <c r="AI54" s="51">
        <f t="shared" si="4"/>
        <v>6.25E-2</v>
      </c>
    </row>
    <row r="55" spans="1:35" ht="14.4" customHeight="1" x14ac:dyDescent="0.25">
      <c r="A55" s="65">
        <v>45</v>
      </c>
      <c r="B55" s="84" t="s">
        <v>90</v>
      </c>
      <c r="C55" s="83">
        <f t="shared" si="5"/>
        <v>45</v>
      </c>
      <c r="D55" s="88">
        <v>160750</v>
      </c>
      <c r="E55" s="66"/>
      <c r="F55" s="148"/>
      <c r="G55" s="122"/>
      <c r="H55" s="122"/>
      <c r="I55" s="122"/>
      <c r="J55" s="122"/>
      <c r="K55" s="122"/>
      <c r="L55" s="123"/>
      <c r="M55" s="123"/>
      <c r="N55" s="123"/>
      <c r="O55" s="123"/>
      <c r="P55" s="123"/>
      <c r="Q55" s="123"/>
      <c r="R55" s="123"/>
      <c r="S55" s="171"/>
      <c r="T55" s="85">
        <v>42997</v>
      </c>
      <c r="U55" s="66">
        <f t="shared" si="6"/>
        <v>0</v>
      </c>
      <c r="V55" s="22" t="s">
        <v>27</v>
      </c>
      <c r="W55" s="91">
        <f t="shared" si="10"/>
        <v>160750</v>
      </c>
      <c r="X55" s="57" t="s">
        <v>10</v>
      </c>
      <c r="Y55" s="73">
        <f t="shared" si="11"/>
        <v>0</v>
      </c>
      <c r="Z55" s="68"/>
      <c r="AA55" s="69">
        <f t="shared" si="7"/>
        <v>0</v>
      </c>
      <c r="AB55" s="70" t="s">
        <v>12</v>
      </c>
      <c r="AC55" s="67">
        <f t="shared" si="12"/>
        <v>0</v>
      </c>
      <c r="AD55" s="71" t="s">
        <v>12</v>
      </c>
      <c r="AE55" s="67">
        <f>SUMIF(Table2[Milestone/ Line],$B55,Table2[Invoice Amount])</f>
        <v>0</v>
      </c>
      <c r="AF55" s="71" t="s">
        <v>10</v>
      </c>
      <c r="AG55" s="72">
        <f t="shared" si="9"/>
        <v>0</v>
      </c>
      <c r="AI55" s="51">
        <f t="shared" si="4"/>
        <v>6.25E-2</v>
      </c>
    </row>
    <row r="56" spans="1:35" ht="14.4" customHeight="1" x14ac:dyDescent="0.25">
      <c r="A56" s="65">
        <v>46</v>
      </c>
      <c r="B56" s="84" t="s">
        <v>96</v>
      </c>
      <c r="C56" s="83">
        <f t="shared" si="5"/>
        <v>46</v>
      </c>
      <c r="D56" s="88">
        <v>38000</v>
      </c>
      <c r="E56" s="121">
        <v>1</v>
      </c>
      <c r="F56" s="148"/>
      <c r="G56" s="163"/>
      <c r="H56" s="163"/>
      <c r="I56" s="163"/>
      <c r="J56" s="163"/>
      <c r="K56" s="163"/>
      <c r="L56" s="123"/>
      <c r="M56" s="123"/>
      <c r="N56" s="123"/>
      <c r="O56" s="123"/>
      <c r="P56" s="123"/>
      <c r="Q56" s="123"/>
      <c r="R56" s="123"/>
      <c r="S56" s="171"/>
      <c r="T56" s="85">
        <v>42614</v>
      </c>
      <c r="U56" s="66">
        <f t="shared" si="6"/>
        <v>1</v>
      </c>
      <c r="V56" s="22" t="s">
        <v>27</v>
      </c>
      <c r="W56" s="91">
        <f t="shared" si="10"/>
        <v>38000</v>
      </c>
      <c r="X56" s="57" t="s">
        <v>10</v>
      </c>
      <c r="Y56" s="73">
        <f t="shared" si="11"/>
        <v>38000</v>
      </c>
      <c r="Z56" s="68"/>
      <c r="AA56" s="69">
        <f t="shared" si="7"/>
        <v>38000</v>
      </c>
      <c r="AB56" s="70" t="s">
        <v>12</v>
      </c>
      <c r="AC56" s="67">
        <f t="shared" si="12"/>
        <v>0</v>
      </c>
      <c r="AD56" s="71" t="s">
        <v>12</v>
      </c>
      <c r="AE56" s="67">
        <f>SUMIF(Table2[Milestone/ Line],$B56,Table2[Invoice Amount])</f>
        <v>38000</v>
      </c>
      <c r="AF56" s="71" t="s">
        <v>10</v>
      </c>
      <c r="AG56" s="72">
        <f t="shared" si="9"/>
        <v>0</v>
      </c>
      <c r="AI56" s="51">
        <f t="shared" si="4"/>
        <v>6.25E-2</v>
      </c>
    </row>
    <row r="57" spans="1:35" ht="14.4" customHeight="1" x14ac:dyDescent="0.25">
      <c r="A57" s="65">
        <v>47</v>
      </c>
      <c r="B57" s="84" t="s">
        <v>103</v>
      </c>
      <c r="C57" s="83">
        <f t="shared" si="5"/>
        <v>47</v>
      </c>
      <c r="D57" s="88">
        <v>71500</v>
      </c>
      <c r="E57" s="66">
        <v>1</v>
      </c>
      <c r="F57" s="148"/>
      <c r="G57" s="122"/>
      <c r="H57" s="122"/>
      <c r="I57" s="122"/>
      <c r="J57" s="122"/>
      <c r="K57" s="122"/>
      <c r="L57" s="123"/>
      <c r="M57" s="123"/>
      <c r="N57" s="123"/>
      <c r="O57" s="123"/>
      <c r="P57" s="123"/>
      <c r="Q57" s="123"/>
      <c r="R57" s="123"/>
      <c r="S57" s="171"/>
      <c r="T57" s="85">
        <v>42643</v>
      </c>
      <c r="U57" s="66">
        <f t="shared" si="6"/>
        <v>1</v>
      </c>
      <c r="V57" s="22" t="s">
        <v>27</v>
      </c>
      <c r="W57" s="91">
        <f t="shared" si="10"/>
        <v>71500</v>
      </c>
      <c r="X57" s="126" t="s">
        <v>10</v>
      </c>
      <c r="Y57" s="73">
        <f t="shared" ref="Y57:Y62" si="13">U57*W57</f>
        <v>71500</v>
      </c>
      <c r="Z57" s="68"/>
      <c r="AA57" s="69">
        <f>+Y57</f>
        <v>71500</v>
      </c>
      <c r="AB57" s="70" t="s">
        <v>12</v>
      </c>
      <c r="AC57" s="67">
        <f t="shared" si="12"/>
        <v>0</v>
      </c>
      <c r="AD57" s="71" t="s">
        <v>12</v>
      </c>
      <c r="AE57" s="67">
        <f>SUMIF(Table2[Milestone/ Line],$B57,Table2[Invoice Amount])</f>
        <v>71500</v>
      </c>
      <c r="AF57" s="71" t="s">
        <v>10</v>
      </c>
      <c r="AG57" s="72">
        <f>+AA57-AC57-AE57</f>
        <v>0</v>
      </c>
      <c r="AI57" s="128">
        <f>9200/147200</f>
        <v>6.25E-2</v>
      </c>
    </row>
    <row r="58" spans="1:35" ht="14.4" customHeight="1" x14ac:dyDescent="0.25">
      <c r="A58" s="65">
        <v>48</v>
      </c>
      <c r="B58" s="84" t="s">
        <v>231</v>
      </c>
      <c r="C58" s="83">
        <f t="shared" si="5"/>
        <v>48</v>
      </c>
      <c r="D58" s="88">
        <v>484000</v>
      </c>
      <c r="E58" s="66"/>
      <c r="F58" s="148">
        <v>17132.759999999998</v>
      </c>
      <c r="G58" s="122">
        <v>102796.56000000003</v>
      </c>
      <c r="H58" s="122"/>
      <c r="I58" s="122">
        <f>16*4283.18</f>
        <v>68530.880000000005</v>
      </c>
      <c r="J58" s="122">
        <v>29982.260000000002</v>
      </c>
      <c r="K58" s="122"/>
      <c r="L58" s="123"/>
      <c r="M58" s="123"/>
      <c r="N58" s="123"/>
      <c r="O58" s="123"/>
      <c r="P58" s="123"/>
      <c r="Q58" s="123"/>
      <c r="R58" s="123"/>
      <c r="S58" s="171">
        <v>47114.98</v>
      </c>
      <c r="T58" s="85">
        <v>42987</v>
      </c>
      <c r="U58" s="66">
        <f t="shared" si="6"/>
        <v>0.54867239669421486</v>
      </c>
      <c r="V58" s="22" t="s">
        <v>27</v>
      </c>
      <c r="W58" s="91">
        <f t="shared" si="10"/>
        <v>484000</v>
      </c>
      <c r="X58" s="126" t="s">
        <v>10</v>
      </c>
      <c r="Y58" s="73">
        <f t="shared" si="13"/>
        <v>265557.44</v>
      </c>
      <c r="Z58" s="68"/>
      <c r="AA58" s="69">
        <f>+Y58</f>
        <v>265557.44</v>
      </c>
      <c r="AB58" s="70" t="s">
        <v>12</v>
      </c>
      <c r="AC58" s="67">
        <f t="shared" si="12"/>
        <v>128495.67999999999</v>
      </c>
      <c r="AD58" s="71" t="s">
        <v>12</v>
      </c>
      <c r="AE58" s="67">
        <f>SUMIF(Table2[Milestone/ Line],$B58,Table2[Invoice Amount])</f>
        <v>137061.76000000001</v>
      </c>
      <c r="AF58" s="71" t="s">
        <v>10</v>
      </c>
      <c r="AG58" s="72">
        <f>+AA58-AC58-AE58</f>
        <v>0</v>
      </c>
      <c r="AI58" s="128">
        <f>9200/147200</f>
        <v>6.25E-2</v>
      </c>
    </row>
    <row r="59" spans="1:35" ht="14.4" customHeight="1" x14ac:dyDescent="0.25">
      <c r="A59" s="65">
        <v>49</v>
      </c>
      <c r="B59" s="127" t="s">
        <v>403</v>
      </c>
      <c r="C59" s="83">
        <f t="shared" si="5"/>
        <v>49</v>
      </c>
      <c r="D59" s="88">
        <v>57800</v>
      </c>
      <c r="E59" s="90"/>
      <c r="F59" s="149"/>
      <c r="G59" s="162">
        <v>13720</v>
      </c>
      <c r="H59" s="162">
        <v>112.56</v>
      </c>
      <c r="I59" s="162">
        <f>16*494.02</f>
        <v>7904.32</v>
      </c>
      <c r="J59" s="162">
        <v>3430</v>
      </c>
      <c r="K59" s="162"/>
      <c r="L59" s="123"/>
      <c r="M59" s="123"/>
      <c r="N59" s="123"/>
      <c r="O59" s="123"/>
      <c r="P59" s="123"/>
      <c r="Q59" s="123"/>
      <c r="R59" s="123"/>
      <c r="S59" s="123">
        <v>5390</v>
      </c>
      <c r="T59" s="81"/>
      <c r="U59" s="66">
        <f t="shared" si="6"/>
        <v>0.52866574394463661</v>
      </c>
      <c r="V59" s="22"/>
      <c r="W59" s="91">
        <f t="shared" si="10"/>
        <v>57800</v>
      </c>
      <c r="X59" s="126"/>
      <c r="Y59" s="73">
        <f t="shared" si="13"/>
        <v>30556.879999999997</v>
      </c>
      <c r="Z59" s="68"/>
      <c r="AA59" s="69">
        <f>+Y59</f>
        <v>30556.879999999997</v>
      </c>
      <c r="AB59" s="70"/>
      <c r="AC59" s="67">
        <f t="shared" si="12"/>
        <v>30556.879999999997</v>
      </c>
      <c r="AD59" s="71"/>
      <c r="AE59" s="67">
        <f>SUMIF(Table2[Milestone/ Line],$B59,Table2[Invoice Amount])</f>
        <v>0</v>
      </c>
      <c r="AF59" s="71"/>
      <c r="AG59" s="72">
        <f>+AA59-AC59-AE59</f>
        <v>0</v>
      </c>
      <c r="AI59" s="128">
        <f>9200/147200</f>
        <v>6.25E-2</v>
      </c>
    </row>
    <row r="60" spans="1:35" ht="14.4" customHeight="1" x14ac:dyDescent="0.25">
      <c r="A60" s="65">
        <v>50</v>
      </c>
      <c r="B60" s="127" t="s">
        <v>224</v>
      </c>
      <c r="C60" s="83">
        <f t="shared" si="5"/>
        <v>50</v>
      </c>
      <c r="D60" s="88">
        <v>21335</v>
      </c>
      <c r="E60" s="90"/>
      <c r="F60" s="149"/>
      <c r="G60" s="162"/>
      <c r="H60" s="162">
        <v>21335</v>
      </c>
      <c r="I60" s="162"/>
      <c r="J60" s="162"/>
      <c r="K60" s="162"/>
      <c r="L60" s="123"/>
      <c r="M60" s="123"/>
      <c r="N60" s="123"/>
      <c r="O60" s="123"/>
      <c r="P60" s="123"/>
      <c r="Q60" s="123"/>
      <c r="R60" s="123"/>
      <c r="S60" s="171"/>
      <c r="T60" s="82"/>
      <c r="U60" s="66">
        <f t="shared" si="6"/>
        <v>1</v>
      </c>
      <c r="V60" s="22"/>
      <c r="W60" s="91">
        <f t="shared" si="10"/>
        <v>21335</v>
      </c>
      <c r="X60" s="157"/>
      <c r="Y60" s="73">
        <f t="shared" si="13"/>
        <v>21335</v>
      </c>
      <c r="Z60" s="68"/>
      <c r="AA60" s="69">
        <f>+Y60</f>
        <v>21335</v>
      </c>
      <c r="AB60" s="70"/>
      <c r="AC60" s="67">
        <f t="shared" si="12"/>
        <v>0</v>
      </c>
      <c r="AD60" s="71"/>
      <c r="AE60" s="67">
        <f>SUMIF(Table2[Milestone/ Line],$B60,Table2[Invoice Amount])</f>
        <v>21335</v>
      </c>
      <c r="AF60" s="71"/>
      <c r="AG60" s="72">
        <f>+AA60-AC60-AE60</f>
        <v>0</v>
      </c>
      <c r="AI60" s="128"/>
    </row>
    <row r="61" spans="1:35" ht="14.4" customHeight="1" x14ac:dyDescent="0.25">
      <c r="A61" s="65">
        <v>51</v>
      </c>
      <c r="B61" s="84" t="s">
        <v>223</v>
      </c>
      <c r="C61" s="83">
        <f t="shared" ref="C61:C62" si="14">A61</f>
        <v>51</v>
      </c>
      <c r="D61" s="88">
        <v>499817.6</v>
      </c>
      <c r="E61" s="66"/>
      <c r="F61" s="150"/>
      <c r="G61" s="122"/>
      <c r="H61" s="122"/>
      <c r="I61" s="122"/>
      <c r="J61" s="122"/>
      <c r="K61" s="122"/>
      <c r="L61" s="123"/>
      <c r="M61" s="123"/>
      <c r="N61" s="123"/>
      <c r="O61" s="123"/>
      <c r="P61" s="123"/>
      <c r="Q61" s="123"/>
      <c r="R61" s="123"/>
      <c r="S61" s="171"/>
      <c r="T61" s="85"/>
      <c r="U61" s="66">
        <f t="shared" si="6"/>
        <v>0</v>
      </c>
      <c r="V61" s="22" t="s">
        <v>27</v>
      </c>
      <c r="W61" s="91">
        <f t="shared" si="10"/>
        <v>499817.6</v>
      </c>
      <c r="X61" s="249" t="s">
        <v>10</v>
      </c>
      <c r="Y61" s="73">
        <f t="shared" si="13"/>
        <v>0</v>
      </c>
      <c r="Z61" s="68"/>
      <c r="AA61" s="69">
        <f t="shared" ref="AA61:AA62" si="15">+Y61</f>
        <v>0</v>
      </c>
      <c r="AB61" s="70" t="s">
        <v>12</v>
      </c>
      <c r="AC61" s="67">
        <f t="shared" ref="AC61" si="16">AA61-AE61</f>
        <v>0</v>
      </c>
      <c r="AD61" s="71" t="s">
        <v>12</v>
      </c>
      <c r="AE61" s="67">
        <f>SUMIF(Table2[Milestone/ Line],$B61,Table2[Invoice Amount])</f>
        <v>0</v>
      </c>
      <c r="AF61" s="71" t="s">
        <v>10</v>
      </c>
      <c r="AG61" s="72">
        <f>+AA61-AC61-AE61</f>
        <v>0</v>
      </c>
      <c r="AI61" s="128"/>
    </row>
    <row r="62" spans="1:35" ht="14.4" customHeight="1" x14ac:dyDescent="0.25">
      <c r="A62" s="65">
        <v>52</v>
      </c>
      <c r="B62" s="127" t="s">
        <v>243</v>
      </c>
      <c r="C62" s="83">
        <f t="shared" si="14"/>
        <v>52</v>
      </c>
      <c r="D62" s="88">
        <v>129500</v>
      </c>
      <c r="E62" s="90"/>
      <c r="F62" s="149"/>
      <c r="G62" s="162"/>
      <c r="H62" s="162"/>
      <c r="I62" s="162"/>
      <c r="J62" s="162"/>
      <c r="K62" s="162"/>
      <c r="L62" s="123"/>
      <c r="M62" s="123"/>
      <c r="N62" s="123"/>
      <c r="O62" s="123"/>
      <c r="P62" s="123"/>
      <c r="Q62" s="123"/>
      <c r="R62" s="123"/>
      <c r="S62" s="261">
        <f>D62*0.5</f>
        <v>64750</v>
      </c>
      <c r="T62" s="82">
        <v>42888</v>
      </c>
      <c r="U62" s="66">
        <f t="shared" si="6"/>
        <v>0.5</v>
      </c>
      <c r="V62" s="22"/>
      <c r="W62" s="91">
        <v>129500</v>
      </c>
      <c r="X62" s="249"/>
      <c r="Y62" s="73">
        <f t="shared" ref="Y62:Y103" si="17">U62*W62</f>
        <v>64750</v>
      </c>
      <c r="Z62" s="68"/>
      <c r="AA62" s="69">
        <f t="shared" ref="AA62:AA103" si="18">+Y62</f>
        <v>64750</v>
      </c>
      <c r="AB62" s="70" t="s">
        <v>12</v>
      </c>
      <c r="AC62" s="67">
        <f t="shared" ref="AC62:AC103" si="19">AA62-AE62</f>
        <v>64750</v>
      </c>
      <c r="AD62" s="71" t="s">
        <v>12</v>
      </c>
      <c r="AE62" s="67">
        <f>SUMIF(Table2[Milestone/ Line],$B62,Table2[Invoice Amount])</f>
        <v>0</v>
      </c>
      <c r="AF62" s="71" t="s">
        <v>10</v>
      </c>
      <c r="AG62" s="72">
        <f t="shared" ref="AG62:AG103" si="20">+AA62-AC62-AE62</f>
        <v>0</v>
      </c>
      <c r="AI62" s="128"/>
    </row>
    <row r="63" spans="1:35" ht="14.4" customHeight="1" x14ac:dyDescent="0.25">
      <c r="A63" s="65">
        <v>53</v>
      </c>
      <c r="B63" s="127" t="s">
        <v>244</v>
      </c>
      <c r="C63" s="83"/>
      <c r="D63" s="88">
        <v>58240</v>
      </c>
      <c r="E63" s="90"/>
      <c r="F63" s="149"/>
      <c r="G63" s="162"/>
      <c r="H63" s="162"/>
      <c r="I63" s="162"/>
      <c r="J63" s="162"/>
      <c r="K63" s="162"/>
      <c r="L63" s="123"/>
      <c r="M63" s="123"/>
      <c r="N63" s="123"/>
      <c r="O63" s="123"/>
      <c r="P63" s="123"/>
      <c r="Q63" s="123"/>
      <c r="R63" s="123"/>
      <c r="S63" s="171"/>
      <c r="T63" s="82">
        <v>42997</v>
      </c>
      <c r="U63" s="66">
        <f t="shared" si="6"/>
        <v>0</v>
      </c>
      <c r="V63" s="22"/>
      <c r="W63" s="91">
        <v>58240</v>
      </c>
      <c r="X63" s="251"/>
      <c r="Y63" s="73">
        <f t="shared" si="17"/>
        <v>0</v>
      </c>
      <c r="Z63" s="68"/>
      <c r="AA63" s="69">
        <f t="shared" si="18"/>
        <v>0</v>
      </c>
      <c r="AB63" s="70" t="s">
        <v>12</v>
      </c>
      <c r="AC63" s="67">
        <f t="shared" si="19"/>
        <v>0</v>
      </c>
      <c r="AD63" s="71" t="s">
        <v>12</v>
      </c>
      <c r="AE63" s="67">
        <f>SUMIF(Table2[Milestone/ Line],$B63,Table2[Invoice Amount])</f>
        <v>0</v>
      </c>
      <c r="AF63" s="71" t="s">
        <v>10</v>
      </c>
      <c r="AG63" s="72">
        <f t="shared" si="20"/>
        <v>0</v>
      </c>
      <c r="AI63" s="128"/>
    </row>
    <row r="64" spans="1:35" ht="14.4" customHeight="1" x14ac:dyDescent="0.25">
      <c r="A64" s="65">
        <v>54</v>
      </c>
      <c r="B64" s="127" t="s">
        <v>379</v>
      </c>
      <c r="C64" s="83"/>
      <c r="D64" s="88">
        <v>658681</v>
      </c>
      <c r="E64" s="90"/>
      <c r="F64" s="149"/>
      <c r="G64" s="162"/>
      <c r="H64" s="162"/>
      <c r="I64" s="162"/>
      <c r="J64" s="162"/>
      <c r="K64" s="162"/>
      <c r="L64" s="123"/>
      <c r="M64" s="123"/>
      <c r="N64" s="123"/>
      <c r="O64" s="123"/>
      <c r="P64" s="123"/>
      <c r="Q64" s="123"/>
      <c r="R64" s="123"/>
      <c r="S64" s="171"/>
      <c r="T64" s="82">
        <v>42913</v>
      </c>
      <c r="U64" s="66">
        <f t="shared" si="6"/>
        <v>0</v>
      </c>
      <c r="V64" s="22"/>
      <c r="W64" s="91">
        <v>658681</v>
      </c>
      <c r="X64" s="251"/>
      <c r="Y64" s="73">
        <f t="shared" si="17"/>
        <v>0</v>
      </c>
      <c r="Z64" s="68"/>
      <c r="AA64" s="69">
        <f t="shared" si="18"/>
        <v>0</v>
      </c>
      <c r="AB64" s="70" t="s">
        <v>12</v>
      </c>
      <c r="AC64" s="67">
        <f t="shared" si="19"/>
        <v>0</v>
      </c>
      <c r="AD64" s="71" t="s">
        <v>12</v>
      </c>
      <c r="AE64" s="67">
        <f>SUMIF(Table2[Milestone/ Line],$B64,Table2[Invoice Amount])</f>
        <v>0</v>
      </c>
      <c r="AF64" s="71" t="s">
        <v>10</v>
      </c>
      <c r="AG64" s="72">
        <f t="shared" si="20"/>
        <v>0</v>
      </c>
      <c r="AI64" s="128"/>
    </row>
    <row r="65" spans="1:35" ht="14.4" customHeight="1" x14ac:dyDescent="0.25">
      <c r="A65" s="65">
        <v>55</v>
      </c>
      <c r="B65" s="127" t="s">
        <v>380</v>
      </c>
      <c r="C65" s="83"/>
      <c r="D65" s="88">
        <v>658681</v>
      </c>
      <c r="E65" s="90"/>
      <c r="F65" s="149"/>
      <c r="G65" s="162"/>
      <c r="H65" s="162"/>
      <c r="I65" s="162"/>
      <c r="J65" s="162"/>
      <c r="K65" s="162"/>
      <c r="L65" s="123"/>
      <c r="M65" s="123"/>
      <c r="N65" s="123"/>
      <c r="O65" s="123"/>
      <c r="P65" s="123"/>
      <c r="Q65" s="123"/>
      <c r="R65" s="123"/>
      <c r="S65" s="171"/>
      <c r="T65" s="82">
        <v>42934</v>
      </c>
      <c r="U65" s="66">
        <f t="shared" si="6"/>
        <v>0</v>
      </c>
      <c r="V65" s="22"/>
      <c r="W65" s="91">
        <v>658681</v>
      </c>
      <c r="X65" s="251"/>
      <c r="Y65" s="73">
        <f t="shared" si="17"/>
        <v>0</v>
      </c>
      <c r="Z65" s="68"/>
      <c r="AA65" s="69">
        <f t="shared" si="18"/>
        <v>0</v>
      </c>
      <c r="AB65" s="70" t="s">
        <v>12</v>
      </c>
      <c r="AC65" s="67">
        <f t="shared" si="19"/>
        <v>0</v>
      </c>
      <c r="AD65" s="71" t="s">
        <v>12</v>
      </c>
      <c r="AE65" s="67">
        <f>SUMIF(Table2[Milestone/ Line],$B65,Table2[Invoice Amount])</f>
        <v>0</v>
      </c>
      <c r="AF65" s="71" t="s">
        <v>10</v>
      </c>
      <c r="AG65" s="72">
        <f t="shared" si="20"/>
        <v>0</v>
      </c>
      <c r="AI65" s="128"/>
    </row>
    <row r="66" spans="1:35" ht="14.4" customHeight="1" x14ac:dyDescent="0.25">
      <c r="A66" s="65">
        <v>56</v>
      </c>
      <c r="B66" s="127" t="s">
        <v>381</v>
      </c>
      <c r="C66" s="83"/>
      <c r="D66" s="88">
        <v>69750</v>
      </c>
      <c r="E66" s="90"/>
      <c r="F66" s="149"/>
      <c r="G66" s="162"/>
      <c r="H66" s="162"/>
      <c r="I66" s="162"/>
      <c r="J66" s="162"/>
      <c r="K66" s="162"/>
      <c r="L66" s="123"/>
      <c r="M66" s="123"/>
      <c r="N66" s="123"/>
      <c r="O66" s="123"/>
      <c r="P66" s="123"/>
      <c r="Q66" s="123"/>
      <c r="R66" s="123"/>
      <c r="S66" s="171"/>
      <c r="T66" s="82">
        <v>42941</v>
      </c>
      <c r="U66" s="66">
        <f t="shared" si="6"/>
        <v>0</v>
      </c>
      <c r="V66" s="22"/>
      <c r="W66" s="91">
        <v>69750</v>
      </c>
      <c r="X66" s="251"/>
      <c r="Y66" s="73">
        <f t="shared" si="17"/>
        <v>0</v>
      </c>
      <c r="Z66" s="68"/>
      <c r="AA66" s="69">
        <f t="shared" si="18"/>
        <v>0</v>
      </c>
      <c r="AB66" s="70" t="s">
        <v>12</v>
      </c>
      <c r="AC66" s="67">
        <f t="shared" si="19"/>
        <v>0</v>
      </c>
      <c r="AD66" s="71" t="s">
        <v>12</v>
      </c>
      <c r="AE66" s="67">
        <f>SUMIF(Table2[Milestone/ Line],$B66,Table2[Invoice Amount])</f>
        <v>0</v>
      </c>
      <c r="AF66" s="71" t="s">
        <v>10</v>
      </c>
      <c r="AG66" s="72">
        <f t="shared" si="20"/>
        <v>0</v>
      </c>
      <c r="AI66" s="128"/>
    </row>
    <row r="67" spans="1:35" ht="14.4" customHeight="1" x14ac:dyDescent="0.25">
      <c r="A67" s="65">
        <v>57</v>
      </c>
      <c r="B67" s="127" t="s">
        <v>382</v>
      </c>
      <c r="C67" s="83"/>
      <c r="D67" s="88">
        <v>69750</v>
      </c>
      <c r="E67" s="90"/>
      <c r="F67" s="149"/>
      <c r="G67" s="162"/>
      <c r="H67" s="162"/>
      <c r="I67" s="162"/>
      <c r="J67" s="162"/>
      <c r="K67" s="162"/>
      <c r="L67" s="123"/>
      <c r="M67" s="123"/>
      <c r="N67" s="123"/>
      <c r="O67" s="123"/>
      <c r="P67" s="123"/>
      <c r="Q67" s="123"/>
      <c r="R67" s="123"/>
      <c r="S67" s="171"/>
      <c r="T67" s="82">
        <v>42962</v>
      </c>
      <c r="U67" s="66">
        <f t="shared" si="6"/>
        <v>0</v>
      </c>
      <c r="V67" s="22"/>
      <c r="W67" s="91">
        <v>69750</v>
      </c>
      <c r="X67" s="251"/>
      <c r="Y67" s="73">
        <f t="shared" si="17"/>
        <v>0</v>
      </c>
      <c r="Z67" s="68"/>
      <c r="AA67" s="69">
        <f t="shared" si="18"/>
        <v>0</v>
      </c>
      <c r="AB67" s="70" t="s">
        <v>12</v>
      </c>
      <c r="AC67" s="67">
        <f t="shared" si="19"/>
        <v>0</v>
      </c>
      <c r="AD67" s="71" t="s">
        <v>12</v>
      </c>
      <c r="AE67" s="67">
        <f>SUMIF(Table2[Milestone/ Line],$B67,Table2[Invoice Amount])</f>
        <v>0</v>
      </c>
      <c r="AF67" s="71" t="s">
        <v>10</v>
      </c>
      <c r="AG67" s="72">
        <f t="shared" si="20"/>
        <v>0</v>
      </c>
      <c r="AI67" s="128"/>
    </row>
    <row r="68" spans="1:35" ht="14.4" customHeight="1" x14ac:dyDescent="0.25">
      <c r="A68" s="65">
        <v>58</v>
      </c>
      <c r="B68" s="127" t="s">
        <v>383</v>
      </c>
      <c r="C68" s="83"/>
      <c r="D68" s="88">
        <v>299200</v>
      </c>
      <c r="E68" s="90"/>
      <c r="F68" s="149"/>
      <c r="G68" s="162"/>
      <c r="H68" s="162"/>
      <c r="I68" s="162"/>
      <c r="J68" s="162"/>
      <c r="K68" s="162"/>
      <c r="L68" s="123"/>
      <c r="M68" s="123"/>
      <c r="N68" s="123"/>
      <c r="O68" s="123"/>
      <c r="P68" s="123"/>
      <c r="Q68" s="123"/>
      <c r="R68" s="123"/>
      <c r="S68" s="171"/>
      <c r="T68" s="82">
        <v>43187</v>
      </c>
      <c r="U68" s="66">
        <f t="shared" si="6"/>
        <v>0</v>
      </c>
      <c r="V68" s="22"/>
      <c r="W68" s="91">
        <v>299200</v>
      </c>
      <c r="X68" s="251"/>
      <c r="Y68" s="73">
        <f t="shared" si="17"/>
        <v>0</v>
      </c>
      <c r="Z68" s="68"/>
      <c r="AA68" s="69">
        <f t="shared" si="18"/>
        <v>0</v>
      </c>
      <c r="AB68" s="70" t="s">
        <v>12</v>
      </c>
      <c r="AC68" s="67">
        <f t="shared" si="19"/>
        <v>0</v>
      </c>
      <c r="AD68" s="71" t="s">
        <v>12</v>
      </c>
      <c r="AE68" s="67">
        <f>SUMIF(Table2[Milestone/ Line],$B68,Table2[Invoice Amount])</f>
        <v>0</v>
      </c>
      <c r="AF68" s="71" t="s">
        <v>10</v>
      </c>
      <c r="AG68" s="72">
        <f t="shared" si="20"/>
        <v>0</v>
      </c>
      <c r="AI68" s="128"/>
    </row>
    <row r="69" spans="1:35" ht="14.4" customHeight="1" x14ac:dyDescent="0.25">
      <c r="A69" s="65">
        <v>59</v>
      </c>
      <c r="B69" s="127" t="s">
        <v>383</v>
      </c>
      <c r="C69" s="83"/>
      <c r="D69" s="88">
        <v>299200</v>
      </c>
      <c r="E69" s="90"/>
      <c r="F69" s="149"/>
      <c r="G69" s="162"/>
      <c r="H69" s="162"/>
      <c r="I69" s="162"/>
      <c r="J69" s="162"/>
      <c r="K69" s="162"/>
      <c r="L69" s="123"/>
      <c r="M69" s="123"/>
      <c r="N69" s="123"/>
      <c r="O69" s="123"/>
      <c r="P69" s="123"/>
      <c r="Q69" s="123"/>
      <c r="R69" s="123"/>
      <c r="S69" s="171"/>
      <c r="T69" s="82">
        <v>43194</v>
      </c>
      <c r="U69" s="66">
        <f t="shared" si="6"/>
        <v>0</v>
      </c>
      <c r="V69" s="22"/>
      <c r="W69" s="91">
        <v>299200</v>
      </c>
      <c r="X69" s="251"/>
      <c r="Y69" s="73">
        <f t="shared" si="17"/>
        <v>0</v>
      </c>
      <c r="Z69" s="68"/>
      <c r="AA69" s="69">
        <f t="shared" si="18"/>
        <v>0</v>
      </c>
      <c r="AB69" s="70" t="s">
        <v>12</v>
      </c>
      <c r="AC69" s="67">
        <f t="shared" si="19"/>
        <v>0</v>
      </c>
      <c r="AD69" s="71" t="s">
        <v>12</v>
      </c>
      <c r="AE69" s="67">
        <f>SUMIF(Table2[Milestone/ Line],$B69,Table2[Invoice Amount])</f>
        <v>0</v>
      </c>
      <c r="AF69" s="71" t="s">
        <v>10</v>
      </c>
      <c r="AG69" s="72">
        <f t="shared" si="20"/>
        <v>0</v>
      </c>
      <c r="AI69" s="128"/>
    </row>
    <row r="70" spans="1:35" ht="14.4" customHeight="1" x14ac:dyDescent="0.25">
      <c r="A70" s="65">
        <v>60</v>
      </c>
      <c r="B70" s="127" t="s">
        <v>383</v>
      </c>
      <c r="C70" s="83"/>
      <c r="D70" s="88">
        <v>299200</v>
      </c>
      <c r="E70" s="90"/>
      <c r="F70" s="149"/>
      <c r="G70" s="162"/>
      <c r="H70" s="162"/>
      <c r="I70" s="162"/>
      <c r="J70" s="162"/>
      <c r="K70" s="162"/>
      <c r="L70" s="123"/>
      <c r="M70" s="123"/>
      <c r="N70" s="123"/>
      <c r="O70" s="123"/>
      <c r="P70" s="123"/>
      <c r="Q70" s="123"/>
      <c r="R70" s="123"/>
      <c r="S70" s="171"/>
      <c r="T70" s="82">
        <v>43201</v>
      </c>
      <c r="U70" s="66">
        <f t="shared" si="6"/>
        <v>0</v>
      </c>
      <c r="V70" s="22"/>
      <c r="W70" s="91">
        <v>299200</v>
      </c>
      <c r="X70" s="251"/>
      <c r="Y70" s="73">
        <f t="shared" si="17"/>
        <v>0</v>
      </c>
      <c r="Z70" s="68"/>
      <c r="AA70" s="69">
        <f t="shared" si="18"/>
        <v>0</v>
      </c>
      <c r="AB70" s="70" t="s">
        <v>12</v>
      </c>
      <c r="AC70" s="67">
        <f t="shared" si="19"/>
        <v>0</v>
      </c>
      <c r="AD70" s="71" t="s">
        <v>12</v>
      </c>
      <c r="AE70" s="67">
        <f>SUMIF(Table2[Milestone/ Line],$B70,Table2[Invoice Amount])</f>
        <v>0</v>
      </c>
      <c r="AF70" s="71" t="s">
        <v>10</v>
      </c>
      <c r="AG70" s="72">
        <f t="shared" si="20"/>
        <v>0</v>
      </c>
      <c r="AI70" s="128"/>
    </row>
    <row r="71" spans="1:35" ht="14.4" customHeight="1" x14ac:dyDescent="0.25">
      <c r="A71" s="65">
        <v>61</v>
      </c>
      <c r="B71" s="127" t="s">
        <v>383</v>
      </c>
      <c r="C71" s="83"/>
      <c r="D71" s="88">
        <v>299200</v>
      </c>
      <c r="E71" s="90"/>
      <c r="F71" s="149"/>
      <c r="G71" s="162"/>
      <c r="H71" s="162"/>
      <c r="I71" s="162"/>
      <c r="J71" s="162"/>
      <c r="K71" s="162"/>
      <c r="L71" s="123"/>
      <c r="M71" s="123"/>
      <c r="N71" s="123"/>
      <c r="O71" s="123"/>
      <c r="P71" s="123"/>
      <c r="Q71" s="123"/>
      <c r="R71" s="123"/>
      <c r="S71" s="171"/>
      <c r="T71" s="82">
        <v>43208</v>
      </c>
      <c r="U71" s="66">
        <f t="shared" si="6"/>
        <v>0</v>
      </c>
      <c r="V71" s="22"/>
      <c r="W71" s="91">
        <v>299200</v>
      </c>
      <c r="X71" s="251"/>
      <c r="Y71" s="73">
        <f t="shared" si="17"/>
        <v>0</v>
      </c>
      <c r="Z71" s="68"/>
      <c r="AA71" s="69">
        <f t="shared" si="18"/>
        <v>0</v>
      </c>
      <c r="AB71" s="70" t="s">
        <v>12</v>
      </c>
      <c r="AC71" s="67">
        <f t="shared" si="19"/>
        <v>0</v>
      </c>
      <c r="AD71" s="71" t="s">
        <v>12</v>
      </c>
      <c r="AE71" s="67">
        <f>SUMIF(Table2[Milestone/ Line],$B71,Table2[Invoice Amount])</f>
        <v>0</v>
      </c>
      <c r="AF71" s="71" t="s">
        <v>10</v>
      </c>
      <c r="AG71" s="72">
        <f t="shared" si="20"/>
        <v>0</v>
      </c>
      <c r="AI71" s="128"/>
    </row>
    <row r="72" spans="1:35" ht="14.4" customHeight="1" x14ac:dyDescent="0.25">
      <c r="A72" s="65">
        <v>62</v>
      </c>
      <c r="B72" s="127" t="s">
        <v>383</v>
      </c>
      <c r="C72" s="83"/>
      <c r="D72" s="88">
        <v>299200</v>
      </c>
      <c r="E72" s="90"/>
      <c r="F72" s="149"/>
      <c r="G72" s="162"/>
      <c r="H72" s="162"/>
      <c r="I72" s="162"/>
      <c r="J72" s="162"/>
      <c r="K72" s="162"/>
      <c r="L72" s="123"/>
      <c r="M72" s="123"/>
      <c r="N72" s="123"/>
      <c r="O72" s="123"/>
      <c r="P72" s="123"/>
      <c r="Q72" s="123"/>
      <c r="R72" s="123"/>
      <c r="S72" s="171"/>
      <c r="T72" s="82">
        <v>43215</v>
      </c>
      <c r="U72" s="66">
        <f t="shared" si="6"/>
        <v>0</v>
      </c>
      <c r="V72" s="22"/>
      <c r="W72" s="91">
        <v>299200</v>
      </c>
      <c r="X72" s="251"/>
      <c r="Y72" s="73">
        <f t="shared" si="17"/>
        <v>0</v>
      </c>
      <c r="Z72" s="68"/>
      <c r="AA72" s="69">
        <f t="shared" si="18"/>
        <v>0</v>
      </c>
      <c r="AB72" s="70" t="s">
        <v>12</v>
      </c>
      <c r="AC72" s="67">
        <f t="shared" si="19"/>
        <v>0</v>
      </c>
      <c r="AD72" s="71" t="s">
        <v>12</v>
      </c>
      <c r="AE72" s="67">
        <f>SUMIF(Table2[Milestone/ Line],$B72,Table2[Invoice Amount])</f>
        <v>0</v>
      </c>
      <c r="AF72" s="71" t="s">
        <v>10</v>
      </c>
      <c r="AG72" s="72">
        <f t="shared" si="20"/>
        <v>0</v>
      </c>
      <c r="AI72" s="128"/>
    </row>
    <row r="73" spans="1:35" ht="14.4" customHeight="1" x14ac:dyDescent="0.25">
      <c r="A73" s="65">
        <v>63</v>
      </c>
      <c r="B73" s="127" t="s">
        <v>383</v>
      </c>
      <c r="C73" s="83"/>
      <c r="D73" s="88">
        <v>299200</v>
      </c>
      <c r="E73" s="90"/>
      <c r="F73" s="149"/>
      <c r="G73" s="162"/>
      <c r="H73" s="162"/>
      <c r="I73" s="162"/>
      <c r="J73" s="162"/>
      <c r="K73" s="162"/>
      <c r="L73" s="123"/>
      <c r="M73" s="123"/>
      <c r="N73" s="123"/>
      <c r="O73" s="123"/>
      <c r="P73" s="123"/>
      <c r="Q73" s="123"/>
      <c r="R73" s="123"/>
      <c r="S73" s="171"/>
      <c r="T73" s="82">
        <v>43222</v>
      </c>
      <c r="U73" s="66">
        <f t="shared" si="6"/>
        <v>0</v>
      </c>
      <c r="V73" s="22"/>
      <c r="W73" s="91">
        <v>299200</v>
      </c>
      <c r="X73" s="251"/>
      <c r="Y73" s="73">
        <f t="shared" si="17"/>
        <v>0</v>
      </c>
      <c r="Z73" s="68"/>
      <c r="AA73" s="69">
        <f t="shared" si="18"/>
        <v>0</v>
      </c>
      <c r="AB73" s="70" t="s">
        <v>12</v>
      </c>
      <c r="AC73" s="67">
        <f t="shared" si="19"/>
        <v>0</v>
      </c>
      <c r="AD73" s="71" t="s">
        <v>12</v>
      </c>
      <c r="AE73" s="67">
        <f>SUMIF(Table2[Milestone/ Line],$B73,Table2[Invoice Amount])</f>
        <v>0</v>
      </c>
      <c r="AF73" s="71" t="s">
        <v>10</v>
      </c>
      <c r="AG73" s="72">
        <f t="shared" si="20"/>
        <v>0</v>
      </c>
      <c r="AI73" s="128"/>
    </row>
    <row r="74" spans="1:35" ht="14.4" customHeight="1" x14ac:dyDescent="0.25">
      <c r="A74" s="65">
        <v>64</v>
      </c>
      <c r="B74" s="127" t="s">
        <v>383</v>
      </c>
      <c r="C74" s="83"/>
      <c r="D74" s="88">
        <v>299200</v>
      </c>
      <c r="E74" s="90"/>
      <c r="F74" s="149"/>
      <c r="G74" s="162"/>
      <c r="H74" s="162"/>
      <c r="I74" s="162"/>
      <c r="J74" s="162"/>
      <c r="K74" s="162"/>
      <c r="L74" s="123"/>
      <c r="M74" s="123"/>
      <c r="N74" s="123"/>
      <c r="O74" s="123"/>
      <c r="P74" s="123"/>
      <c r="Q74" s="123"/>
      <c r="R74" s="123"/>
      <c r="S74" s="171"/>
      <c r="T74" s="82">
        <v>43229</v>
      </c>
      <c r="U74" s="66">
        <f t="shared" si="6"/>
        <v>0</v>
      </c>
      <c r="V74" s="22"/>
      <c r="W74" s="91">
        <v>299200</v>
      </c>
      <c r="X74" s="251"/>
      <c r="Y74" s="73">
        <f t="shared" si="17"/>
        <v>0</v>
      </c>
      <c r="Z74" s="68"/>
      <c r="AA74" s="69">
        <f t="shared" si="18"/>
        <v>0</v>
      </c>
      <c r="AB74" s="70" t="s">
        <v>12</v>
      </c>
      <c r="AC74" s="67">
        <f t="shared" si="19"/>
        <v>0</v>
      </c>
      <c r="AD74" s="71" t="s">
        <v>12</v>
      </c>
      <c r="AE74" s="67">
        <f>SUMIF(Table2[Milestone/ Line],$B74,Table2[Invoice Amount])</f>
        <v>0</v>
      </c>
      <c r="AF74" s="71" t="s">
        <v>10</v>
      </c>
      <c r="AG74" s="72">
        <f t="shared" si="20"/>
        <v>0</v>
      </c>
      <c r="AI74" s="128"/>
    </row>
    <row r="75" spans="1:35" ht="14.4" customHeight="1" x14ac:dyDescent="0.25">
      <c r="A75" s="65">
        <v>65</v>
      </c>
      <c r="B75" s="127" t="s">
        <v>383</v>
      </c>
      <c r="C75" s="83"/>
      <c r="D75" s="88">
        <v>299200</v>
      </c>
      <c r="E75" s="90"/>
      <c r="F75" s="149"/>
      <c r="G75" s="162"/>
      <c r="H75" s="162"/>
      <c r="I75" s="162"/>
      <c r="J75" s="162"/>
      <c r="K75" s="162"/>
      <c r="L75" s="123"/>
      <c r="M75" s="123"/>
      <c r="N75" s="123"/>
      <c r="O75" s="123"/>
      <c r="P75" s="123"/>
      <c r="Q75" s="123"/>
      <c r="R75" s="123"/>
      <c r="S75" s="171"/>
      <c r="T75" s="82">
        <v>43236</v>
      </c>
      <c r="U75" s="66">
        <f t="shared" si="6"/>
        <v>0</v>
      </c>
      <c r="V75" s="22"/>
      <c r="W75" s="91">
        <v>299200</v>
      </c>
      <c r="X75" s="251"/>
      <c r="Y75" s="73">
        <f t="shared" si="17"/>
        <v>0</v>
      </c>
      <c r="Z75" s="68"/>
      <c r="AA75" s="69">
        <f t="shared" si="18"/>
        <v>0</v>
      </c>
      <c r="AB75" s="70" t="s">
        <v>12</v>
      </c>
      <c r="AC75" s="67">
        <f t="shared" si="19"/>
        <v>0</v>
      </c>
      <c r="AD75" s="71" t="s">
        <v>12</v>
      </c>
      <c r="AE75" s="67">
        <f>SUMIF(Table2[Milestone/ Line],$B75,Table2[Invoice Amount])</f>
        <v>0</v>
      </c>
      <c r="AF75" s="71" t="s">
        <v>10</v>
      </c>
      <c r="AG75" s="72">
        <f t="shared" si="20"/>
        <v>0</v>
      </c>
      <c r="AI75" s="128"/>
    </row>
    <row r="76" spans="1:35" ht="14.4" customHeight="1" x14ac:dyDescent="0.25">
      <c r="A76" s="65">
        <v>66</v>
      </c>
      <c r="B76" s="127" t="s">
        <v>384</v>
      </c>
      <c r="C76" s="83"/>
      <c r="D76" s="88">
        <v>23400</v>
      </c>
      <c r="E76" s="90"/>
      <c r="F76" s="149"/>
      <c r="G76" s="162"/>
      <c r="H76" s="162"/>
      <c r="I76" s="162"/>
      <c r="J76" s="162"/>
      <c r="K76" s="162"/>
      <c r="L76" s="123"/>
      <c r="M76" s="123"/>
      <c r="N76" s="123"/>
      <c r="O76" s="123"/>
      <c r="P76" s="123"/>
      <c r="Q76" s="123"/>
      <c r="R76" s="123"/>
      <c r="S76" s="171"/>
      <c r="T76" s="82">
        <v>43236</v>
      </c>
      <c r="U76" s="66">
        <f t="shared" ref="U76:U104" si="21">IF(E76&lt;1,SUM(F76:S76)/D76+E76,1)</f>
        <v>0</v>
      </c>
      <c r="V76" s="22"/>
      <c r="W76" s="91">
        <v>23400</v>
      </c>
      <c r="X76" s="251"/>
      <c r="Y76" s="73">
        <f t="shared" si="17"/>
        <v>0</v>
      </c>
      <c r="Z76" s="68"/>
      <c r="AA76" s="69">
        <f t="shared" si="18"/>
        <v>0</v>
      </c>
      <c r="AB76" s="70" t="s">
        <v>12</v>
      </c>
      <c r="AC76" s="67">
        <f t="shared" si="19"/>
        <v>0</v>
      </c>
      <c r="AD76" s="71" t="s">
        <v>12</v>
      </c>
      <c r="AE76" s="67">
        <f>SUMIF(Table2[Milestone/ Line],$B76,Table2[Invoice Amount])</f>
        <v>0</v>
      </c>
      <c r="AF76" s="71" t="s">
        <v>10</v>
      </c>
      <c r="AG76" s="72">
        <f t="shared" si="20"/>
        <v>0</v>
      </c>
      <c r="AI76" s="128"/>
    </row>
    <row r="77" spans="1:35" ht="14.4" customHeight="1" x14ac:dyDescent="0.25">
      <c r="A77" s="65">
        <v>67</v>
      </c>
      <c r="B77" s="127" t="s">
        <v>385</v>
      </c>
      <c r="C77" s="83"/>
      <c r="D77" s="88">
        <v>93000</v>
      </c>
      <c r="E77" s="90"/>
      <c r="F77" s="149"/>
      <c r="G77" s="162"/>
      <c r="H77" s="162"/>
      <c r="I77" s="162"/>
      <c r="J77" s="162"/>
      <c r="K77" s="162"/>
      <c r="L77" s="123"/>
      <c r="M77" s="123"/>
      <c r="N77" s="123"/>
      <c r="O77" s="123"/>
      <c r="P77" s="123"/>
      <c r="Q77" s="123"/>
      <c r="R77" s="123"/>
      <c r="S77" s="171"/>
      <c r="T77" s="82">
        <v>43550</v>
      </c>
      <c r="U77" s="66">
        <f t="shared" si="21"/>
        <v>0</v>
      </c>
      <c r="V77" s="22"/>
      <c r="W77" s="91">
        <v>93000</v>
      </c>
      <c r="X77" s="251"/>
      <c r="Y77" s="73">
        <f t="shared" si="17"/>
        <v>0</v>
      </c>
      <c r="Z77" s="68"/>
      <c r="AA77" s="69">
        <f t="shared" si="18"/>
        <v>0</v>
      </c>
      <c r="AB77" s="70" t="s">
        <v>12</v>
      </c>
      <c r="AC77" s="67">
        <f t="shared" si="19"/>
        <v>0</v>
      </c>
      <c r="AD77" s="71" t="s">
        <v>12</v>
      </c>
      <c r="AE77" s="67">
        <f>SUMIF(Table2[Milestone/ Line],$B77,Table2[Invoice Amount])</f>
        <v>0</v>
      </c>
      <c r="AF77" s="71" t="s">
        <v>10</v>
      </c>
      <c r="AG77" s="72">
        <f t="shared" si="20"/>
        <v>0</v>
      </c>
      <c r="AI77" s="128"/>
    </row>
    <row r="78" spans="1:35" ht="14.4" customHeight="1" x14ac:dyDescent="0.25">
      <c r="A78" s="65">
        <v>68</v>
      </c>
      <c r="B78" s="127" t="s">
        <v>386</v>
      </c>
      <c r="C78" s="83"/>
      <c r="D78" s="88">
        <v>1299466.75</v>
      </c>
      <c r="E78" s="90"/>
      <c r="F78" s="149"/>
      <c r="G78" s="162"/>
      <c r="H78" s="162"/>
      <c r="I78" s="162"/>
      <c r="J78" s="162"/>
      <c r="K78" s="162"/>
      <c r="L78" s="123"/>
      <c r="M78" s="123"/>
      <c r="N78" s="123"/>
      <c r="O78" s="123"/>
      <c r="P78" s="123"/>
      <c r="Q78" s="123"/>
      <c r="R78" s="123"/>
      <c r="S78" s="171"/>
      <c r="T78" s="82">
        <v>43046</v>
      </c>
      <c r="U78" s="66">
        <f t="shared" si="21"/>
        <v>0</v>
      </c>
      <c r="V78" s="22"/>
      <c r="W78" s="91">
        <v>1299466.75</v>
      </c>
      <c r="X78" s="251"/>
      <c r="Y78" s="73">
        <f t="shared" si="17"/>
        <v>0</v>
      </c>
      <c r="Z78" s="68"/>
      <c r="AA78" s="69">
        <f t="shared" si="18"/>
        <v>0</v>
      </c>
      <c r="AB78" s="70" t="s">
        <v>12</v>
      </c>
      <c r="AC78" s="67">
        <f t="shared" si="19"/>
        <v>0</v>
      </c>
      <c r="AD78" s="71" t="s">
        <v>12</v>
      </c>
      <c r="AE78" s="67">
        <f>SUMIF(Table2[Milestone/ Line],$B78,Table2[Invoice Amount])</f>
        <v>0</v>
      </c>
      <c r="AF78" s="71" t="s">
        <v>10</v>
      </c>
      <c r="AG78" s="72">
        <f t="shared" si="20"/>
        <v>0</v>
      </c>
      <c r="AI78" s="128"/>
    </row>
    <row r="79" spans="1:35" ht="14.4" customHeight="1" x14ac:dyDescent="0.25">
      <c r="A79" s="65">
        <v>69</v>
      </c>
      <c r="B79" s="127" t="s">
        <v>387</v>
      </c>
      <c r="C79" s="83"/>
      <c r="D79" s="88">
        <v>135725</v>
      </c>
      <c r="E79" s="90"/>
      <c r="F79" s="149"/>
      <c r="G79" s="162"/>
      <c r="H79" s="162"/>
      <c r="I79" s="162"/>
      <c r="J79" s="162"/>
      <c r="K79" s="162"/>
      <c r="L79" s="123"/>
      <c r="M79" s="123"/>
      <c r="N79" s="123"/>
      <c r="O79" s="123"/>
      <c r="P79" s="123"/>
      <c r="Q79" s="123"/>
      <c r="R79" s="123"/>
      <c r="S79" s="171"/>
      <c r="T79" s="82">
        <v>43102</v>
      </c>
      <c r="U79" s="66">
        <f t="shared" si="21"/>
        <v>0</v>
      </c>
      <c r="V79" s="22"/>
      <c r="W79" s="91">
        <v>135725</v>
      </c>
      <c r="X79" s="251"/>
      <c r="Y79" s="73">
        <f t="shared" si="17"/>
        <v>0</v>
      </c>
      <c r="Z79" s="68"/>
      <c r="AA79" s="69">
        <f t="shared" si="18"/>
        <v>0</v>
      </c>
      <c r="AB79" s="70" t="s">
        <v>12</v>
      </c>
      <c r="AC79" s="67">
        <f t="shared" si="19"/>
        <v>0</v>
      </c>
      <c r="AD79" s="71" t="s">
        <v>12</v>
      </c>
      <c r="AE79" s="67">
        <f>SUMIF(Table2[Milestone/ Line],$B79,Table2[Invoice Amount])</f>
        <v>0</v>
      </c>
      <c r="AF79" s="71" t="s">
        <v>10</v>
      </c>
      <c r="AG79" s="72">
        <f t="shared" si="20"/>
        <v>0</v>
      </c>
      <c r="AI79" s="128"/>
    </row>
    <row r="80" spans="1:35" ht="14.4" customHeight="1" x14ac:dyDescent="0.25">
      <c r="A80" s="65">
        <v>70</v>
      </c>
      <c r="B80" s="127" t="s">
        <v>388</v>
      </c>
      <c r="C80" s="83"/>
      <c r="D80" s="88">
        <v>1299466.75</v>
      </c>
      <c r="E80" s="90"/>
      <c r="F80" s="149"/>
      <c r="G80" s="162"/>
      <c r="H80" s="162"/>
      <c r="I80" s="162"/>
      <c r="J80" s="162"/>
      <c r="K80" s="162"/>
      <c r="L80" s="123"/>
      <c r="M80" s="123"/>
      <c r="N80" s="123"/>
      <c r="O80" s="123"/>
      <c r="P80" s="123"/>
      <c r="Q80" s="123"/>
      <c r="R80" s="123"/>
      <c r="S80" s="171"/>
      <c r="T80" s="82">
        <v>43158</v>
      </c>
      <c r="U80" s="66">
        <f t="shared" si="21"/>
        <v>0</v>
      </c>
      <c r="V80" s="22"/>
      <c r="W80" s="91">
        <v>1299466.75</v>
      </c>
      <c r="X80" s="251"/>
      <c r="Y80" s="73">
        <f t="shared" si="17"/>
        <v>0</v>
      </c>
      <c r="Z80" s="68"/>
      <c r="AA80" s="69">
        <f t="shared" si="18"/>
        <v>0</v>
      </c>
      <c r="AB80" s="70" t="s">
        <v>12</v>
      </c>
      <c r="AC80" s="67">
        <f t="shared" si="19"/>
        <v>0</v>
      </c>
      <c r="AD80" s="71" t="s">
        <v>12</v>
      </c>
      <c r="AE80" s="67">
        <f>SUMIF(Table2[Milestone/ Line],$B80,Table2[Invoice Amount])</f>
        <v>0</v>
      </c>
      <c r="AF80" s="71" t="s">
        <v>10</v>
      </c>
      <c r="AG80" s="72">
        <f t="shared" si="20"/>
        <v>0</v>
      </c>
      <c r="AI80" s="128"/>
    </row>
    <row r="81" spans="1:35" ht="14.4" customHeight="1" x14ac:dyDescent="0.25">
      <c r="A81" s="65">
        <v>71</v>
      </c>
      <c r="B81" s="127" t="s">
        <v>389</v>
      </c>
      <c r="C81" s="83"/>
      <c r="D81" s="88">
        <v>135725</v>
      </c>
      <c r="E81" s="90"/>
      <c r="F81" s="149"/>
      <c r="G81" s="162"/>
      <c r="H81" s="162"/>
      <c r="I81" s="162"/>
      <c r="J81" s="162"/>
      <c r="K81" s="162"/>
      <c r="L81" s="123"/>
      <c r="M81" s="123"/>
      <c r="N81" s="123"/>
      <c r="O81" s="123"/>
      <c r="P81" s="123"/>
      <c r="Q81" s="123"/>
      <c r="R81" s="123"/>
      <c r="S81" s="171"/>
      <c r="T81" s="82">
        <v>43214</v>
      </c>
      <c r="U81" s="66">
        <f t="shared" si="21"/>
        <v>0</v>
      </c>
      <c r="V81" s="22"/>
      <c r="W81" s="91">
        <v>135725</v>
      </c>
      <c r="X81" s="251"/>
      <c r="Y81" s="73">
        <f t="shared" si="17"/>
        <v>0</v>
      </c>
      <c r="Z81" s="68"/>
      <c r="AA81" s="69">
        <f t="shared" si="18"/>
        <v>0</v>
      </c>
      <c r="AB81" s="70" t="s">
        <v>12</v>
      </c>
      <c r="AC81" s="67">
        <f t="shared" si="19"/>
        <v>0</v>
      </c>
      <c r="AD81" s="71" t="s">
        <v>12</v>
      </c>
      <c r="AE81" s="67">
        <f>SUMIF(Table2[Milestone/ Line],$B81,Table2[Invoice Amount])</f>
        <v>0</v>
      </c>
      <c r="AF81" s="71" t="s">
        <v>10</v>
      </c>
      <c r="AG81" s="72">
        <f t="shared" si="20"/>
        <v>0</v>
      </c>
      <c r="AI81" s="128"/>
    </row>
    <row r="82" spans="1:35" ht="14.4" customHeight="1" x14ac:dyDescent="0.25">
      <c r="A82" s="65">
        <v>72</v>
      </c>
      <c r="B82" s="127" t="s">
        <v>390</v>
      </c>
      <c r="C82" s="83"/>
      <c r="D82" s="88">
        <v>1299466.75</v>
      </c>
      <c r="E82" s="90"/>
      <c r="F82" s="149"/>
      <c r="G82" s="162"/>
      <c r="H82" s="162"/>
      <c r="I82" s="162"/>
      <c r="J82" s="162"/>
      <c r="K82" s="162"/>
      <c r="L82" s="123"/>
      <c r="M82" s="123"/>
      <c r="N82" s="123"/>
      <c r="O82" s="123"/>
      <c r="P82" s="123"/>
      <c r="Q82" s="123"/>
      <c r="R82" s="123"/>
      <c r="S82" s="171"/>
      <c r="T82" s="82">
        <v>43270</v>
      </c>
      <c r="U82" s="66">
        <f t="shared" si="21"/>
        <v>0</v>
      </c>
      <c r="V82" s="22"/>
      <c r="W82" s="91">
        <v>1299466.75</v>
      </c>
      <c r="X82" s="251"/>
      <c r="Y82" s="73">
        <f t="shared" si="17"/>
        <v>0</v>
      </c>
      <c r="Z82" s="68"/>
      <c r="AA82" s="69">
        <f t="shared" si="18"/>
        <v>0</v>
      </c>
      <c r="AB82" s="70" t="s">
        <v>12</v>
      </c>
      <c r="AC82" s="67">
        <f t="shared" si="19"/>
        <v>0</v>
      </c>
      <c r="AD82" s="71" t="s">
        <v>12</v>
      </c>
      <c r="AE82" s="67">
        <f>SUMIF(Table2[Milestone/ Line],$B82,Table2[Invoice Amount])</f>
        <v>0</v>
      </c>
      <c r="AF82" s="71" t="s">
        <v>10</v>
      </c>
      <c r="AG82" s="72">
        <f t="shared" si="20"/>
        <v>0</v>
      </c>
      <c r="AI82" s="128"/>
    </row>
    <row r="83" spans="1:35" ht="14.4" customHeight="1" x14ac:dyDescent="0.25">
      <c r="A83" s="65">
        <v>73</v>
      </c>
      <c r="B83" s="127" t="s">
        <v>391</v>
      </c>
      <c r="C83" s="83"/>
      <c r="D83" s="88">
        <v>135725</v>
      </c>
      <c r="E83" s="90"/>
      <c r="F83" s="149"/>
      <c r="G83" s="162"/>
      <c r="H83" s="162"/>
      <c r="I83" s="162"/>
      <c r="J83" s="162"/>
      <c r="K83" s="162"/>
      <c r="L83" s="123"/>
      <c r="M83" s="123"/>
      <c r="N83" s="123"/>
      <c r="O83" s="123"/>
      <c r="P83" s="123"/>
      <c r="Q83" s="123"/>
      <c r="R83" s="123"/>
      <c r="S83" s="171"/>
      <c r="T83" s="82">
        <v>43326</v>
      </c>
      <c r="U83" s="66">
        <f t="shared" si="21"/>
        <v>0</v>
      </c>
      <c r="V83" s="22"/>
      <c r="W83" s="91">
        <v>135725</v>
      </c>
      <c r="X83" s="251"/>
      <c r="Y83" s="73">
        <f t="shared" si="17"/>
        <v>0</v>
      </c>
      <c r="Z83" s="68"/>
      <c r="AA83" s="69">
        <f t="shared" si="18"/>
        <v>0</v>
      </c>
      <c r="AB83" s="70" t="s">
        <v>12</v>
      </c>
      <c r="AC83" s="67">
        <f t="shared" si="19"/>
        <v>0</v>
      </c>
      <c r="AD83" s="71" t="s">
        <v>12</v>
      </c>
      <c r="AE83" s="67">
        <f>SUMIF(Table2[Milestone/ Line],$B83,Table2[Invoice Amount])</f>
        <v>0</v>
      </c>
      <c r="AF83" s="71" t="s">
        <v>10</v>
      </c>
      <c r="AG83" s="72">
        <f t="shared" si="20"/>
        <v>0</v>
      </c>
      <c r="AI83" s="128"/>
    </row>
    <row r="84" spans="1:35" ht="14.4" customHeight="1" x14ac:dyDescent="0.25">
      <c r="A84" s="65">
        <v>74</v>
      </c>
      <c r="B84" s="127" t="s">
        <v>392</v>
      </c>
      <c r="C84" s="83"/>
      <c r="D84" s="88">
        <v>1299466.75</v>
      </c>
      <c r="E84" s="90"/>
      <c r="F84" s="149"/>
      <c r="G84" s="162"/>
      <c r="H84" s="162"/>
      <c r="I84" s="162"/>
      <c r="J84" s="162"/>
      <c r="K84" s="162"/>
      <c r="L84" s="123"/>
      <c r="M84" s="123"/>
      <c r="N84" s="123"/>
      <c r="O84" s="123"/>
      <c r="P84" s="123"/>
      <c r="Q84" s="123"/>
      <c r="R84" s="123"/>
      <c r="S84" s="171"/>
      <c r="T84" s="82">
        <v>43382</v>
      </c>
      <c r="U84" s="66">
        <f t="shared" si="21"/>
        <v>0</v>
      </c>
      <c r="V84" s="22"/>
      <c r="W84" s="91">
        <v>1299466.75</v>
      </c>
      <c r="X84" s="251"/>
      <c r="Y84" s="73">
        <f t="shared" si="17"/>
        <v>0</v>
      </c>
      <c r="Z84" s="68"/>
      <c r="AA84" s="69">
        <f t="shared" si="18"/>
        <v>0</v>
      </c>
      <c r="AB84" s="70" t="s">
        <v>12</v>
      </c>
      <c r="AC84" s="67">
        <f t="shared" si="19"/>
        <v>0</v>
      </c>
      <c r="AD84" s="71" t="s">
        <v>12</v>
      </c>
      <c r="AE84" s="67">
        <f>SUMIF(Table2[Milestone/ Line],$B84,Table2[Invoice Amount])</f>
        <v>0</v>
      </c>
      <c r="AF84" s="71" t="s">
        <v>10</v>
      </c>
      <c r="AG84" s="72">
        <f t="shared" si="20"/>
        <v>0</v>
      </c>
      <c r="AI84" s="128"/>
    </row>
    <row r="85" spans="1:35" ht="14.4" customHeight="1" x14ac:dyDescent="0.25">
      <c r="A85" s="65">
        <v>75</v>
      </c>
      <c r="B85" s="127" t="s">
        <v>393</v>
      </c>
      <c r="C85" s="83"/>
      <c r="D85" s="88">
        <v>135725</v>
      </c>
      <c r="E85" s="90"/>
      <c r="F85" s="149"/>
      <c r="G85" s="162"/>
      <c r="H85" s="162"/>
      <c r="I85" s="162"/>
      <c r="J85" s="162"/>
      <c r="K85" s="162"/>
      <c r="L85" s="123"/>
      <c r="M85" s="123"/>
      <c r="N85" s="123"/>
      <c r="O85" s="123"/>
      <c r="P85" s="123"/>
      <c r="Q85" s="123"/>
      <c r="R85" s="123"/>
      <c r="S85" s="171"/>
      <c r="T85" s="82">
        <v>43438</v>
      </c>
      <c r="U85" s="66">
        <f t="shared" si="21"/>
        <v>0</v>
      </c>
      <c r="V85" s="22"/>
      <c r="W85" s="91">
        <v>135725</v>
      </c>
      <c r="X85" s="251"/>
      <c r="Y85" s="73">
        <f t="shared" si="17"/>
        <v>0</v>
      </c>
      <c r="Z85" s="68"/>
      <c r="AA85" s="69">
        <f t="shared" si="18"/>
        <v>0</v>
      </c>
      <c r="AB85" s="70" t="s">
        <v>12</v>
      </c>
      <c r="AC85" s="67">
        <f t="shared" si="19"/>
        <v>0</v>
      </c>
      <c r="AD85" s="71" t="s">
        <v>12</v>
      </c>
      <c r="AE85" s="67">
        <f>SUMIF(Table2[Milestone/ Line],$B85,Table2[Invoice Amount])</f>
        <v>0</v>
      </c>
      <c r="AF85" s="71" t="s">
        <v>10</v>
      </c>
      <c r="AG85" s="72">
        <f t="shared" si="20"/>
        <v>0</v>
      </c>
      <c r="AI85" s="128"/>
    </row>
    <row r="86" spans="1:35" ht="14.4" customHeight="1" x14ac:dyDescent="0.25">
      <c r="A86" s="65">
        <v>76</v>
      </c>
      <c r="B86" s="127" t="s">
        <v>394</v>
      </c>
      <c r="C86" s="83"/>
      <c r="D86" s="88">
        <v>4500</v>
      </c>
      <c r="E86" s="90"/>
      <c r="F86" s="149"/>
      <c r="G86" s="162"/>
      <c r="H86" s="162"/>
      <c r="I86" s="162"/>
      <c r="J86" s="162"/>
      <c r="K86" s="162"/>
      <c r="L86" s="123"/>
      <c r="M86" s="123"/>
      <c r="N86" s="123"/>
      <c r="O86" s="123"/>
      <c r="P86" s="123"/>
      <c r="Q86" s="123"/>
      <c r="R86" s="123"/>
      <c r="S86" s="171"/>
      <c r="T86" s="82">
        <v>43627</v>
      </c>
      <c r="U86" s="66">
        <f t="shared" si="21"/>
        <v>0</v>
      </c>
      <c r="V86" s="22"/>
      <c r="W86" s="91">
        <v>4500</v>
      </c>
      <c r="X86" s="251"/>
      <c r="Y86" s="73">
        <f t="shared" si="17"/>
        <v>0</v>
      </c>
      <c r="Z86" s="68"/>
      <c r="AA86" s="69">
        <f t="shared" si="18"/>
        <v>0</v>
      </c>
      <c r="AB86" s="70" t="s">
        <v>12</v>
      </c>
      <c r="AC86" s="67">
        <f t="shared" si="19"/>
        <v>0</v>
      </c>
      <c r="AD86" s="71" t="s">
        <v>12</v>
      </c>
      <c r="AE86" s="67">
        <f>SUMIF(Table2[Milestone/ Line],$B86,Table2[Invoice Amount])</f>
        <v>0</v>
      </c>
      <c r="AF86" s="71" t="s">
        <v>10</v>
      </c>
      <c r="AG86" s="72">
        <f t="shared" si="20"/>
        <v>0</v>
      </c>
      <c r="AI86" s="128"/>
    </row>
    <row r="87" spans="1:35" ht="14.4" customHeight="1" x14ac:dyDescent="0.25">
      <c r="A87" s="65">
        <v>77</v>
      </c>
      <c r="B87" s="127" t="s">
        <v>395</v>
      </c>
      <c r="C87" s="83"/>
      <c r="D87" s="88">
        <v>52300</v>
      </c>
      <c r="E87" s="90"/>
      <c r="F87" s="149"/>
      <c r="G87" s="162"/>
      <c r="H87" s="162"/>
      <c r="I87" s="162"/>
      <c r="J87" s="162"/>
      <c r="K87" s="162"/>
      <c r="L87" s="123"/>
      <c r="M87" s="123"/>
      <c r="N87" s="123"/>
      <c r="O87" s="123"/>
      <c r="P87" s="123"/>
      <c r="Q87" s="123"/>
      <c r="R87" s="123"/>
      <c r="S87" s="171"/>
      <c r="T87" s="82">
        <v>43438</v>
      </c>
      <c r="U87" s="66">
        <f t="shared" si="21"/>
        <v>0</v>
      </c>
      <c r="V87" s="22"/>
      <c r="W87" s="91">
        <v>52300</v>
      </c>
      <c r="X87" s="251"/>
      <c r="Y87" s="73">
        <f t="shared" si="17"/>
        <v>0</v>
      </c>
      <c r="Z87" s="68"/>
      <c r="AA87" s="69">
        <f t="shared" si="18"/>
        <v>0</v>
      </c>
      <c r="AB87" s="70" t="s">
        <v>12</v>
      </c>
      <c r="AC87" s="67">
        <f t="shared" si="19"/>
        <v>0</v>
      </c>
      <c r="AD87" s="71" t="s">
        <v>12</v>
      </c>
      <c r="AE87" s="67">
        <f>SUMIF(Table2[Milestone/ Line],$B87,Table2[Invoice Amount])</f>
        <v>0</v>
      </c>
      <c r="AF87" s="71" t="s">
        <v>10</v>
      </c>
      <c r="AG87" s="72">
        <f t="shared" si="20"/>
        <v>0</v>
      </c>
      <c r="AI87" s="128"/>
    </row>
    <row r="88" spans="1:35" ht="14.4" customHeight="1" x14ac:dyDescent="0.25">
      <c r="A88" s="65">
        <v>78</v>
      </c>
      <c r="B88" s="127" t="s">
        <v>396</v>
      </c>
      <c r="C88" s="83"/>
      <c r="D88" s="88">
        <v>19400</v>
      </c>
      <c r="E88" s="90"/>
      <c r="F88" s="149"/>
      <c r="G88" s="162"/>
      <c r="H88" s="162"/>
      <c r="I88" s="162"/>
      <c r="J88" s="162"/>
      <c r="K88" s="162"/>
      <c r="L88" s="123"/>
      <c r="M88" s="123"/>
      <c r="N88" s="123"/>
      <c r="O88" s="123"/>
      <c r="P88" s="123"/>
      <c r="Q88" s="123"/>
      <c r="R88" s="123"/>
      <c r="S88" s="171"/>
      <c r="T88" s="82">
        <v>43214</v>
      </c>
      <c r="U88" s="66">
        <f t="shared" si="21"/>
        <v>0</v>
      </c>
      <c r="V88" s="22"/>
      <c r="W88" s="91">
        <v>19400</v>
      </c>
      <c r="X88" s="251"/>
      <c r="Y88" s="73">
        <f t="shared" si="17"/>
        <v>0</v>
      </c>
      <c r="Z88" s="68"/>
      <c r="AA88" s="69">
        <f t="shared" si="18"/>
        <v>0</v>
      </c>
      <c r="AB88" s="70" t="s">
        <v>12</v>
      </c>
      <c r="AC88" s="67">
        <f t="shared" si="19"/>
        <v>0</v>
      </c>
      <c r="AD88" s="71" t="s">
        <v>12</v>
      </c>
      <c r="AE88" s="67">
        <f>SUMIF(Table2[Milestone/ Line],$B88,Table2[Invoice Amount])</f>
        <v>0</v>
      </c>
      <c r="AF88" s="71" t="s">
        <v>10</v>
      </c>
      <c r="AG88" s="72">
        <f t="shared" si="20"/>
        <v>0</v>
      </c>
      <c r="AI88" s="128"/>
    </row>
    <row r="89" spans="1:35" ht="14.4" customHeight="1" x14ac:dyDescent="0.25">
      <c r="A89" s="65">
        <v>79</v>
      </c>
      <c r="B89" s="127" t="s">
        <v>397</v>
      </c>
      <c r="C89" s="83"/>
      <c r="D89" s="88">
        <v>19400</v>
      </c>
      <c r="E89" s="90"/>
      <c r="F89" s="149"/>
      <c r="G89" s="162"/>
      <c r="H89" s="162"/>
      <c r="I89" s="162"/>
      <c r="J89" s="162"/>
      <c r="K89" s="162"/>
      <c r="L89" s="123"/>
      <c r="M89" s="123"/>
      <c r="N89" s="123"/>
      <c r="O89" s="123"/>
      <c r="P89" s="123"/>
      <c r="Q89" s="123"/>
      <c r="R89" s="123"/>
      <c r="S89" s="171"/>
      <c r="T89" s="82">
        <v>43326</v>
      </c>
      <c r="U89" s="66">
        <f t="shared" si="21"/>
        <v>0</v>
      </c>
      <c r="V89" s="22"/>
      <c r="W89" s="91">
        <v>19400</v>
      </c>
      <c r="X89" s="251"/>
      <c r="Y89" s="73">
        <f t="shared" si="17"/>
        <v>0</v>
      </c>
      <c r="Z89" s="68"/>
      <c r="AA89" s="69">
        <f t="shared" si="18"/>
        <v>0</v>
      </c>
      <c r="AB89" s="70" t="s">
        <v>12</v>
      </c>
      <c r="AC89" s="67">
        <f t="shared" si="19"/>
        <v>0</v>
      </c>
      <c r="AD89" s="71" t="s">
        <v>12</v>
      </c>
      <c r="AE89" s="67">
        <f>SUMIF(Table2[Milestone/ Line],$B89,Table2[Invoice Amount])</f>
        <v>0</v>
      </c>
      <c r="AF89" s="71" t="s">
        <v>10</v>
      </c>
      <c r="AG89" s="72">
        <f t="shared" si="20"/>
        <v>0</v>
      </c>
      <c r="AI89" s="128"/>
    </row>
    <row r="90" spans="1:35" ht="14.4" customHeight="1" x14ac:dyDescent="0.25">
      <c r="A90" s="65">
        <v>80</v>
      </c>
      <c r="B90" s="127" t="s">
        <v>398</v>
      </c>
      <c r="C90" s="83"/>
      <c r="D90" s="88">
        <v>19400</v>
      </c>
      <c r="E90" s="90"/>
      <c r="F90" s="149"/>
      <c r="G90" s="162"/>
      <c r="H90" s="162"/>
      <c r="I90" s="162"/>
      <c r="J90" s="162"/>
      <c r="K90" s="162"/>
      <c r="L90" s="123"/>
      <c r="M90" s="123"/>
      <c r="N90" s="123"/>
      <c r="O90" s="123"/>
      <c r="P90" s="123"/>
      <c r="Q90" s="123"/>
      <c r="R90" s="123"/>
      <c r="S90" s="171"/>
      <c r="T90" s="82">
        <v>43438</v>
      </c>
      <c r="U90" s="66">
        <f t="shared" si="21"/>
        <v>0</v>
      </c>
      <c r="V90" s="22"/>
      <c r="W90" s="91">
        <v>19400</v>
      </c>
      <c r="X90" s="251"/>
      <c r="Y90" s="73">
        <f t="shared" si="17"/>
        <v>0</v>
      </c>
      <c r="Z90" s="68"/>
      <c r="AA90" s="69">
        <f t="shared" si="18"/>
        <v>0</v>
      </c>
      <c r="AB90" s="70" t="s">
        <v>12</v>
      </c>
      <c r="AC90" s="67">
        <f t="shared" si="19"/>
        <v>0</v>
      </c>
      <c r="AD90" s="71" t="s">
        <v>12</v>
      </c>
      <c r="AE90" s="67">
        <f>SUMIF(Table2[Milestone/ Line],$B90,Table2[Invoice Amount])</f>
        <v>0</v>
      </c>
      <c r="AF90" s="71" t="s">
        <v>10</v>
      </c>
      <c r="AG90" s="72">
        <f t="shared" si="20"/>
        <v>0</v>
      </c>
      <c r="AI90" s="128"/>
    </row>
    <row r="91" spans="1:35" ht="14.4" customHeight="1" x14ac:dyDescent="0.25">
      <c r="A91" s="65">
        <v>81</v>
      </c>
      <c r="B91" s="127" t="s">
        <v>399</v>
      </c>
      <c r="C91" s="83"/>
      <c r="D91" s="88">
        <v>19400</v>
      </c>
      <c r="E91" s="90"/>
      <c r="F91" s="149"/>
      <c r="G91" s="162"/>
      <c r="H91" s="162"/>
      <c r="I91" s="162"/>
      <c r="J91" s="162"/>
      <c r="K91" s="162"/>
      <c r="L91" s="123"/>
      <c r="M91" s="123"/>
      <c r="N91" s="123"/>
      <c r="O91" s="123"/>
      <c r="P91" s="123"/>
      <c r="Q91" s="123"/>
      <c r="R91" s="123"/>
      <c r="S91" s="171"/>
      <c r="T91" s="82">
        <v>43550</v>
      </c>
      <c r="U91" s="66">
        <f t="shared" si="21"/>
        <v>0</v>
      </c>
      <c r="V91" s="22"/>
      <c r="W91" s="91">
        <v>19400</v>
      </c>
      <c r="X91" s="251"/>
      <c r="Y91" s="73">
        <f t="shared" si="17"/>
        <v>0</v>
      </c>
      <c r="Z91" s="68"/>
      <c r="AA91" s="69">
        <f t="shared" si="18"/>
        <v>0</v>
      </c>
      <c r="AB91" s="70" t="s">
        <v>12</v>
      </c>
      <c r="AC91" s="67">
        <f t="shared" si="19"/>
        <v>0</v>
      </c>
      <c r="AD91" s="71" t="s">
        <v>12</v>
      </c>
      <c r="AE91" s="67">
        <f>SUMIF(Table2[Milestone/ Line],$B91,Table2[Invoice Amount])</f>
        <v>0</v>
      </c>
      <c r="AF91" s="71" t="s">
        <v>10</v>
      </c>
      <c r="AG91" s="72">
        <f t="shared" si="20"/>
        <v>0</v>
      </c>
      <c r="AI91" s="128"/>
    </row>
    <row r="92" spans="1:35" ht="14.4" customHeight="1" x14ac:dyDescent="0.25">
      <c r="A92" s="65">
        <v>82</v>
      </c>
      <c r="B92" s="127" t="s">
        <v>400</v>
      </c>
      <c r="C92" s="83"/>
      <c r="D92" s="88">
        <v>492989</v>
      </c>
      <c r="E92" s="90"/>
      <c r="F92" s="149"/>
      <c r="G92" s="162"/>
      <c r="H92" s="162"/>
      <c r="I92" s="162"/>
      <c r="J92" s="162"/>
      <c r="K92" s="162"/>
      <c r="L92" s="123"/>
      <c r="M92" s="123"/>
      <c r="N92" s="123"/>
      <c r="O92" s="123"/>
      <c r="P92" s="123"/>
      <c r="Q92" s="123"/>
      <c r="R92" s="123"/>
      <c r="S92" s="171">
        <v>428480</v>
      </c>
      <c r="T92" s="82">
        <v>42987</v>
      </c>
      <c r="U92" s="66">
        <f t="shared" si="21"/>
        <v>0.86914718178296069</v>
      </c>
      <c r="V92" s="22"/>
      <c r="W92" s="91">
        <v>492989</v>
      </c>
      <c r="X92" s="251"/>
      <c r="Y92" s="73">
        <f t="shared" si="17"/>
        <v>428480</v>
      </c>
      <c r="Z92" s="68"/>
      <c r="AA92" s="69">
        <f t="shared" si="18"/>
        <v>428480</v>
      </c>
      <c r="AB92" s="70" t="s">
        <v>12</v>
      </c>
      <c r="AC92" s="67">
        <f t="shared" si="19"/>
        <v>0</v>
      </c>
      <c r="AD92" s="71" t="s">
        <v>12</v>
      </c>
      <c r="AE92" s="67">
        <f>SUMIF(Table2[Milestone/ Line],$B92,Table2[Invoice Amount])</f>
        <v>428480</v>
      </c>
      <c r="AF92" s="71" t="s">
        <v>10</v>
      </c>
      <c r="AG92" s="72">
        <f t="shared" si="20"/>
        <v>0</v>
      </c>
      <c r="AI92" s="128"/>
    </row>
    <row r="93" spans="1:35" ht="14.4" customHeight="1" x14ac:dyDescent="0.25">
      <c r="A93" s="65">
        <v>83</v>
      </c>
      <c r="B93" s="127" t="s">
        <v>401</v>
      </c>
      <c r="C93" s="83"/>
      <c r="D93" s="88">
        <v>499816</v>
      </c>
      <c r="E93" s="90"/>
      <c r="F93" s="149"/>
      <c r="G93" s="162"/>
      <c r="H93" s="162"/>
      <c r="I93" s="162"/>
      <c r="J93" s="162"/>
      <c r="K93" s="162"/>
      <c r="L93" s="123"/>
      <c r="M93" s="123"/>
      <c r="N93" s="123"/>
      <c r="O93" s="123"/>
      <c r="P93" s="123"/>
      <c r="Q93" s="123"/>
      <c r="R93" s="123"/>
      <c r="S93" s="171"/>
      <c r="T93" s="82">
        <v>43017</v>
      </c>
      <c r="U93" s="66">
        <f t="shared" si="21"/>
        <v>0</v>
      </c>
      <c r="V93" s="22"/>
      <c r="W93" s="91">
        <v>499816</v>
      </c>
      <c r="X93" s="279"/>
      <c r="Y93" s="73">
        <f t="shared" si="17"/>
        <v>0</v>
      </c>
      <c r="Z93" s="68"/>
      <c r="AA93" s="69">
        <f t="shared" si="18"/>
        <v>0</v>
      </c>
      <c r="AB93" s="70" t="s">
        <v>12</v>
      </c>
      <c r="AC93" s="67">
        <f t="shared" si="19"/>
        <v>0</v>
      </c>
      <c r="AD93" s="71" t="s">
        <v>12</v>
      </c>
      <c r="AE93" s="67">
        <f>SUMIF(Table2[Milestone/ Line],$B93,Table2[Invoice Amount])</f>
        <v>0</v>
      </c>
      <c r="AF93" s="71" t="s">
        <v>10</v>
      </c>
      <c r="AG93" s="72">
        <f t="shared" si="20"/>
        <v>0</v>
      </c>
      <c r="AI93" s="128"/>
    </row>
    <row r="94" spans="1:35" ht="14.4" customHeight="1" x14ac:dyDescent="0.25">
      <c r="A94" s="65">
        <v>84</v>
      </c>
      <c r="B94" s="127" t="s">
        <v>402</v>
      </c>
      <c r="C94" s="83"/>
      <c r="D94" s="88">
        <v>40000</v>
      </c>
      <c r="E94" s="90"/>
      <c r="F94" s="149"/>
      <c r="G94" s="162"/>
      <c r="H94" s="162"/>
      <c r="I94" s="162"/>
      <c r="J94" s="162"/>
      <c r="K94" s="162"/>
      <c r="L94" s="123"/>
      <c r="M94" s="123"/>
      <c r="N94" s="123"/>
      <c r="O94" s="123"/>
      <c r="P94" s="123"/>
      <c r="Q94" s="123"/>
      <c r="R94" s="123"/>
      <c r="S94" s="171"/>
      <c r="T94" s="82">
        <v>43017</v>
      </c>
      <c r="U94" s="66">
        <f t="shared" si="21"/>
        <v>0</v>
      </c>
      <c r="V94" s="22"/>
      <c r="W94" s="91">
        <v>40000</v>
      </c>
      <c r="X94" s="279"/>
      <c r="Y94" s="73">
        <f t="shared" si="17"/>
        <v>0</v>
      </c>
      <c r="Z94" s="68"/>
      <c r="AA94" s="69">
        <f t="shared" si="18"/>
        <v>0</v>
      </c>
      <c r="AB94" s="70" t="s">
        <v>12</v>
      </c>
      <c r="AC94" s="67">
        <f t="shared" si="19"/>
        <v>0</v>
      </c>
      <c r="AD94" s="71" t="s">
        <v>12</v>
      </c>
      <c r="AE94" s="67">
        <f>SUMIF(Table2[Milestone/ Line],$B94,Table2[Invoice Amount])</f>
        <v>0</v>
      </c>
      <c r="AF94" s="71" t="s">
        <v>10</v>
      </c>
      <c r="AG94" s="72">
        <f t="shared" si="20"/>
        <v>0</v>
      </c>
      <c r="AI94" s="128"/>
    </row>
    <row r="95" spans="1:35" ht="14.4" customHeight="1" x14ac:dyDescent="0.25">
      <c r="A95" s="65">
        <v>85</v>
      </c>
      <c r="B95" s="127"/>
      <c r="C95" s="83"/>
      <c r="D95" s="88"/>
      <c r="E95" s="90"/>
      <c r="F95" s="149"/>
      <c r="G95" s="162"/>
      <c r="H95" s="162"/>
      <c r="I95" s="162"/>
      <c r="J95" s="162"/>
      <c r="K95" s="162"/>
      <c r="L95" s="123"/>
      <c r="M95" s="123"/>
      <c r="N95" s="123"/>
      <c r="O95" s="123"/>
      <c r="P95" s="123"/>
      <c r="Q95" s="123"/>
      <c r="R95" s="123"/>
      <c r="S95" s="171"/>
      <c r="T95" s="82"/>
      <c r="U95" s="66"/>
      <c r="V95" s="22"/>
      <c r="W95" s="91"/>
      <c r="X95" s="279"/>
      <c r="Y95" s="73">
        <f t="shared" si="17"/>
        <v>0</v>
      </c>
      <c r="Z95" s="68"/>
      <c r="AA95" s="69">
        <f t="shared" si="18"/>
        <v>0</v>
      </c>
      <c r="AB95" s="70" t="s">
        <v>12</v>
      </c>
      <c r="AC95" s="67">
        <f t="shared" si="19"/>
        <v>0</v>
      </c>
      <c r="AD95" s="71" t="s">
        <v>12</v>
      </c>
      <c r="AE95" s="67">
        <f>SUMIF(Table2[Milestone/ Line],$B95,Table2[Invoice Amount])</f>
        <v>0</v>
      </c>
      <c r="AF95" s="71" t="s">
        <v>10</v>
      </c>
      <c r="AG95" s="72">
        <f t="shared" si="20"/>
        <v>0</v>
      </c>
      <c r="AI95" s="128"/>
    </row>
    <row r="96" spans="1:35" ht="14.4" customHeight="1" x14ac:dyDescent="0.25">
      <c r="A96" s="65">
        <v>86</v>
      </c>
      <c r="B96" s="127"/>
      <c r="C96" s="83"/>
      <c r="D96" s="88"/>
      <c r="E96" s="90"/>
      <c r="F96" s="149"/>
      <c r="G96" s="162"/>
      <c r="H96" s="162"/>
      <c r="I96" s="162"/>
      <c r="J96" s="162"/>
      <c r="K96" s="162"/>
      <c r="L96" s="123"/>
      <c r="M96" s="123"/>
      <c r="N96" s="123"/>
      <c r="O96" s="123"/>
      <c r="P96" s="123"/>
      <c r="Q96" s="123"/>
      <c r="R96" s="123"/>
      <c r="S96" s="171"/>
      <c r="T96" s="82"/>
      <c r="U96" s="66"/>
      <c r="V96" s="22"/>
      <c r="W96" s="91"/>
      <c r="X96" s="279"/>
      <c r="Y96" s="73">
        <f t="shared" si="17"/>
        <v>0</v>
      </c>
      <c r="Z96" s="68"/>
      <c r="AA96" s="69">
        <f t="shared" si="18"/>
        <v>0</v>
      </c>
      <c r="AB96" s="70" t="s">
        <v>12</v>
      </c>
      <c r="AC96" s="67">
        <f t="shared" si="19"/>
        <v>0</v>
      </c>
      <c r="AD96" s="71" t="s">
        <v>12</v>
      </c>
      <c r="AE96" s="67">
        <f>SUMIF(Table2[Milestone/ Line],$B96,Table2[Invoice Amount])</f>
        <v>0</v>
      </c>
      <c r="AF96" s="71" t="s">
        <v>10</v>
      </c>
      <c r="AG96" s="72">
        <f t="shared" si="20"/>
        <v>0</v>
      </c>
      <c r="AI96" s="128"/>
    </row>
    <row r="97" spans="1:35" ht="14.4" customHeight="1" x14ac:dyDescent="0.25">
      <c r="A97" s="65">
        <v>87</v>
      </c>
      <c r="B97" s="127"/>
      <c r="C97" s="83"/>
      <c r="D97" s="88"/>
      <c r="E97" s="90"/>
      <c r="F97" s="149"/>
      <c r="G97" s="162"/>
      <c r="H97" s="162"/>
      <c r="I97" s="162"/>
      <c r="J97" s="162"/>
      <c r="K97" s="162"/>
      <c r="L97" s="123"/>
      <c r="M97" s="123"/>
      <c r="N97" s="123"/>
      <c r="O97" s="123"/>
      <c r="P97" s="123"/>
      <c r="Q97" s="123"/>
      <c r="R97" s="123"/>
      <c r="S97" s="171"/>
      <c r="T97" s="82"/>
      <c r="U97" s="66"/>
      <c r="V97" s="22"/>
      <c r="W97" s="91"/>
      <c r="X97" s="279"/>
      <c r="Y97" s="73">
        <f t="shared" si="17"/>
        <v>0</v>
      </c>
      <c r="Z97" s="68"/>
      <c r="AA97" s="69">
        <f t="shared" si="18"/>
        <v>0</v>
      </c>
      <c r="AB97" s="70" t="s">
        <v>12</v>
      </c>
      <c r="AC97" s="67">
        <f t="shared" si="19"/>
        <v>0</v>
      </c>
      <c r="AD97" s="71" t="s">
        <v>12</v>
      </c>
      <c r="AE97" s="67">
        <f>SUMIF(Table2[Milestone/ Line],$B97,Table2[Invoice Amount])</f>
        <v>0</v>
      </c>
      <c r="AF97" s="71" t="s">
        <v>10</v>
      </c>
      <c r="AG97" s="72">
        <f t="shared" si="20"/>
        <v>0</v>
      </c>
      <c r="AI97" s="128"/>
    </row>
    <row r="98" spans="1:35" ht="14.4" customHeight="1" x14ac:dyDescent="0.25">
      <c r="A98" s="65">
        <v>88</v>
      </c>
      <c r="B98" s="127"/>
      <c r="C98" s="83"/>
      <c r="D98" s="88"/>
      <c r="E98" s="90"/>
      <c r="F98" s="149"/>
      <c r="G98" s="162"/>
      <c r="H98" s="162"/>
      <c r="I98" s="162"/>
      <c r="J98" s="162"/>
      <c r="K98" s="162"/>
      <c r="L98" s="123"/>
      <c r="M98" s="123"/>
      <c r="N98" s="123"/>
      <c r="O98" s="123"/>
      <c r="P98" s="123"/>
      <c r="Q98" s="123"/>
      <c r="R98" s="123"/>
      <c r="S98" s="171"/>
      <c r="T98" s="82"/>
      <c r="U98" s="66"/>
      <c r="V98" s="22"/>
      <c r="W98" s="91"/>
      <c r="X98" s="279"/>
      <c r="Y98" s="73">
        <f t="shared" si="17"/>
        <v>0</v>
      </c>
      <c r="Z98" s="68"/>
      <c r="AA98" s="69">
        <f t="shared" si="18"/>
        <v>0</v>
      </c>
      <c r="AB98" s="70" t="s">
        <v>12</v>
      </c>
      <c r="AC98" s="67">
        <f t="shared" si="19"/>
        <v>0</v>
      </c>
      <c r="AD98" s="71" t="s">
        <v>12</v>
      </c>
      <c r="AE98" s="67">
        <f>SUMIF(Table2[Milestone/ Line],$B98,Table2[Invoice Amount])</f>
        <v>0</v>
      </c>
      <c r="AF98" s="71" t="s">
        <v>10</v>
      </c>
      <c r="AG98" s="72">
        <f t="shared" si="20"/>
        <v>0</v>
      </c>
      <c r="AI98" s="128"/>
    </row>
    <row r="99" spans="1:35" ht="14.4" customHeight="1" x14ac:dyDescent="0.25">
      <c r="A99" s="65">
        <v>89</v>
      </c>
      <c r="B99" s="127"/>
      <c r="C99" s="83"/>
      <c r="D99" s="88"/>
      <c r="E99" s="90"/>
      <c r="F99" s="149"/>
      <c r="G99" s="162"/>
      <c r="H99" s="162"/>
      <c r="I99" s="162"/>
      <c r="J99" s="162"/>
      <c r="K99" s="162"/>
      <c r="L99" s="123"/>
      <c r="M99" s="123"/>
      <c r="N99" s="123"/>
      <c r="O99" s="123"/>
      <c r="P99" s="123"/>
      <c r="Q99" s="123"/>
      <c r="R99" s="123"/>
      <c r="S99" s="171"/>
      <c r="T99" s="82"/>
      <c r="U99" s="66"/>
      <c r="V99" s="22"/>
      <c r="W99" s="91"/>
      <c r="X99" s="279"/>
      <c r="Y99" s="73">
        <f t="shared" si="17"/>
        <v>0</v>
      </c>
      <c r="Z99" s="68"/>
      <c r="AA99" s="69">
        <f t="shared" si="18"/>
        <v>0</v>
      </c>
      <c r="AB99" s="70" t="s">
        <v>12</v>
      </c>
      <c r="AC99" s="67">
        <f t="shared" si="19"/>
        <v>0</v>
      </c>
      <c r="AD99" s="71" t="s">
        <v>12</v>
      </c>
      <c r="AE99" s="67">
        <f>SUMIF(Table2[Milestone/ Line],$B99,Table2[Invoice Amount])</f>
        <v>0</v>
      </c>
      <c r="AF99" s="71" t="s">
        <v>10</v>
      </c>
      <c r="AG99" s="72">
        <f t="shared" si="20"/>
        <v>0</v>
      </c>
      <c r="AI99" s="128"/>
    </row>
    <row r="100" spans="1:35" ht="14.4" customHeight="1" x14ac:dyDescent="0.25">
      <c r="A100" s="65">
        <v>90</v>
      </c>
      <c r="B100" s="127"/>
      <c r="C100" s="83"/>
      <c r="D100" s="88"/>
      <c r="E100" s="90"/>
      <c r="F100" s="149"/>
      <c r="G100" s="162"/>
      <c r="H100" s="162"/>
      <c r="I100" s="162"/>
      <c r="J100" s="162"/>
      <c r="K100" s="162"/>
      <c r="L100" s="123"/>
      <c r="M100" s="123"/>
      <c r="N100" s="123"/>
      <c r="O100" s="123"/>
      <c r="P100" s="123"/>
      <c r="Q100" s="123"/>
      <c r="R100" s="123"/>
      <c r="S100" s="171"/>
      <c r="T100" s="82"/>
      <c r="U100" s="66"/>
      <c r="V100" s="22"/>
      <c r="W100" s="91"/>
      <c r="X100" s="279"/>
      <c r="Y100" s="73">
        <f t="shared" si="17"/>
        <v>0</v>
      </c>
      <c r="Z100" s="68"/>
      <c r="AA100" s="69">
        <f t="shared" si="18"/>
        <v>0</v>
      </c>
      <c r="AB100" s="70" t="s">
        <v>12</v>
      </c>
      <c r="AC100" s="67">
        <f t="shared" si="19"/>
        <v>0</v>
      </c>
      <c r="AD100" s="71" t="s">
        <v>12</v>
      </c>
      <c r="AE100" s="67">
        <f>SUMIF(Table2[Milestone/ Line],$B100,Table2[Invoice Amount])</f>
        <v>0</v>
      </c>
      <c r="AF100" s="71" t="s">
        <v>10</v>
      </c>
      <c r="AG100" s="72">
        <f t="shared" si="20"/>
        <v>0</v>
      </c>
      <c r="AI100" s="128"/>
    </row>
    <row r="101" spans="1:35" ht="14.4" customHeight="1" x14ac:dyDescent="0.25">
      <c r="A101" s="65">
        <v>91</v>
      </c>
      <c r="B101" s="127"/>
      <c r="C101" s="83"/>
      <c r="D101" s="88"/>
      <c r="E101" s="90"/>
      <c r="F101" s="149"/>
      <c r="G101" s="162"/>
      <c r="H101" s="162"/>
      <c r="I101" s="162"/>
      <c r="J101" s="162"/>
      <c r="K101" s="162"/>
      <c r="L101" s="123"/>
      <c r="M101" s="123"/>
      <c r="N101" s="123"/>
      <c r="O101" s="123"/>
      <c r="P101" s="123"/>
      <c r="Q101" s="123"/>
      <c r="R101" s="123"/>
      <c r="S101" s="171"/>
      <c r="T101" s="82"/>
      <c r="U101" s="66"/>
      <c r="V101" s="22"/>
      <c r="W101" s="91"/>
      <c r="X101" s="279"/>
      <c r="Y101" s="73">
        <f t="shared" si="17"/>
        <v>0</v>
      </c>
      <c r="Z101" s="68"/>
      <c r="AA101" s="69">
        <f t="shared" si="18"/>
        <v>0</v>
      </c>
      <c r="AB101" s="70" t="s">
        <v>12</v>
      </c>
      <c r="AC101" s="67">
        <f t="shared" si="19"/>
        <v>0</v>
      </c>
      <c r="AD101" s="71" t="s">
        <v>12</v>
      </c>
      <c r="AE101" s="67">
        <f>SUMIF(Table2[Milestone/ Line],$B101,Table2[Invoice Amount])</f>
        <v>0</v>
      </c>
      <c r="AF101" s="71" t="s">
        <v>10</v>
      </c>
      <c r="AG101" s="72">
        <f t="shared" si="20"/>
        <v>0</v>
      </c>
      <c r="AI101" s="128"/>
    </row>
    <row r="102" spans="1:35" ht="14.4" customHeight="1" x14ac:dyDescent="0.25">
      <c r="A102" s="65">
        <v>92</v>
      </c>
      <c r="B102" s="127"/>
      <c r="C102" s="83"/>
      <c r="D102" s="88"/>
      <c r="E102" s="90"/>
      <c r="F102" s="149"/>
      <c r="G102" s="162"/>
      <c r="H102" s="162"/>
      <c r="I102" s="162"/>
      <c r="J102" s="162"/>
      <c r="K102" s="162"/>
      <c r="L102" s="123"/>
      <c r="M102" s="123"/>
      <c r="N102" s="123"/>
      <c r="O102" s="123"/>
      <c r="P102" s="123"/>
      <c r="Q102" s="123"/>
      <c r="R102" s="123"/>
      <c r="S102" s="171"/>
      <c r="T102" s="82"/>
      <c r="U102" s="66"/>
      <c r="V102" s="22"/>
      <c r="W102" s="91"/>
      <c r="X102" s="279"/>
      <c r="Y102" s="73">
        <f t="shared" si="17"/>
        <v>0</v>
      </c>
      <c r="Z102" s="68"/>
      <c r="AA102" s="69">
        <f t="shared" si="18"/>
        <v>0</v>
      </c>
      <c r="AB102" s="70" t="s">
        <v>12</v>
      </c>
      <c r="AC102" s="67">
        <f t="shared" si="19"/>
        <v>0</v>
      </c>
      <c r="AD102" s="71" t="s">
        <v>12</v>
      </c>
      <c r="AE102" s="67">
        <f>SUMIF(Table2[Milestone/ Line],$B102,Table2[Invoice Amount])</f>
        <v>0</v>
      </c>
      <c r="AF102" s="71" t="s">
        <v>10</v>
      </c>
      <c r="AG102" s="72">
        <f t="shared" si="20"/>
        <v>0</v>
      </c>
      <c r="AI102" s="128"/>
    </row>
    <row r="103" spans="1:35" ht="14.4" customHeight="1" x14ac:dyDescent="0.25">
      <c r="A103" s="65">
        <v>93</v>
      </c>
      <c r="B103" s="127"/>
      <c r="C103" s="83"/>
      <c r="D103" s="88"/>
      <c r="E103" s="90"/>
      <c r="F103" s="149"/>
      <c r="G103" s="162"/>
      <c r="H103" s="162"/>
      <c r="I103" s="162"/>
      <c r="J103" s="162"/>
      <c r="K103" s="162"/>
      <c r="L103" s="123"/>
      <c r="M103" s="123"/>
      <c r="N103" s="123"/>
      <c r="O103" s="123"/>
      <c r="P103" s="123"/>
      <c r="Q103" s="123"/>
      <c r="R103" s="123"/>
      <c r="S103" s="171"/>
      <c r="T103" s="82"/>
      <c r="U103" s="66"/>
      <c r="V103" s="22"/>
      <c r="W103" s="91"/>
      <c r="X103" s="279"/>
      <c r="Y103" s="73">
        <f t="shared" si="17"/>
        <v>0</v>
      </c>
      <c r="Z103" s="68"/>
      <c r="AA103" s="69">
        <f t="shared" si="18"/>
        <v>0</v>
      </c>
      <c r="AB103" s="70" t="s">
        <v>12</v>
      </c>
      <c r="AC103" s="67">
        <f t="shared" si="19"/>
        <v>0</v>
      </c>
      <c r="AD103" s="71" t="s">
        <v>12</v>
      </c>
      <c r="AE103" s="67">
        <f>SUMIF(Table2[Milestone/ Line],$B103,Table2[Invoice Amount])</f>
        <v>0</v>
      </c>
      <c r="AF103" s="71" t="s">
        <v>10</v>
      </c>
      <c r="AG103" s="72">
        <f t="shared" si="20"/>
        <v>0</v>
      </c>
      <c r="AI103" s="128"/>
    </row>
    <row r="104" spans="1:35" ht="14.4" customHeight="1" x14ac:dyDescent="0.25">
      <c r="A104" s="65">
        <v>94</v>
      </c>
      <c r="B104" s="127"/>
      <c r="C104" s="83"/>
      <c r="D104" s="88"/>
      <c r="E104" s="90"/>
      <c r="F104" s="149"/>
      <c r="G104" s="162"/>
      <c r="H104" s="162"/>
      <c r="I104" s="162"/>
      <c r="J104" s="162"/>
      <c r="K104" s="162"/>
      <c r="L104" s="123"/>
      <c r="M104" s="123"/>
      <c r="N104" s="123"/>
      <c r="O104" s="123"/>
      <c r="P104" s="123"/>
      <c r="Q104" s="123"/>
      <c r="R104" s="123"/>
      <c r="S104" s="171"/>
      <c r="T104" s="82"/>
      <c r="U104" s="66"/>
      <c r="V104" s="22"/>
      <c r="W104" s="91"/>
      <c r="X104" s="251"/>
      <c r="Y104" s="73"/>
      <c r="Z104" s="68"/>
      <c r="AA104" s="69"/>
      <c r="AB104" s="70"/>
      <c r="AC104" s="67"/>
      <c r="AD104" s="71"/>
      <c r="AE104" s="67"/>
      <c r="AF104" s="71"/>
      <c r="AG104" s="72"/>
      <c r="AI104" s="128"/>
    </row>
    <row r="105" spans="1:35" ht="14.4" customHeight="1" x14ac:dyDescent="0.25">
      <c r="A105" s="129" t="s">
        <v>108</v>
      </c>
      <c r="B105" s="130"/>
      <c r="C105" s="130"/>
      <c r="D105" s="131">
        <f>SUBTOTAL(109,' Accting USE Data Entry Form'!$W$11:$W$104)</f>
        <v>22712898.600000001</v>
      </c>
      <c r="E105" s="131"/>
      <c r="F105" s="131"/>
      <c r="G105" s="131"/>
      <c r="H105" s="198">
        <f>SUM(H11:H104)</f>
        <v>30647.559999999998</v>
      </c>
      <c r="I105" s="198"/>
      <c r="J105" s="131"/>
      <c r="K105" s="131"/>
      <c r="L105" s="131"/>
      <c r="M105" s="131"/>
      <c r="N105" s="131"/>
      <c r="O105" s="131"/>
      <c r="P105" s="131"/>
      <c r="Q105" s="131"/>
      <c r="R105" s="132"/>
      <c r="S105" s="132"/>
      <c r="T105" s="133"/>
      <c r="U105" s="134"/>
      <c r="V105" s="75"/>
      <c r="W105" s="131">
        <f>SUM(W11:W104)</f>
        <v>22712898.600000001</v>
      </c>
      <c r="X105" s="126"/>
      <c r="Y105" s="135">
        <f>SUBTOTAL(109,' Accting USE Data Entry Form'!$Y$11:$Y$104)</f>
        <v>8875057.2719219103</v>
      </c>
      <c r="Z105" s="136"/>
      <c r="AA105" s="137">
        <f>SUBTOTAL(109,' Accting USE Data Entry Form'!$AA$11:$AA$104)</f>
        <v>8875057.2719219103</v>
      </c>
      <c r="AB105" s="61"/>
      <c r="AC105" s="135">
        <f>SUBTOTAL(109,' Accting USE Data Entry Form'!$AC$11:$AC$104)</f>
        <v>1129093.8519219111</v>
      </c>
      <c r="AD105" s="61"/>
      <c r="AE105" s="135">
        <f>SUBTOTAL(109,' Accting USE Data Entry Form'!$AE$11:$AE$104)</f>
        <v>7745963.4199999999</v>
      </c>
      <c r="AF105" s="61"/>
      <c r="AG105" s="138">
        <f>SUBTOTAL(109,' Accting USE Data Entry Form'!$AG$11:$AG$104)</f>
        <v>0</v>
      </c>
      <c r="AH105" s="51">
        <f>SUBTOTAL(103,' Accting USE Data Entry Form'!$AH$11:$AH$104)</f>
        <v>3</v>
      </c>
      <c r="AI105"/>
    </row>
    <row r="106" spans="1:35" ht="14.4" customHeight="1" x14ac:dyDescent="0.25"/>
    <row r="107" spans="1:35" ht="14.4" customHeight="1" thickBot="1" x14ac:dyDescent="0.3">
      <c r="A107" s="62" t="s">
        <v>7</v>
      </c>
      <c r="X107" s="297"/>
      <c r="Y107" s="297"/>
      <c r="Z107" s="297"/>
      <c r="AA107" s="297"/>
      <c r="AB107" s="297"/>
      <c r="AC107" s="297"/>
      <c r="AD107" s="75"/>
      <c r="AE107" s="46">
        <f>Form!K5</f>
        <v>42855</v>
      </c>
    </row>
    <row r="108" spans="1:35" ht="14.4" customHeight="1" x14ac:dyDescent="0.25">
      <c r="X108" s="59"/>
      <c r="Y108" s="60"/>
      <c r="Z108" s="59"/>
      <c r="AA108" s="76"/>
      <c r="AE108" s="77" t="s">
        <v>3</v>
      </c>
    </row>
    <row r="109" spans="1:35" ht="14.4" customHeight="1" x14ac:dyDescent="0.25">
      <c r="X109" s="59"/>
      <c r="Y109" s="60"/>
      <c r="Z109" s="59"/>
      <c r="AA109" s="76"/>
      <c r="AE109" s="77"/>
    </row>
    <row r="110" spans="1:35" x14ac:dyDescent="0.25">
      <c r="A110" s="62" t="s">
        <v>8</v>
      </c>
      <c r="X110" s="59"/>
      <c r="Y110" s="78"/>
      <c r="Z110" s="22"/>
      <c r="AA110" s="79"/>
      <c r="AB110" s="75"/>
      <c r="AC110" s="80"/>
      <c r="AE110" s="64"/>
    </row>
    <row r="111" spans="1:35" x14ac:dyDescent="0.25">
      <c r="AE111" s="77" t="s">
        <v>3</v>
      </c>
    </row>
  </sheetData>
  <sheetProtection selectLockedCells="1"/>
  <mergeCells count="7">
    <mergeCell ref="X107:AC107"/>
    <mergeCell ref="U5:Z5"/>
    <mergeCell ref="U7:X7"/>
    <mergeCell ref="U8:W8"/>
    <mergeCell ref="A1:AG1"/>
    <mergeCell ref="A2:AG2"/>
    <mergeCell ref="A3:AG3"/>
  </mergeCells>
  <phoneticPr fontId="6" type="noConversion"/>
  <conditionalFormatting sqref="A11:AF61 A104:AF1043 A62:X103">
    <cfRule type="expression" dxfId="10" priority="3" stopIfTrue="1">
      <formula>AND($U11=100%,$AC11=0)</formula>
    </cfRule>
    <cfRule type="expression" dxfId="9" priority="4">
      <formula>$U11=100%</formula>
    </cfRule>
  </conditionalFormatting>
  <conditionalFormatting sqref="Y62:AF103">
    <cfRule type="expression" dxfId="1" priority="1" stopIfTrue="1">
      <formula>AND($U62=100%,$AC62=0)</formula>
    </cfRule>
    <cfRule type="expression" dxfId="0" priority="2">
      <formula>$U62=100%</formula>
    </cfRule>
  </conditionalFormatting>
  <pageMargins left="0.75" right="0.75" top="1" bottom="1" header="0.5" footer="0.5"/>
  <pageSetup scale="59" orientation="landscape" horizontalDpi="200" verticalDpi="200" r:id="rId1"/>
  <headerFooter alignWithMargins="0">
    <oddFooter>&amp;L&amp;Z&amp;F &amp;A</oddFooter>
  </headerFooter>
  <ignoredErrors>
    <ignoredError sqref="AE107" unlockedFormula="1"/>
  </ignoredErrors>
  <extLst>
    <ext xmlns:x14="http://schemas.microsoft.com/office/spreadsheetml/2009/9/main" uri="{CCE6A557-97BC-4b89-ADB6-D9C93CAAB3DF}">
      <x14:dataValidations xmlns:xm="http://schemas.microsoft.com/office/excel/2006/main" count="1">
        <x14:dataValidation type="list" allowBlank="1">
          <x14:formula1>
            <xm:f>List!$A$4:$A$24</xm:f>
          </x14:formula1>
          <xm:sqref>E11:E104 G11:K104 F59:F104 U11:U104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6" zoomScale="70" zoomScaleNormal="70" workbookViewId="0">
      <pane xSplit="4" ySplit="5" topLeftCell="E28" activePane="bottomRight" state="frozen"/>
      <selection activeCell="A6" sqref="A6"/>
      <selection pane="topRight" activeCell="E6" sqref="E6"/>
      <selection pane="bottomLeft" activeCell="A11" sqref="A11"/>
      <selection pane="bottomRight" activeCell="F24" sqref="F24:F61"/>
    </sheetView>
  </sheetViews>
  <sheetFormatPr defaultColWidth="29.5546875" defaultRowHeight="13.2" x14ac:dyDescent="0.25"/>
  <cols>
    <col min="1" max="1" width="7" style="62" customWidth="1"/>
    <col min="2" max="2" width="56.109375" style="51" customWidth="1"/>
    <col min="3" max="3" width="14.33203125" style="51" customWidth="1"/>
    <col min="4" max="4" width="8.77734375" style="51" customWidth="1"/>
    <col min="5" max="5" width="11.5546875" style="51" customWidth="1"/>
    <col min="6" max="6" width="13.33203125" style="51" bestFit="1" customWidth="1"/>
    <col min="7" max="16" width="9.6640625" style="51" customWidth="1"/>
    <col min="17" max="17" width="9.6640625" style="157" customWidth="1"/>
    <col min="18" max="18" width="12.5546875" style="51" customWidth="1"/>
    <col min="19" max="19" width="16.21875" style="157" customWidth="1"/>
    <col min="20" max="20" width="4.109375" style="51" customWidth="1"/>
    <col min="21" max="21" width="14.88671875" style="51" customWidth="1"/>
    <col min="22" max="22" width="3.88671875" style="157" customWidth="1"/>
    <col min="23" max="23" width="15.77734375" style="154" customWidth="1"/>
    <col min="24" max="24" width="3.88671875" style="157" customWidth="1"/>
    <col min="25" max="25" width="12.44140625" style="51" customWidth="1"/>
    <col min="26" max="26" width="2.44140625" style="51" customWidth="1"/>
    <col min="27" max="27" width="10.77734375" style="154" customWidth="1"/>
    <col min="28" max="28" width="2.44140625" style="51" customWidth="1"/>
    <col min="29" max="29" width="14.44140625" style="154" customWidth="1"/>
    <col min="30" max="30" width="5" style="51" customWidth="1"/>
    <col min="31" max="31" width="18.77734375" style="154" customWidth="1"/>
    <col min="32" max="16384" width="29.5546875" style="51"/>
  </cols>
  <sheetData>
    <row r="1" spans="1:32" ht="15.6" x14ac:dyDescent="0.3">
      <c r="A1" s="291" t="s">
        <v>4</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row>
    <row r="2" spans="1:32" x14ac:dyDescent="0.25">
      <c r="A2" s="290" t="s">
        <v>9</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row>
    <row r="3" spans="1:32" x14ac:dyDescent="0.25">
      <c r="A3" s="290" t="s">
        <v>19</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5" spans="1:32" ht="15" customHeight="1" x14ac:dyDescent="0.25">
      <c r="A5" s="56"/>
      <c r="B5" s="155" t="s">
        <v>0</v>
      </c>
      <c r="C5" s="155"/>
      <c r="D5" s="155"/>
      <c r="E5" s="155"/>
      <c r="F5" s="155"/>
      <c r="G5" s="155"/>
      <c r="H5" s="155"/>
      <c r="I5" s="155"/>
      <c r="J5" s="155"/>
      <c r="K5" s="155"/>
      <c r="L5" s="155"/>
      <c r="M5" s="155"/>
      <c r="N5" s="155"/>
      <c r="O5" s="155"/>
      <c r="P5" s="155"/>
      <c r="Q5" s="155"/>
      <c r="R5" s="154"/>
      <c r="S5" s="284" t="s">
        <v>56</v>
      </c>
      <c r="T5" s="284"/>
      <c r="U5" s="284"/>
      <c r="V5" s="284"/>
      <c r="W5" s="284"/>
      <c r="X5" s="284"/>
      <c r="Y5" s="59"/>
      <c r="Z5" s="59" t="s">
        <v>26</v>
      </c>
      <c r="AC5" s="93">
        <v>42735</v>
      </c>
    </row>
    <row r="6" spans="1:32" x14ac:dyDescent="0.25">
      <c r="A6" s="58"/>
      <c r="B6" s="154"/>
      <c r="C6" s="154"/>
      <c r="D6" s="154"/>
      <c r="E6" s="154"/>
      <c r="F6" s="154"/>
      <c r="G6" s="154"/>
      <c r="H6" s="154"/>
      <c r="I6" s="154"/>
      <c r="J6" s="154"/>
      <c r="K6" s="154"/>
      <c r="L6" s="154"/>
      <c r="M6" s="154"/>
      <c r="N6" s="154"/>
      <c r="O6" s="154"/>
      <c r="P6" s="154"/>
      <c r="Q6" s="61"/>
      <c r="R6" s="154"/>
      <c r="W6" s="60"/>
      <c r="Z6" s="59"/>
      <c r="AC6" s="61" t="s">
        <v>6</v>
      </c>
    </row>
    <row r="7" spans="1:32" ht="13.2" customHeight="1" x14ac:dyDescent="0.25">
      <c r="A7" s="154"/>
      <c r="B7" s="52" t="s">
        <v>2</v>
      </c>
      <c r="C7" s="52"/>
      <c r="D7" s="52"/>
      <c r="E7" s="52"/>
      <c r="F7" s="52"/>
      <c r="G7" s="52"/>
      <c r="H7" s="52"/>
      <c r="I7" s="52"/>
      <c r="J7" s="52"/>
      <c r="K7" s="52"/>
      <c r="L7" s="52"/>
      <c r="M7" s="52"/>
      <c r="N7" s="52"/>
      <c r="O7" s="52"/>
      <c r="P7" s="52"/>
      <c r="Q7" s="52"/>
      <c r="R7" s="154"/>
      <c r="S7" s="298" t="s">
        <v>50</v>
      </c>
      <c r="T7" s="298"/>
      <c r="U7" s="298"/>
      <c r="V7" s="298"/>
      <c r="Z7" s="59"/>
      <c r="AA7" s="47" t="s">
        <v>16</v>
      </c>
      <c r="AC7" s="60"/>
    </row>
    <row r="8" spans="1:32" x14ac:dyDescent="0.25">
      <c r="B8" s="53" t="s">
        <v>41</v>
      </c>
      <c r="C8" s="53"/>
      <c r="D8" s="53"/>
      <c r="E8" s="53"/>
      <c r="F8" s="53"/>
      <c r="G8" s="53"/>
      <c r="H8" s="53"/>
      <c r="I8" s="53"/>
      <c r="J8" s="53"/>
      <c r="K8" s="53"/>
      <c r="L8" s="53"/>
      <c r="M8" s="53"/>
      <c r="N8" s="53"/>
      <c r="O8" s="53"/>
      <c r="P8" s="53"/>
      <c r="Q8" s="53"/>
      <c r="R8" s="59"/>
      <c r="S8" s="299" t="s">
        <v>57</v>
      </c>
      <c r="T8" s="299"/>
      <c r="U8" s="299"/>
      <c r="V8" s="63"/>
      <c r="Z8" s="59" t="s">
        <v>17</v>
      </c>
      <c r="AC8" s="64"/>
    </row>
    <row r="9" spans="1:32" x14ac:dyDescent="0.25">
      <c r="B9" s="53"/>
      <c r="C9" s="53"/>
      <c r="D9" s="53"/>
      <c r="E9" s="53"/>
      <c r="F9" s="53"/>
      <c r="G9" s="53"/>
      <c r="H9" s="53"/>
      <c r="I9" s="53"/>
      <c r="J9" s="53"/>
      <c r="K9" s="53"/>
      <c r="L9" s="53"/>
      <c r="M9" s="53"/>
      <c r="N9" s="53"/>
      <c r="O9" s="53"/>
      <c r="P9" s="53"/>
      <c r="Q9" s="53"/>
      <c r="R9" s="59"/>
      <c r="S9" s="120"/>
      <c r="T9" s="120"/>
      <c r="U9" s="120"/>
      <c r="V9" s="63"/>
      <c r="Z9" s="59"/>
      <c r="AC9" s="64"/>
    </row>
    <row r="10" spans="1:32" s="77" customFormat="1" ht="44.4" customHeight="1" x14ac:dyDescent="0.25">
      <c r="A10" s="142" t="s">
        <v>1</v>
      </c>
      <c r="B10" s="142" t="s">
        <v>48</v>
      </c>
      <c r="C10" s="142" t="s">
        <v>24</v>
      </c>
      <c r="D10" s="142" t="s">
        <v>211</v>
      </c>
      <c r="E10" s="158">
        <v>42675</v>
      </c>
      <c r="F10" s="156">
        <v>42705</v>
      </c>
      <c r="G10" s="156">
        <v>42736</v>
      </c>
      <c r="H10" s="156">
        <v>42767</v>
      </c>
      <c r="I10" s="156">
        <v>42795</v>
      </c>
      <c r="J10" s="156">
        <v>42826</v>
      </c>
      <c r="K10" s="156">
        <v>42856</v>
      </c>
      <c r="L10" s="156">
        <v>42887</v>
      </c>
      <c r="M10" s="156">
        <v>42917</v>
      </c>
      <c r="N10" s="156">
        <v>42948</v>
      </c>
      <c r="O10" s="156">
        <v>42979</v>
      </c>
      <c r="P10" s="156">
        <v>43009</v>
      </c>
      <c r="Q10" s="156">
        <v>43040</v>
      </c>
      <c r="R10" s="142" t="s">
        <v>51</v>
      </c>
      <c r="S10" s="142" t="s">
        <v>5</v>
      </c>
      <c r="T10" s="143" t="s">
        <v>107</v>
      </c>
      <c r="U10" s="142" t="s">
        <v>209</v>
      </c>
      <c r="V10" s="144" t="s">
        <v>10</v>
      </c>
      <c r="W10" s="142" t="s">
        <v>11</v>
      </c>
      <c r="X10" s="145" t="s">
        <v>194</v>
      </c>
      <c r="Y10" s="142" t="s">
        <v>196</v>
      </c>
      <c r="Z10" s="143" t="s">
        <v>12</v>
      </c>
      <c r="AA10" s="142" t="s">
        <v>15</v>
      </c>
      <c r="AB10" s="144" t="s">
        <v>197</v>
      </c>
      <c r="AC10" s="142" t="s">
        <v>13</v>
      </c>
      <c r="AD10" s="144" t="s">
        <v>198</v>
      </c>
      <c r="AE10" s="142" t="s">
        <v>14</v>
      </c>
      <c r="AF10" s="77" t="s">
        <v>195</v>
      </c>
    </row>
    <row r="11" spans="1:32" ht="14.4" customHeight="1" x14ac:dyDescent="0.25">
      <c r="A11" s="65">
        <v>1</v>
      </c>
      <c r="B11" s="83" t="s">
        <v>49</v>
      </c>
      <c r="C11" s="91">
        <v>157470</v>
      </c>
      <c r="D11" s="66">
        <v>1</v>
      </c>
      <c r="E11" s="147"/>
      <c r="F11" s="122"/>
      <c r="G11" s="122"/>
      <c r="H11" s="122"/>
      <c r="I11" s="122"/>
      <c r="J11" s="122"/>
      <c r="K11" s="123"/>
      <c r="L11" s="123"/>
      <c r="M11" s="123"/>
      <c r="N11" s="123"/>
      <c r="O11" s="123"/>
      <c r="P11" s="123"/>
      <c r="Q11" s="122"/>
      <c r="R11" s="81">
        <v>42248</v>
      </c>
      <c r="S11" s="164">
        <f t="shared" ref="S11:S22" si="0">IF(D11&lt;1,SUM(E11:Q11)/C11+D11,1)</f>
        <v>1</v>
      </c>
      <c r="T11" s="22" t="s">
        <v>27</v>
      </c>
      <c r="U11" s="91">
        <f t="shared" ref="U11:U42" si="1">C11</f>
        <v>157470</v>
      </c>
      <c r="V11" s="157" t="s">
        <v>10</v>
      </c>
      <c r="W11" s="67">
        <f t="shared" ref="W11:W61" si="2">S11*U11</f>
        <v>157470</v>
      </c>
      <c r="X11" s="68"/>
      <c r="Y11" s="69">
        <f t="shared" ref="Y11:Y16" si="3">+W11</f>
        <v>157470</v>
      </c>
      <c r="Z11" s="70" t="s">
        <v>12</v>
      </c>
      <c r="AA11" s="67">
        <f t="shared" ref="AA11:AA61" si="4">Y11-AC11</f>
        <v>0</v>
      </c>
      <c r="AB11" s="71" t="s">
        <v>12</v>
      </c>
      <c r="AC11" s="67">
        <f>SUMIF(Invoices!$E$2:$E$1048576,' Accting USE Data Entry Form'!B11,Invoices!$F$2:$F$1048576)</f>
        <v>157470</v>
      </c>
      <c r="AD11" s="71" t="s">
        <v>10</v>
      </c>
      <c r="AE11" s="72">
        <f>+Y11-AA11-AC11</f>
        <v>0</v>
      </c>
    </row>
    <row r="12" spans="1:32" ht="14.4" customHeight="1" x14ac:dyDescent="0.25">
      <c r="A12" s="65">
        <v>2</v>
      </c>
      <c r="B12" s="83" t="s">
        <v>47</v>
      </c>
      <c r="C12" s="92">
        <v>157470</v>
      </c>
      <c r="D12" s="66">
        <v>1</v>
      </c>
      <c r="E12" s="147"/>
      <c r="F12" s="122"/>
      <c r="G12" s="122"/>
      <c r="H12" s="122"/>
      <c r="I12" s="122"/>
      <c r="J12" s="122"/>
      <c r="K12" s="123"/>
      <c r="L12" s="123"/>
      <c r="M12" s="123"/>
      <c r="N12" s="123"/>
      <c r="O12" s="123"/>
      <c r="P12" s="123"/>
      <c r="Q12" s="122"/>
      <c r="R12" s="81">
        <v>42309</v>
      </c>
      <c r="S12" s="164">
        <f t="shared" si="0"/>
        <v>1</v>
      </c>
      <c r="T12" s="22" t="s">
        <v>27</v>
      </c>
      <c r="U12" s="91">
        <f t="shared" si="1"/>
        <v>157470</v>
      </c>
      <c r="V12" s="157" t="s">
        <v>10</v>
      </c>
      <c r="W12" s="67">
        <f t="shared" si="2"/>
        <v>157470</v>
      </c>
      <c r="X12" s="68"/>
      <c r="Y12" s="69">
        <f t="shared" si="3"/>
        <v>157470</v>
      </c>
      <c r="Z12" s="70" t="s">
        <v>12</v>
      </c>
      <c r="AA12" s="67">
        <f t="shared" si="4"/>
        <v>0</v>
      </c>
      <c r="AB12" s="71" t="s">
        <v>12</v>
      </c>
      <c r="AC12" s="67">
        <f>SUMIF(Invoices!$E$2:$E$1048576,' Accting USE Data Entry Form'!B12,Invoices!$F$2:$F$1048576)</f>
        <v>157470</v>
      </c>
      <c r="AD12" s="71" t="s">
        <v>10</v>
      </c>
      <c r="AE12" s="72">
        <f>+Y12-AA12-AC12</f>
        <v>0</v>
      </c>
    </row>
    <row r="13" spans="1:32" ht="14.4" customHeight="1" x14ac:dyDescent="0.25">
      <c r="A13" s="65">
        <v>3</v>
      </c>
      <c r="B13" s="83" t="s">
        <v>53</v>
      </c>
      <c r="C13" s="92">
        <v>104980</v>
      </c>
      <c r="D13" s="66">
        <v>1</v>
      </c>
      <c r="E13" s="147"/>
      <c r="F13" s="122"/>
      <c r="G13" s="122"/>
      <c r="H13" s="122"/>
      <c r="I13" s="122"/>
      <c r="J13" s="122"/>
      <c r="K13" s="123"/>
      <c r="L13" s="123"/>
      <c r="M13" s="123"/>
      <c r="N13" s="123"/>
      <c r="O13" s="123"/>
      <c r="P13" s="123"/>
      <c r="Q13" s="122"/>
      <c r="R13" s="82">
        <v>42339</v>
      </c>
      <c r="S13" s="164">
        <f t="shared" si="0"/>
        <v>1</v>
      </c>
      <c r="T13" s="22" t="s">
        <v>27</v>
      </c>
      <c r="U13" s="91">
        <f t="shared" si="1"/>
        <v>104980</v>
      </c>
      <c r="V13" s="157" t="s">
        <v>10</v>
      </c>
      <c r="W13" s="67">
        <f t="shared" si="2"/>
        <v>104980</v>
      </c>
      <c r="X13" s="68"/>
      <c r="Y13" s="69">
        <f t="shared" si="3"/>
        <v>104980</v>
      </c>
      <c r="Z13" s="70" t="s">
        <v>12</v>
      </c>
      <c r="AA13" s="67">
        <f t="shared" si="4"/>
        <v>0</v>
      </c>
      <c r="AB13" s="71" t="s">
        <v>12</v>
      </c>
      <c r="AC13" s="67">
        <f>SUMIF(Invoices!$E$2:$E$1048576,' Accting USE Data Entry Form'!B13,Invoices!$F$2:$F$1048576)</f>
        <v>104980</v>
      </c>
      <c r="AD13" s="71" t="s">
        <v>10</v>
      </c>
      <c r="AE13" s="72">
        <f>+Y13-AA13-AC13</f>
        <v>0</v>
      </c>
    </row>
    <row r="14" spans="1:32" ht="14.4" customHeight="1" x14ac:dyDescent="0.25">
      <c r="A14" s="65">
        <v>4</v>
      </c>
      <c r="B14" s="83" t="s">
        <v>54</v>
      </c>
      <c r="C14" s="92">
        <v>104980</v>
      </c>
      <c r="D14" s="66">
        <v>1</v>
      </c>
      <c r="E14" s="147"/>
      <c r="F14" s="122"/>
      <c r="G14" s="122"/>
      <c r="H14" s="122"/>
      <c r="I14" s="122"/>
      <c r="J14" s="122"/>
      <c r="K14" s="123"/>
      <c r="L14" s="123"/>
      <c r="M14" s="123"/>
      <c r="N14" s="123"/>
      <c r="O14" s="123"/>
      <c r="P14" s="123"/>
      <c r="Q14" s="122"/>
      <c r="R14" s="82">
        <f>R11+180</f>
        <v>42428</v>
      </c>
      <c r="S14" s="164">
        <f t="shared" si="0"/>
        <v>1</v>
      </c>
      <c r="T14" s="22" t="s">
        <v>27</v>
      </c>
      <c r="U14" s="91">
        <f t="shared" si="1"/>
        <v>104980</v>
      </c>
      <c r="V14" s="157" t="s">
        <v>10</v>
      </c>
      <c r="W14" s="67">
        <f t="shared" si="2"/>
        <v>104980</v>
      </c>
      <c r="X14" s="68"/>
      <c r="Y14" s="69">
        <f t="shared" si="3"/>
        <v>104980</v>
      </c>
      <c r="Z14" s="70" t="s">
        <v>12</v>
      </c>
      <c r="AA14" s="67">
        <f t="shared" si="4"/>
        <v>0</v>
      </c>
      <c r="AB14" s="71" t="s">
        <v>12</v>
      </c>
      <c r="AC14" s="67">
        <f>SUMIF(Invoices!$E$2:$E$1048576,' Accting USE Data Entry Form'!B14,Invoices!$F$2:$F$1048576)</f>
        <v>104980</v>
      </c>
      <c r="AD14" s="71" t="s">
        <v>10</v>
      </c>
      <c r="AE14" s="72">
        <f>+Y14-AA14-AC14</f>
        <v>0</v>
      </c>
    </row>
    <row r="15" spans="1:32" ht="14.4" customHeight="1" x14ac:dyDescent="0.25">
      <c r="A15" s="65">
        <v>5</v>
      </c>
      <c r="B15" s="83" t="s">
        <v>104</v>
      </c>
      <c r="C15" s="92">
        <v>317520</v>
      </c>
      <c r="D15" s="66">
        <v>1</v>
      </c>
      <c r="E15" s="147"/>
      <c r="F15" s="122"/>
      <c r="G15" s="122"/>
      <c r="H15" s="122"/>
      <c r="I15" s="122"/>
      <c r="J15" s="122"/>
      <c r="K15" s="123"/>
      <c r="L15" s="123"/>
      <c r="M15" s="123"/>
      <c r="N15" s="123"/>
      <c r="O15" s="123"/>
      <c r="P15" s="123"/>
      <c r="Q15" s="122"/>
      <c r="R15" s="81">
        <v>42342</v>
      </c>
      <c r="S15" s="164">
        <f t="shared" si="0"/>
        <v>1</v>
      </c>
      <c r="T15" s="22" t="s">
        <v>27</v>
      </c>
      <c r="U15" s="91">
        <f t="shared" si="1"/>
        <v>317520</v>
      </c>
      <c r="V15" s="157" t="s">
        <v>10</v>
      </c>
      <c r="W15" s="73">
        <f t="shared" si="2"/>
        <v>317520</v>
      </c>
      <c r="X15" s="68"/>
      <c r="Y15" s="69">
        <f t="shared" si="3"/>
        <v>317520</v>
      </c>
      <c r="Z15" s="70" t="s">
        <v>12</v>
      </c>
      <c r="AA15" s="67">
        <f t="shared" si="4"/>
        <v>0</v>
      </c>
      <c r="AB15" s="71" t="s">
        <v>12</v>
      </c>
      <c r="AC15" s="67">
        <f>SUMIF(Invoices!$E$2:$E$1048576,' Accting USE Data Entry Form'!B15,Invoices!$F$2:$F$1048576)</f>
        <v>317520</v>
      </c>
      <c r="AD15" s="71" t="s">
        <v>10</v>
      </c>
      <c r="AE15" s="72">
        <f>+Y15-AA15-AC15</f>
        <v>0</v>
      </c>
    </row>
    <row r="16" spans="1:32" ht="14.4" customHeight="1" x14ac:dyDescent="0.25">
      <c r="A16" s="65">
        <v>6</v>
      </c>
      <c r="B16" s="83" t="s">
        <v>105</v>
      </c>
      <c r="C16" s="92">
        <v>423360</v>
      </c>
      <c r="D16" s="66">
        <v>1</v>
      </c>
      <c r="E16" s="147"/>
      <c r="F16" s="122"/>
      <c r="G16" s="122"/>
      <c r="H16" s="122"/>
      <c r="I16" s="122"/>
      <c r="J16" s="122"/>
      <c r="K16" s="123"/>
      <c r="L16" s="123"/>
      <c r="M16" s="123"/>
      <c r="N16" s="123"/>
      <c r="O16" s="123"/>
      <c r="P16" s="123"/>
      <c r="Q16" s="122"/>
      <c r="R16" s="81">
        <v>42349</v>
      </c>
      <c r="S16" s="164">
        <f t="shared" si="0"/>
        <v>1</v>
      </c>
      <c r="T16" s="22" t="s">
        <v>27</v>
      </c>
      <c r="U16" s="91">
        <f t="shared" si="1"/>
        <v>423360</v>
      </c>
      <c r="V16" s="157" t="s">
        <v>10</v>
      </c>
      <c r="W16" s="73">
        <f t="shared" si="2"/>
        <v>423360</v>
      </c>
      <c r="X16" s="68"/>
      <c r="Y16" s="69">
        <f t="shared" si="3"/>
        <v>423360</v>
      </c>
      <c r="Z16" s="70" t="s">
        <v>12</v>
      </c>
      <c r="AA16" s="67">
        <f t="shared" si="4"/>
        <v>0</v>
      </c>
      <c r="AB16" s="71" t="s">
        <v>12</v>
      </c>
      <c r="AC16" s="67">
        <f>SUMIF(Invoices!$E$2:$E$1048576,' Accting USE Data Entry Form'!B16,Invoices!$F$2:$F$1048576)</f>
        <v>423360</v>
      </c>
      <c r="AD16" s="71" t="s">
        <v>10</v>
      </c>
      <c r="AE16" s="72">
        <v>0</v>
      </c>
      <c r="AF16" s="74"/>
    </row>
    <row r="17" spans="1:31" ht="14.4" customHeight="1" x14ac:dyDescent="0.25">
      <c r="A17" s="65">
        <v>7</v>
      </c>
      <c r="B17" s="84" t="s">
        <v>106</v>
      </c>
      <c r="C17" s="92">
        <v>1607500</v>
      </c>
      <c r="D17" s="90">
        <v>1</v>
      </c>
      <c r="E17" s="147"/>
      <c r="F17" s="162"/>
      <c r="G17" s="162"/>
      <c r="H17" s="162"/>
      <c r="I17" s="162"/>
      <c r="J17" s="162"/>
      <c r="K17" s="123"/>
      <c r="L17" s="123"/>
      <c r="M17" s="123"/>
      <c r="N17" s="123"/>
      <c r="O17" s="123"/>
      <c r="P17" s="123"/>
      <c r="Q17" s="122"/>
      <c r="R17" s="81">
        <v>42356</v>
      </c>
      <c r="S17" s="164">
        <f t="shared" si="0"/>
        <v>1</v>
      </c>
      <c r="T17" s="22" t="s">
        <v>27</v>
      </c>
      <c r="U17" s="91">
        <f t="shared" si="1"/>
        <v>1607500</v>
      </c>
      <c r="V17" s="157" t="s">
        <v>10</v>
      </c>
      <c r="W17" s="73">
        <f t="shared" si="2"/>
        <v>1607500</v>
      </c>
      <c r="X17" s="68"/>
      <c r="Y17" s="69">
        <f>+W17</f>
        <v>1607500</v>
      </c>
      <c r="Z17" s="70" t="s">
        <v>12</v>
      </c>
      <c r="AA17" s="67">
        <f t="shared" si="4"/>
        <v>0</v>
      </c>
      <c r="AB17" s="71" t="s">
        <v>12</v>
      </c>
      <c r="AC17" s="67">
        <f>SUMIF(Invoices!$E$2:$E$1048576,' Accting USE Data Entry Form'!B17,Invoices!$F$2:$F$1048576)</f>
        <v>1607500</v>
      </c>
      <c r="AD17" s="71" t="s">
        <v>10</v>
      </c>
      <c r="AE17" s="72">
        <f>+Y17-AA17-AC17</f>
        <v>0</v>
      </c>
    </row>
    <row r="18" spans="1:31" ht="14.4" customHeight="1" x14ac:dyDescent="0.25">
      <c r="A18" s="65">
        <v>8</v>
      </c>
      <c r="B18" s="84" t="s">
        <v>58</v>
      </c>
      <c r="C18" s="87">
        <v>1446750</v>
      </c>
      <c r="D18" s="90">
        <v>1</v>
      </c>
      <c r="E18" s="148"/>
      <c r="F18" s="162"/>
      <c r="G18" s="162"/>
      <c r="H18" s="162"/>
      <c r="I18" s="162"/>
      <c r="J18" s="162"/>
      <c r="K18" s="123"/>
      <c r="L18" s="123"/>
      <c r="M18" s="123"/>
      <c r="N18" s="123"/>
      <c r="O18" s="123"/>
      <c r="P18" s="123"/>
      <c r="Q18" s="123"/>
      <c r="R18" s="81">
        <v>42460</v>
      </c>
      <c r="S18" s="164">
        <f t="shared" si="0"/>
        <v>1</v>
      </c>
      <c r="T18" s="22" t="s">
        <v>27</v>
      </c>
      <c r="U18" s="91">
        <f t="shared" si="1"/>
        <v>1446750</v>
      </c>
      <c r="V18" s="157" t="s">
        <v>10</v>
      </c>
      <c r="W18" s="73">
        <f t="shared" si="2"/>
        <v>1446750</v>
      </c>
      <c r="X18" s="68"/>
      <c r="Y18" s="69">
        <f>+W18</f>
        <v>1446750</v>
      </c>
      <c r="Z18" s="70" t="s">
        <v>12</v>
      </c>
      <c r="AA18" s="67">
        <f t="shared" si="4"/>
        <v>0</v>
      </c>
      <c r="AB18" s="71" t="s">
        <v>12</v>
      </c>
      <c r="AC18" s="67">
        <f>SUMIF(Invoices!$E$2:$E$1048576,' Accting USE Data Entry Form'!B18,Invoices!$F$2:$F$1048576)</f>
        <v>1446750</v>
      </c>
      <c r="AD18" s="71" t="s">
        <v>10</v>
      </c>
      <c r="AE18" s="72">
        <f>+Y18-AA18-AC18</f>
        <v>0</v>
      </c>
    </row>
    <row r="19" spans="1:31" ht="14.4" customHeight="1" x14ac:dyDescent="0.25">
      <c r="A19" s="65">
        <v>9</v>
      </c>
      <c r="B19" s="84" t="s">
        <v>59</v>
      </c>
      <c r="C19" s="87">
        <v>317520</v>
      </c>
      <c r="D19" s="90">
        <v>1</v>
      </c>
      <c r="E19" s="148"/>
      <c r="F19" s="162"/>
      <c r="G19" s="162"/>
      <c r="H19" s="162"/>
      <c r="I19" s="162"/>
      <c r="J19" s="162"/>
      <c r="K19" s="123"/>
      <c r="L19" s="123"/>
      <c r="M19" s="123"/>
      <c r="N19" s="123"/>
      <c r="O19" s="123"/>
      <c r="P19" s="123"/>
      <c r="Q19" s="123"/>
      <c r="R19" s="81">
        <v>42607</v>
      </c>
      <c r="S19" s="164">
        <f t="shared" si="0"/>
        <v>1</v>
      </c>
      <c r="T19" s="22" t="s">
        <v>27</v>
      </c>
      <c r="U19" s="91">
        <f t="shared" si="1"/>
        <v>317520</v>
      </c>
      <c r="V19" s="157" t="s">
        <v>10</v>
      </c>
      <c r="W19" s="73">
        <f t="shared" si="2"/>
        <v>317520</v>
      </c>
      <c r="X19" s="68"/>
      <c r="Y19" s="69">
        <f>+W19</f>
        <v>317520</v>
      </c>
      <c r="Z19" s="70"/>
      <c r="AA19" s="67">
        <f t="shared" si="4"/>
        <v>0</v>
      </c>
      <c r="AB19" s="71" t="s">
        <v>12</v>
      </c>
      <c r="AC19" s="67">
        <f>SUMIF(Invoices!$E$2:$E$1048576,' Accting USE Data Entry Form'!B19,Invoices!$F$2:$F$1048576)</f>
        <v>317520</v>
      </c>
      <c r="AD19" s="71" t="s">
        <v>10</v>
      </c>
      <c r="AE19" s="72">
        <f>+Y19-AA19-AC19</f>
        <v>0</v>
      </c>
    </row>
    <row r="20" spans="1:31" ht="14.4" customHeight="1" x14ac:dyDescent="0.25">
      <c r="A20" s="65">
        <v>10</v>
      </c>
      <c r="B20" s="84" t="s">
        <v>60</v>
      </c>
      <c r="C20" s="87">
        <v>160750</v>
      </c>
      <c r="D20" s="90">
        <v>1</v>
      </c>
      <c r="E20" s="148"/>
      <c r="F20" s="162"/>
      <c r="G20" s="162"/>
      <c r="H20" s="162"/>
      <c r="I20" s="162"/>
      <c r="J20" s="162"/>
      <c r="K20" s="123"/>
      <c r="L20" s="123"/>
      <c r="M20" s="123"/>
      <c r="N20" s="123"/>
      <c r="O20" s="123"/>
      <c r="P20" s="123"/>
      <c r="Q20" s="123"/>
      <c r="R20" s="81">
        <v>42719</v>
      </c>
      <c r="S20" s="164">
        <f t="shared" si="0"/>
        <v>1</v>
      </c>
      <c r="T20" s="22" t="s">
        <v>27</v>
      </c>
      <c r="U20" s="91">
        <f t="shared" si="1"/>
        <v>160750</v>
      </c>
      <c r="V20" s="157" t="s">
        <v>10</v>
      </c>
      <c r="W20" s="73">
        <f t="shared" si="2"/>
        <v>160750</v>
      </c>
      <c r="X20" s="68"/>
      <c r="Y20" s="69">
        <f>+W20</f>
        <v>160750</v>
      </c>
      <c r="Z20" s="70" t="s">
        <v>12</v>
      </c>
      <c r="AA20" s="67">
        <f t="shared" si="4"/>
        <v>0</v>
      </c>
      <c r="AB20" s="71" t="s">
        <v>12</v>
      </c>
      <c r="AC20" s="67">
        <f>SUMIF(Invoices!$E$2:$E$1048576,' Accting USE Data Entry Form'!B20,Invoices!$F$2:$F$1048576)</f>
        <v>160750</v>
      </c>
      <c r="AD20" s="71" t="s">
        <v>10</v>
      </c>
      <c r="AE20" s="72">
        <f>+Y20-AA20-AC20</f>
        <v>0</v>
      </c>
    </row>
    <row r="21" spans="1:31" ht="14.4" customHeight="1" x14ac:dyDescent="0.25">
      <c r="A21" s="65">
        <v>11</v>
      </c>
      <c r="B21" s="84" t="s">
        <v>61</v>
      </c>
      <c r="C21" s="87">
        <v>160750</v>
      </c>
      <c r="D21" s="90">
        <v>1</v>
      </c>
      <c r="E21" s="148"/>
      <c r="F21" s="162"/>
      <c r="G21" s="162"/>
      <c r="H21" s="162"/>
      <c r="I21" s="162"/>
      <c r="J21" s="162"/>
      <c r="K21" s="123"/>
      <c r="L21" s="123"/>
      <c r="M21" s="123"/>
      <c r="N21" s="123"/>
      <c r="O21" s="123"/>
      <c r="P21" s="123"/>
      <c r="Q21" s="123"/>
      <c r="R21" s="81">
        <v>42738</v>
      </c>
      <c r="S21" s="164">
        <f t="shared" si="0"/>
        <v>1</v>
      </c>
      <c r="T21" s="22" t="s">
        <v>27</v>
      </c>
      <c r="U21" s="91">
        <f t="shared" si="1"/>
        <v>160750</v>
      </c>
      <c r="V21" s="157" t="s">
        <v>10</v>
      </c>
      <c r="W21" s="73">
        <f t="shared" si="2"/>
        <v>160750</v>
      </c>
      <c r="X21" s="68"/>
      <c r="Y21" s="69">
        <f t="shared" ref="Y21:Y61" si="5">+W21</f>
        <v>160750</v>
      </c>
      <c r="Z21" s="70" t="s">
        <v>12</v>
      </c>
      <c r="AA21" s="67">
        <f t="shared" si="4"/>
        <v>0</v>
      </c>
      <c r="AB21" s="71" t="s">
        <v>12</v>
      </c>
      <c r="AC21" s="67">
        <f>SUMIF(Invoices!$E$2:$E$1048576,' Accting USE Data Entry Form'!B21,Invoices!$F$2:$F$1048576)</f>
        <v>160750</v>
      </c>
      <c r="AD21" s="71" t="s">
        <v>10</v>
      </c>
      <c r="AE21" s="72">
        <f t="shared" ref="AE21:AE61" si="6">+Y21-AA21-AC21</f>
        <v>0</v>
      </c>
    </row>
    <row r="22" spans="1:31" ht="14.4" customHeight="1" x14ac:dyDescent="0.25">
      <c r="A22" s="65">
        <v>12</v>
      </c>
      <c r="B22" s="84" t="s">
        <v>62</v>
      </c>
      <c r="C22" s="87">
        <v>160750</v>
      </c>
      <c r="D22" s="121">
        <v>1</v>
      </c>
      <c r="E22" s="148"/>
      <c r="F22" s="163"/>
      <c r="G22" s="163"/>
      <c r="H22" s="163"/>
      <c r="I22" s="163"/>
      <c r="J22" s="163"/>
      <c r="K22" s="123"/>
      <c r="L22" s="123"/>
      <c r="M22" s="123"/>
      <c r="N22" s="123"/>
      <c r="O22" s="123"/>
      <c r="P22" s="123"/>
      <c r="Q22" s="123"/>
      <c r="R22" s="81">
        <v>42746</v>
      </c>
      <c r="S22" s="164">
        <f t="shared" si="0"/>
        <v>1</v>
      </c>
      <c r="T22" s="22" t="s">
        <v>27</v>
      </c>
      <c r="U22" s="91">
        <f t="shared" si="1"/>
        <v>160750</v>
      </c>
      <c r="V22" s="157" t="s">
        <v>10</v>
      </c>
      <c r="W22" s="73">
        <f t="shared" si="2"/>
        <v>160750</v>
      </c>
      <c r="X22" s="68"/>
      <c r="Y22" s="69">
        <f t="shared" si="5"/>
        <v>160750</v>
      </c>
      <c r="Z22" s="70" t="s">
        <v>12</v>
      </c>
      <c r="AA22" s="67">
        <f t="shared" si="4"/>
        <v>0</v>
      </c>
      <c r="AB22" s="71" t="s">
        <v>12</v>
      </c>
      <c r="AC22" s="67">
        <f>SUMIF(Invoices!$E$2:$E$1048576,' Accting USE Data Entry Form'!B22,Invoices!$F$2:$F$1048576)</f>
        <v>160750</v>
      </c>
      <c r="AD22" s="71" t="s">
        <v>10</v>
      </c>
      <c r="AE22" s="72">
        <f t="shared" si="6"/>
        <v>0</v>
      </c>
    </row>
    <row r="23" spans="1:31" ht="14.4" customHeight="1" x14ac:dyDescent="0.25">
      <c r="A23" s="65">
        <v>13</v>
      </c>
      <c r="B23" s="84" t="s">
        <v>63</v>
      </c>
      <c r="C23" s="87">
        <v>160750</v>
      </c>
      <c r="D23" s="90">
        <v>-3.1918911957973251E-16</v>
      </c>
      <c r="E23" s="148">
        <v>160750</v>
      </c>
      <c r="F23" s="162"/>
      <c r="G23" s="162"/>
      <c r="H23" s="162"/>
      <c r="I23" s="162"/>
      <c r="J23" s="162"/>
      <c r="K23" s="123"/>
      <c r="L23" s="123"/>
      <c r="M23" s="123"/>
      <c r="N23" s="123"/>
      <c r="O23" s="123"/>
      <c r="P23" s="123"/>
      <c r="Q23" s="123"/>
      <c r="R23" s="81">
        <v>42754</v>
      </c>
      <c r="S23" s="164">
        <f>IF(D23&lt;1,SUM(E23:Q23)/C23+D23,1)</f>
        <v>0.99999999999999967</v>
      </c>
      <c r="T23" s="22" t="s">
        <v>27</v>
      </c>
      <c r="U23" s="91">
        <f t="shared" si="1"/>
        <v>160750</v>
      </c>
      <c r="V23" s="157" t="s">
        <v>10</v>
      </c>
      <c r="W23" s="73">
        <f t="shared" si="2"/>
        <v>160749.99999999994</v>
      </c>
      <c r="X23" s="68"/>
      <c r="Y23" s="69">
        <f t="shared" si="5"/>
        <v>160749.99999999994</v>
      </c>
      <c r="Z23" s="70" t="s">
        <v>12</v>
      </c>
      <c r="AA23" s="67">
        <f t="shared" si="4"/>
        <v>0</v>
      </c>
      <c r="AB23" s="71" t="s">
        <v>12</v>
      </c>
      <c r="AC23" s="67">
        <f>SUMIF(Invoices!$E$2:$E$1048576,' Accting USE Data Entry Form'!B23,Invoices!$F$2:$F$1048576)</f>
        <v>160750</v>
      </c>
      <c r="AD23" s="71" t="s">
        <v>10</v>
      </c>
      <c r="AE23" s="72">
        <f t="shared" si="6"/>
        <v>0</v>
      </c>
    </row>
    <row r="24" spans="1:31" ht="14.4" customHeight="1" x14ac:dyDescent="0.25">
      <c r="A24" s="65">
        <v>14</v>
      </c>
      <c r="B24" s="84" t="s">
        <v>64</v>
      </c>
      <c r="C24" s="87">
        <v>160750</v>
      </c>
      <c r="D24" s="90"/>
      <c r="E24" s="148"/>
      <c r="F24" s="162">
        <v>160750</v>
      </c>
      <c r="G24" s="162"/>
      <c r="H24" s="162"/>
      <c r="I24" s="162"/>
      <c r="J24" s="162"/>
      <c r="K24" s="123"/>
      <c r="L24" s="123"/>
      <c r="M24" s="123"/>
      <c r="N24" s="123"/>
      <c r="O24" s="123"/>
      <c r="P24" s="123"/>
      <c r="Q24" s="123"/>
      <c r="R24" s="81">
        <v>42762</v>
      </c>
      <c r="S24" s="66">
        <f t="shared" ref="S24:S61" si="7">IF(D24&lt;1,SUM(E24:Q24)/C24+D24,1)</f>
        <v>1</v>
      </c>
      <c r="T24" s="22" t="s">
        <v>27</v>
      </c>
      <c r="U24" s="91">
        <f t="shared" si="1"/>
        <v>160750</v>
      </c>
      <c r="V24" s="157" t="s">
        <v>10</v>
      </c>
      <c r="W24" s="73">
        <f t="shared" si="2"/>
        <v>160750</v>
      </c>
      <c r="X24" s="68"/>
      <c r="Y24" s="69">
        <f t="shared" si="5"/>
        <v>160750</v>
      </c>
      <c r="Z24" s="70" t="s">
        <v>12</v>
      </c>
      <c r="AA24" s="67">
        <f t="shared" si="4"/>
        <v>0</v>
      </c>
      <c r="AB24" s="71" t="s">
        <v>12</v>
      </c>
      <c r="AC24" s="67">
        <f>SUMIF(Invoices!$E$2:$E$1048576,' Accting USE Data Entry Form'!B24,Invoices!$F$2:$F$1048576)</f>
        <v>160750</v>
      </c>
      <c r="AD24" s="71" t="s">
        <v>10</v>
      </c>
      <c r="AE24" s="72">
        <f t="shared" si="6"/>
        <v>0</v>
      </c>
    </row>
    <row r="25" spans="1:31" ht="14.4" customHeight="1" x14ac:dyDescent="0.25">
      <c r="A25" s="65">
        <v>15</v>
      </c>
      <c r="B25" s="84" t="s">
        <v>65</v>
      </c>
      <c r="C25" s="87">
        <v>160750</v>
      </c>
      <c r="D25" s="90"/>
      <c r="E25" s="148"/>
      <c r="F25" s="162">
        <v>160750</v>
      </c>
      <c r="G25" s="162"/>
      <c r="H25" s="162"/>
      <c r="I25" s="162"/>
      <c r="J25" s="162"/>
      <c r="K25" s="123"/>
      <c r="L25" s="123"/>
      <c r="M25" s="123"/>
      <c r="N25" s="123"/>
      <c r="O25" s="123"/>
      <c r="P25" s="123"/>
      <c r="Q25" s="123"/>
      <c r="R25" s="81">
        <v>42772</v>
      </c>
      <c r="S25" s="66">
        <f t="shared" si="7"/>
        <v>1</v>
      </c>
      <c r="T25" s="22" t="s">
        <v>27</v>
      </c>
      <c r="U25" s="91">
        <f t="shared" si="1"/>
        <v>160750</v>
      </c>
      <c r="V25" s="157" t="s">
        <v>10</v>
      </c>
      <c r="W25" s="73">
        <f t="shared" si="2"/>
        <v>160750</v>
      </c>
      <c r="X25" s="68"/>
      <c r="Y25" s="69">
        <f t="shared" si="5"/>
        <v>160750</v>
      </c>
      <c r="Z25" s="70" t="s">
        <v>12</v>
      </c>
      <c r="AA25" s="67">
        <f t="shared" si="4"/>
        <v>0</v>
      </c>
      <c r="AB25" s="71" t="s">
        <v>12</v>
      </c>
      <c r="AC25" s="67">
        <f>SUMIF(Invoices!$E$2:$E$1048576,' Accting USE Data Entry Form'!B25,Invoices!$F$2:$F$1048576)</f>
        <v>160750</v>
      </c>
      <c r="AD25" s="71" t="s">
        <v>10</v>
      </c>
      <c r="AE25" s="72">
        <f t="shared" si="6"/>
        <v>0</v>
      </c>
    </row>
    <row r="26" spans="1:31" ht="14.4" customHeight="1" x14ac:dyDescent="0.25">
      <c r="A26" s="65">
        <v>16</v>
      </c>
      <c r="B26" s="84" t="s">
        <v>66</v>
      </c>
      <c r="C26" s="87">
        <v>160750</v>
      </c>
      <c r="D26" s="90"/>
      <c r="E26" s="148"/>
      <c r="F26" s="162">
        <v>160750</v>
      </c>
      <c r="G26" s="162"/>
      <c r="H26" s="162"/>
      <c r="I26" s="162"/>
      <c r="J26" s="162"/>
      <c r="K26" s="123"/>
      <c r="L26" s="123"/>
      <c r="M26" s="123"/>
      <c r="N26" s="123"/>
      <c r="O26" s="123"/>
      <c r="P26" s="123"/>
      <c r="Q26" s="123"/>
      <c r="R26" s="81">
        <v>42780</v>
      </c>
      <c r="S26" s="66">
        <f t="shared" si="7"/>
        <v>1</v>
      </c>
      <c r="T26" s="22" t="s">
        <v>27</v>
      </c>
      <c r="U26" s="91">
        <f t="shared" si="1"/>
        <v>160750</v>
      </c>
      <c r="V26" s="157" t="s">
        <v>10</v>
      </c>
      <c r="W26" s="73">
        <f t="shared" si="2"/>
        <v>160750</v>
      </c>
      <c r="X26" s="68"/>
      <c r="Y26" s="69">
        <f t="shared" si="5"/>
        <v>160750</v>
      </c>
      <c r="Z26" s="70" t="s">
        <v>12</v>
      </c>
      <c r="AA26" s="67">
        <f t="shared" si="4"/>
        <v>0</v>
      </c>
      <c r="AB26" s="71" t="s">
        <v>12</v>
      </c>
      <c r="AC26" s="67">
        <f>SUMIF(Invoices!$E$2:$E$1048576,' Accting USE Data Entry Form'!B26,Invoices!$F$2:$F$1048576)</f>
        <v>160750</v>
      </c>
      <c r="AD26" s="71" t="s">
        <v>10</v>
      </c>
      <c r="AE26" s="72">
        <f t="shared" si="6"/>
        <v>0</v>
      </c>
    </row>
    <row r="27" spans="1:31" ht="14.4" customHeight="1" x14ac:dyDescent="0.25">
      <c r="A27" s="65">
        <v>17</v>
      </c>
      <c r="B27" s="84" t="s">
        <v>67</v>
      </c>
      <c r="C27" s="87">
        <v>160750</v>
      </c>
      <c r="D27" s="90"/>
      <c r="E27" s="148"/>
      <c r="F27" s="162">
        <v>160750</v>
      </c>
      <c r="G27" s="162"/>
      <c r="H27" s="162"/>
      <c r="I27" s="162"/>
      <c r="J27" s="162"/>
      <c r="K27" s="123"/>
      <c r="L27" s="123"/>
      <c r="M27" s="123"/>
      <c r="N27" s="123"/>
      <c r="O27" s="123"/>
      <c r="P27" s="123"/>
      <c r="Q27" s="123"/>
      <c r="R27" s="81">
        <v>42788</v>
      </c>
      <c r="S27" s="66">
        <f t="shared" si="7"/>
        <v>1</v>
      </c>
      <c r="T27" s="22" t="s">
        <v>27</v>
      </c>
      <c r="U27" s="91">
        <f t="shared" si="1"/>
        <v>160750</v>
      </c>
      <c r="V27" s="157" t="s">
        <v>10</v>
      </c>
      <c r="W27" s="73">
        <f t="shared" si="2"/>
        <v>160750</v>
      </c>
      <c r="X27" s="68"/>
      <c r="Y27" s="69">
        <f t="shared" si="5"/>
        <v>160750</v>
      </c>
      <c r="Z27" s="70" t="s">
        <v>12</v>
      </c>
      <c r="AA27" s="67">
        <f t="shared" si="4"/>
        <v>0</v>
      </c>
      <c r="AB27" s="71" t="s">
        <v>12</v>
      </c>
      <c r="AC27" s="67">
        <f>SUMIF(Invoices!$E$2:$E$1048576,' Accting USE Data Entry Form'!B27,Invoices!$F$2:$F$1048576)</f>
        <v>160750</v>
      </c>
      <c r="AD27" s="71" t="s">
        <v>10</v>
      </c>
      <c r="AE27" s="72">
        <f t="shared" si="6"/>
        <v>0</v>
      </c>
    </row>
    <row r="28" spans="1:31" ht="14.4" customHeight="1" x14ac:dyDescent="0.25">
      <c r="A28" s="65">
        <v>18</v>
      </c>
      <c r="B28" s="84" t="s">
        <v>68</v>
      </c>
      <c r="C28" s="87">
        <v>160750</v>
      </c>
      <c r="D28" s="90"/>
      <c r="E28" s="148"/>
      <c r="F28" s="162">
        <v>160750</v>
      </c>
      <c r="G28" s="162"/>
      <c r="H28" s="162"/>
      <c r="I28" s="162"/>
      <c r="J28" s="162"/>
      <c r="K28" s="123"/>
      <c r="L28" s="123"/>
      <c r="M28" s="123"/>
      <c r="N28" s="123"/>
      <c r="O28" s="123"/>
      <c r="P28" s="123"/>
      <c r="Q28" s="123"/>
      <c r="R28" s="81">
        <v>42796</v>
      </c>
      <c r="S28" s="66">
        <f t="shared" si="7"/>
        <v>1</v>
      </c>
      <c r="T28" s="22" t="s">
        <v>27</v>
      </c>
      <c r="U28" s="91">
        <f t="shared" si="1"/>
        <v>160750</v>
      </c>
      <c r="V28" s="157" t="s">
        <v>10</v>
      </c>
      <c r="W28" s="73">
        <f t="shared" si="2"/>
        <v>160750</v>
      </c>
      <c r="X28" s="68"/>
      <c r="Y28" s="69">
        <f t="shared" si="5"/>
        <v>160750</v>
      </c>
      <c r="Z28" s="70" t="s">
        <v>12</v>
      </c>
      <c r="AA28" s="67">
        <f t="shared" si="4"/>
        <v>0</v>
      </c>
      <c r="AB28" s="71" t="s">
        <v>12</v>
      </c>
      <c r="AC28" s="67">
        <f>SUMIF(Invoices!$E$2:$E$1048576,' Accting USE Data Entry Form'!B28,Invoices!$F$2:$F$1048576)</f>
        <v>160750</v>
      </c>
      <c r="AD28" s="71" t="s">
        <v>10</v>
      </c>
      <c r="AE28" s="72">
        <f t="shared" si="6"/>
        <v>0</v>
      </c>
    </row>
    <row r="29" spans="1:31" ht="14.4" customHeight="1" x14ac:dyDescent="0.25">
      <c r="A29" s="65">
        <v>19</v>
      </c>
      <c r="B29" s="84" t="s">
        <v>69</v>
      </c>
      <c r="C29" s="87">
        <v>160750</v>
      </c>
      <c r="D29" s="90"/>
      <c r="E29" s="148"/>
      <c r="F29" s="162"/>
      <c r="G29" s="162"/>
      <c r="H29" s="162"/>
      <c r="I29" s="162"/>
      <c r="J29" s="162"/>
      <c r="K29" s="123"/>
      <c r="L29" s="123"/>
      <c r="M29" s="123"/>
      <c r="N29" s="123"/>
      <c r="O29" s="123"/>
      <c r="P29" s="123"/>
      <c r="Q29" s="123"/>
      <c r="R29" s="81">
        <v>42804</v>
      </c>
      <c r="S29" s="66">
        <f t="shared" si="7"/>
        <v>0</v>
      </c>
      <c r="T29" s="22" t="s">
        <v>27</v>
      </c>
      <c r="U29" s="91">
        <f t="shared" si="1"/>
        <v>160750</v>
      </c>
      <c r="V29" s="157" t="s">
        <v>10</v>
      </c>
      <c r="W29" s="73">
        <f t="shared" si="2"/>
        <v>0</v>
      </c>
      <c r="X29" s="68"/>
      <c r="Y29" s="69">
        <f t="shared" si="5"/>
        <v>0</v>
      </c>
      <c r="Z29" s="70" t="s">
        <v>12</v>
      </c>
      <c r="AA29" s="67">
        <f t="shared" si="4"/>
        <v>-160750</v>
      </c>
      <c r="AB29" s="71" t="s">
        <v>12</v>
      </c>
      <c r="AC29" s="67">
        <f>SUMIF(Invoices!$E$2:$E$1048576,' Accting USE Data Entry Form'!B29,Invoices!$F$2:$F$1048576)</f>
        <v>160750</v>
      </c>
      <c r="AD29" s="71" t="s">
        <v>10</v>
      </c>
      <c r="AE29" s="72">
        <f t="shared" si="6"/>
        <v>0</v>
      </c>
    </row>
    <row r="30" spans="1:31" ht="14.4" customHeight="1" x14ac:dyDescent="0.25">
      <c r="A30" s="65">
        <v>20</v>
      </c>
      <c r="B30" s="84" t="s">
        <v>70</v>
      </c>
      <c r="C30" s="87">
        <v>160750</v>
      </c>
      <c r="D30" s="90"/>
      <c r="E30" s="148"/>
      <c r="F30" s="162"/>
      <c r="G30" s="162"/>
      <c r="H30" s="162"/>
      <c r="I30" s="162"/>
      <c r="J30" s="162"/>
      <c r="K30" s="123"/>
      <c r="L30" s="123"/>
      <c r="M30" s="123"/>
      <c r="N30" s="123"/>
      <c r="O30" s="123"/>
      <c r="P30" s="123"/>
      <c r="Q30" s="123"/>
      <c r="R30" s="81">
        <v>42814</v>
      </c>
      <c r="S30" s="66">
        <f t="shared" si="7"/>
        <v>0</v>
      </c>
      <c r="T30" s="22" t="s">
        <v>27</v>
      </c>
      <c r="U30" s="91">
        <f t="shared" si="1"/>
        <v>160750</v>
      </c>
      <c r="V30" s="157" t="s">
        <v>10</v>
      </c>
      <c r="W30" s="73">
        <f t="shared" si="2"/>
        <v>0</v>
      </c>
      <c r="X30" s="68"/>
      <c r="Y30" s="69">
        <f t="shared" si="5"/>
        <v>0</v>
      </c>
      <c r="Z30" s="70" t="s">
        <v>12</v>
      </c>
      <c r="AA30" s="67">
        <f t="shared" si="4"/>
        <v>-160750</v>
      </c>
      <c r="AB30" s="71" t="s">
        <v>12</v>
      </c>
      <c r="AC30" s="67">
        <f>SUMIF(Invoices!$E$2:$E$1048576,' Accting USE Data Entry Form'!B30,Invoices!$F$2:$F$1048576)</f>
        <v>160750</v>
      </c>
      <c r="AD30" s="71" t="s">
        <v>10</v>
      </c>
      <c r="AE30" s="72">
        <f t="shared" si="6"/>
        <v>0</v>
      </c>
    </row>
    <row r="31" spans="1:31" ht="14.4" customHeight="1" x14ac:dyDescent="0.25">
      <c r="A31" s="65">
        <v>21</v>
      </c>
      <c r="B31" s="84" t="s">
        <v>91</v>
      </c>
      <c r="C31" s="87">
        <v>90800</v>
      </c>
      <c r="D31" s="90">
        <v>1</v>
      </c>
      <c r="E31" s="148"/>
      <c r="F31" s="162"/>
      <c r="G31" s="162"/>
      <c r="H31" s="162"/>
      <c r="I31" s="162"/>
      <c r="J31" s="162"/>
      <c r="K31" s="123"/>
      <c r="L31" s="123"/>
      <c r="M31" s="123"/>
      <c r="N31" s="123"/>
      <c r="O31" s="123"/>
      <c r="P31" s="123"/>
      <c r="Q31" s="123"/>
      <c r="R31" s="81">
        <v>42478</v>
      </c>
      <c r="S31" s="66">
        <f t="shared" si="7"/>
        <v>1</v>
      </c>
      <c r="T31" s="22" t="s">
        <v>27</v>
      </c>
      <c r="U31" s="91">
        <f t="shared" si="1"/>
        <v>90800</v>
      </c>
      <c r="V31" s="157" t="s">
        <v>10</v>
      </c>
      <c r="W31" s="73">
        <f t="shared" si="2"/>
        <v>90800</v>
      </c>
      <c r="X31" s="68"/>
      <c r="Y31" s="69">
        <f t="shared" si="5"/>
        <v>90800</v>
      </c>
      <c r="Z31" s="70" t="s">
        <v>12</v>
      </c>
      <c r="AA31" s="67">
        <f t="shared" si="4"/>
        <v>0</v>
      </c>
      <c r="AB31" s="71" t="s">
        <v>12</v>
      </c>
      <c r="AC31" s="67">
        <f>SUMIF(Invoices!$E$2:$E$1048576,' Accting USE Data Entry Form'!B31,Invoices!$F$2:$F$1048576)</f>
        <v>90800</v>
      </c>
      <c r="AD31" s="71" t="s">
        <v>10</v>
      </c>
      <c r="AE31" s="72">
        <f t="shared" si="6"/>
        <v>0</v>
      </c>
    </row>
    <row r="32" spans="1:31" ht="14.4" customHeight="1" x14ac:dyDescent="0.25">
      <c r="A32" s="65">
        <v>22</v>
      </c>
      <c r="B32" s="84" t="s">
        <v>92</v>
      </c>
      <c r="C32" s="87">
        <v>49696</v>
      </c>
      <c r="D32" s="90"/>
      <c r="E32" s="148"/>
      <c r="F32" s="162"/>
      <c r="G32" s="162"/>
      <c r="H32" s="162"/>
      <c r="I32" s="162"/>
      <c r="J32" s="162"/>
      <c r="K32" s="123"/>
      <c r="L32" s="123"/>
      <c r="M32" s="123"/>
      <c r="N32" s="123"/>
      <c r="O32" s="123"/>
      <c r="P32" s="123"/>
      <c r="Q32" s="123"/>
      <c r="R32" s="81">
        <v>42905</v>
      </c>
      <c r="S32" s="66">
        <f t="shared" si="7"/>
        <v>0</v>
      </c>
      <c r="T32" s="22" t="s">
        <v>27</v>
      </c>
      <c r="U32" s="91">
        <f t="shared" si="1"/>
        <v>49696</v>
      </c>
      <c r="V32" s="157" t="s">
        <v>10</v>
      </c>
      <c r="W32" s="73">
        <f t="shared" si="2"/>
        <v>0</v>
      </c>
      <c r="X32" s="68"/>
      <c r="Y32" s="69">
        <f t="shared" si="5"/>
        <v>0</v>
      </c>
      <c r="Z32" s="70" t="s">
        <v>12</v>
      </c>
      <c r="AA32" s="67">
        <f t="shared" si="4"/>
        <v>-7554.66</v>
      </c>
      <c r="AB32" s="71" t="s">
        <v>12</v>
      </c>
      <c r="AC32" s="67">
        <f>SUMIF(Invoices!$E$2:$E$1048576,' Accting USE Data Entry Form'!B32,Invoices!$F$2:$F$1048576)</f>
        <v>7554.66</v>
      </c>
      <c r="AD32" s="71" t="s">
        <v>10</v>
      </c>
      <c r="AE32" s="72">
        <f t="shared" si="6"/>
        <v>0</v>
      </c>
    </row>
    <row r="33" spans="1:32" ht="14.4" customHeight="1" x14ac:dyDescent="0.25">
      <c r="A33" s="65">
        <v>23</v>
      </c>
      <c r="B33" s="84" t="s">
        <v>93</v>
      </c>
      <c r="C33" s="87">
        <v>323136</v>
      </c>
      <c r="D33" s="90">
        <v>0.97727272727269998</v>
      </c>
      <c r="E33" s="148"/>
      <c r="F33" s="162"/>
      <c r="G33" s="162"/>
      <c r="H33" s="162"/>
      <c r="I33" s="162"/>
      <c r="J33" s="162"/>
      <c r="K33" s="123"/>
      <c r="L33" s="123"/>
      <c r="M33" s="123"/>
      <c r="N33" s="123"/>
      <c r="O33" s="123"/>
      <c r="P33" s="123"/>
      <c r="Q33" s="123"/>
      <c r="R33" s="81">
        <v>42653</v>
      </c>
      <c r="S33" s="66">
        <f t="shared" si="7"/>
        <v>0.97727272727269998</v>
      </c>
      <c r="T33" s="22" t="s">
        <v>27</v>
      </c>
      <c r="U33" s="91">
        <f t="shared" si="1"/>
        <v>323136</v>
      </c>
      <c r="V33" s="157" t="s">
        <v>10</v>
      </c>
      <c r="W33" s="73">
        <f t="shared" si="2"/>
        <v>315791.99999999115</v>
      </c>
      <c r="X33" s="68"/>
      <c r="Y33" s="69">
        <f t="shared" si="5"/>
        <v>315791.99999999115</v>
      </c>
      <c r="Z33" s="70" t="s">
        <v>12</v>
      </c>
      <c r="AA33" s="67">
        <f t="shared" si="4"/>
        <v>-8.8475644588470459E-9</v>
      </c>
      <c r="AB33" s="71" t="s">
        <v>12</v>
      </c>
      <c r="AC33" s="67">
        <f>SUMIF(Invoices!$E$2:$E$1048576,' Accting USE Data Entry Form'!B33,Invoices!$F$2:$F$1048576)</f>
        <v>315792</v>
      </c>
      <c r="AD33" s="71" t="s">
        <v>10</v>
      </c>
      <c r="AE33" s="72">
        <f t="shared" si="6"/>
        <v>0</v>
      </c>
      <c r="AF33" s="103" t="s">
        <v>109</v>
      </c>
    </row>
    <row r="34" spans="1:32" ht="14.4" customHeight="1" x14ac:dyDescent="0.25">
      <c r="A34" s="65">
        <v>24</v>
      </c>
      <c r="B34" s="84" t="s">
        <v>94</v>
      </c>
      <c r="C34" s="87">
        <v>246240</v>
      </c>
      <c r="D34" s="121">
        <v>9.3404808000000006E-2</v>
      </c>
      <c r="E34" s="152">
        <v>23000</v>
      </c>
      <c r="F34" s="163">
        <v>101080</v>
      </c>
      <c r="G34" s="163"/>
      <c r="H34" s="163"/>
      <c r="I34" s="163"/>
      <c r="J34" s="163"/>
      <c r="K34" s="123"/>
      <c r="L34" s="123"/>
      <c r="M34" s="123"/>
      <c r="N34" s="123"/>
      <c r="O34" s="123"/>
      <c r="P34" s="123"/>
      <c r="Q34" s="123"/>
      <c r="R34" s="81">
        <v>42933</v>
      </c>
      <c r="S34" s="66">
        <f t="shared" si="7"/>
        <v>0.5973034434775828</v>
      </c>
      <c r="T34" s="22" t="s">
        <v>27</v>
      </c>
      <c r="U34" s="91">
        <f t="shared" si="1"/>
        <v>246240</v>
      </c>
      <c r="V34" s="157" t="s">
        <v>10</v>
      </c>
      <c r="W34" s="73">
        <f t="shared" si="2"/>
        <v>147079.99992191998</v>
      </c>
      <c r="X34" s="68"/>
      <c r="Y34" s="69">
        <f t="shared" si="5"/>
        <v>147079.99992191998</v>
      </c>
      <c r="Z34" s="70" t="s">
        <v>12</v>
      </c>
      <c r="AA34" s="67">
        <f t="shared" si="4"/>
        <v>-18160.000078080018</v>
      </c>
      <c r="AB34" s="71" t="s">
        <v>12</v>
      </c>
      <c r="AC34" s="67">
        <f>SUMIF(Invoices!$E$2:$E$1048576,' Accting USE Data Entry Form'!B34,Invoices!$F$2:$F$1048576)</f>
        <v>165240</v>
      </c>
      <c r="AD34" s="71" t="s">
        <v>10</v>
      </c>
      <c r="AE34" s="72">
        <f t="shared" si="6"/>
        <v>0</v>
      </c>
      <c r="AF34" s="51" t="s">
        <v>113</v>
      </c>
    </row>
    <row r="35" spans="1:32" ht="14.4" customHeight="1" x14ac:dyDescent="0.25">
      <c r="A35" s="65">
        <v>25</v>
      </c>
      <c r="B35" s="84" t="s">
        <v>95</v>
      </c>
      <c r="C35" s="87">
        <v>147200</v>
      </c>
      <c r="D35" s="121">
        <v>0.3125</v>
      </c>
      <c r="E35" s="148">
        <v>9200</v>
      </c>
      <c r="F35" s="163">
        <v>9200</v>
      </c>
      <c r="G35" s="163"/>
      <c r="H35" s="163"/>
      <c r="I35" s="163"/>
      <c r="J35" s="163"/>
      <c r="K35" s="123"/>
      <c r="L35" s="123"/>
      <c r="M35" s="123"/>
      <c r="N35" s="123"/>
      <c r="O35" s="123"/>
      <c r="P35" s="123"/>
      <c r="Q35" s="123"/>
      <c r="R35" s="81">
        <v>42933</v>
      </c>
      <c r="S35" s="66">
        <f t="shared" si="7"/>
        <v>0.4375</v>
      </c>
      <c r="T35" s="22" t="s">
        <v>27</v>
      </c>
      <c r="U35" s="91">
        <f t="shared" si="1"/>
        <v>147200</v>
      </c>
      <c r="V35" s="157" t="s">
        <v>10</v>
      </c>
      <c r="W35" s="73">
        <f t="shared" si="2"/>
        <v>64400</v>
      </c>
      <c r="X35" s="68"/>
      <c r="Y35" s="69">
        <f t="shared" si="5"/>
        <v>64400</v>
      </c>
      <c r="Z35" s="70" t="s">
        <v>12</v>
      </c>
      <c r="AA35" s="67">
        <f t="shared" si="4"/>
        <v>0</v>
      </c>
      <c r="AB35" s="71" t="s">
        <v>12</v>
      </c>
      <c r="AC35" s="67">
        <f>SUMIF(Invoices!$E$2:$E$1048576,' Accting USE Data Entry Form'!B35,Invoices!$F$2:$F$1048576)</f>
        <v>64400</v>
      </c>
      <c r="AD35" s="71" t="s">
        <v>10</v>
      </c>
      <c r="AE35" s="72">
        <f t="shared" si="6"/>
        <v>0</v>
      </c>
      <c r="AF35" s="51" t="s">
        <v>114</v>
      </c>
    </row>
    <row r="36" spans="1:32" ht="14.4" customHeight="1" x14ac:dyDescent="0.25">
      <c r="A36" s="65">
        <v>26</v>
      </c>
      <c r="B36" s="84" t="s">
        <v>71</v>
      </c>
      <c r="C36" s="87">
        <v>160750</v>
      </c>
      <c r="D36" s="66"/>
      <c r="E36" s="148"/>
      <c r="F36" s="122"/>
      <c r="G36" s="122"/>
      <c r="H36" s="122"/>
      <c r="I36" s="122"/>
      <c r="J36" s="122"/>
      <c r="K36" s="123"/>
      <c r="L36" s="123"/>
      <c r="M36" s="123"/>
      <c r="N36" s="123"/>
      <c r="O36" s="123"/>
      <c r="P36" s="123"/>
      <c r="Q36" s="123"/>
      <c r="R36" s="86">
        <v>42822</v>
      </c>
      <c r="S36" s="66">
        <f t="shared" si="7"/>
        <v>0</v>
      </c>
      <c r="T36" s="22" t="s">
        <v>27</v>
      </c>
      <c r="U36" s="91">
        <f t="shared" si="1"/>
        <v>160750</v>
      </c>
      <c r="V36" s="157" t="s">
        <v>10</v>
      </c>
      <c r="W36" s="73">
        <f t="shared" si="2"/>
        <v>0</v>
      </c>
      <c r="X36" s="68"/>
      <c r="Y36" s="69">
        <f t="shared" si="5"/>
        <v>0</v>
      </c>
      <c r="Z36" s="70" t="s">
        <v>12</v>
      </c>
      <c r="AA36" s="67">
        <f t="shared" si="4"/>
        <v>0</v>
      </c>
      <c r="AB36" s="71" t="s">
        <v>12</v>
      </c>
      <c r="AC36" s="67">
        <f>SUMIF(Invoices!$E$2:$E$1048576,' Accting USE Data Entry Form'!B36,Invoices!$F$2:$F$1048576)</f>
        <v>0</v>
      </c>
      <c r="AD36" s="71" t="s">
        <v>10</v>
      </c>
      <c r="AE36" s="72">
        <f t="shared" si="6"/>
        <v>0</v>
      </c>
    </row>
    <row r="37" spans="1:32" ht="14.4" customHeight="1" x14ac:dyDescent="0.25">
      <c r="A37" s="65">
        <v>27</v>
      </c>
      <c r="B37" s="84" t="s">
        <v>72</v>
      </c>
      <c r="C37" s="87">
        <v>160750</v>
      </c>
      <c r="D37" s="66"/>
      <c r="E37" s="148"/>
      <c r="F37" s="122"/>
      <c r="G37" s="122"/>
      <c r="H37" s="122"/>
      <c r="I37" s="122"/>
      <c r="J37" s="122"/>
      <c r="K37" s="123"/>
      <c r="L37" s="123"/>
      <c r="M37" s="123"/>
      <c r="N37" s="123"/>
      <c r="O37" s="123"/>
      <c r="P37" s="123"/>
      <c r="Q37" s="123"/>
      <c r="R37" s="86">
        <v>42830</v>
      </c>
      <c r="S37" s="66">
        <f t="shared" si="7"/>
        <v>0</v>
      </c>
      <c r="T37" s="22" t="s">
        <v>27</v>
      </c>
      <c r="U37" s="91">
        <f t="shared" si="1"/>
        <v>160750</v>
      </c>
      <c r="V37" s="157" t="s">
        <v>10</v>
      </c>
      <c r="W37" s="73">
        <f t="shared" si="2"/>
        <v>0</v>
      </c>
      <c r="X37" s="68"/>
      <c r="Y37" s="69">
        <f t="shared" si="5"/>
        <v>0</v>
      </c>
      <c r="Z37" s="70" t="s">
        <v>12</v>
      </c>
      <c r="AA37" s="67">
        <f t="shared" si="4"/>
        <v>0</v>
      </c>
      <c r="AB37" s="71" t="s">
        <v>12</v>
      </c>
      <c r="AC37" s="67">
        <f>SUMIF(Invoices!$E$2:$E$1048576,' Accting USE Data Entry Form'!B37,Invoices!$F$2:$F$1048576)</f>
        <v>0</v>
      </c>
      <c r="AD37" s="71" t="s">
        <v>10</v>
      </c>
      <c r="AE37" s="72">
        <f t="shared" si="6"/>
        <v>0</v>
      </c>
    </row>
    <row r="38" spans="1:32" ht="14.4" customHeight="1" x14ac:dyDescent="0.25">
      <c r="A38" s="65">
        <v>28</v>
      </c>
      <c r="B38" s="84" t="s">
        <v>73</v>
      </c>
      <c r="C38" s="87">
        <v>160750</v>
      </c>
      <c r="D38" s="66"/>
      <c r="E38" s="148"/>
      <c r="F38" s="122"/>
      <c r="G38" s="122"/>
      <c r="H38" s="122"/>
      <c r="I38" s="122"/>
      <c r="J38" s="122"/>
      <c r="K38" s="123"/>
      <c r="L38" s="123"/>
      <c r="M38" s="123"/>
      <c r="N38" s="123"/>
      <c r="O38" s="123"/>
      <c r="P38" s="123"/>
      <c r="Q38" s="123"/>
      <c r="R38" s="86">
        <v>42838</v>
      </c>
      <c r="S38" s="66">
        <f t="shared" si="7"/>
        <v>0</v>
      </c>
      <c r="T38" s="22" t="s">
        <v>27</v>
      </c>
      <c r="U38" s="91">
        <f t="shared" si="1"/>
        <v>160750</v>
      </c>
      <c r="V38" s="157" t="s">
        <v>10</v>
      </c>
      <c r="W38" s="73">
        <f t="shared" si="2"/>
        <v>0</v>
      </c>
      <c r="X38" s="68"/>
      <c r="Y38" s="69">
        <f t="shared" si="5"/>
        <v>0</v>
      </c>
      <c r="Z38" s="70" t="s">
        <v>12</v>
      </c>
      <c r="AA38" s="67">
        <f t="shared" si="4"/>
        <v>0</v>
      </c>
      <c r="AB38" s="71" t="s">
        <v>12</v>
      </c>
      <c r="AC38" s="67">
        <f>SUMIF(Invoices!$E$2:$E$1048576,' Accting USE Data Entry Form'!B38,Invoices!$F$2:$F$1048576)</f>
        <v>0</v>
      </c>
      <c r="AD38" s="71" t="s">
        <v>10</v>
      </c>
      <c r="AE38" s="72">
        <f t="shared" si="6"/>
        <v>0</v>
      </c>
    </row>
    <row r="39" spans="1:32" ht="14.4" customHeight="1" x14ac:dyDescent="0.25">
      <c r="A39" s="65">
        <v>29</v>
      </c>
      <c r="B39" s="84" t="s">
        <v>74</v>
      </c>
      <c r="C39" s="87">
        <v>160750</v>
      </c>
      <c r="D39" s="66"/>
      <c r="E39" s="148"/>
      <c r="F39" s="122"/>
      <c r="G39" s="122"/>
      <c r="H39" s="122"/>
      <c r="I39" s="122"/>
      <c r="J39" s="122"/>
      <c r="K39" s="123"/>
      <c r="L39" s="123"/>
      <c r="M39" s="123"/>
      <c r="N39" s="123"/>
      <c r="O39" s="123"/>
      <c r="P39" s="123"/>
      <c r="Q39" s="123"/>
      <c r="R39" s="86">
        <v>42846</v>
      </c>
      <c r="S39" s="66">
        <f t="shared" si="7"/>
        <v>0</v>
      </c>
      <c r="T39" s="22" t="s">
        <v>27</v>
      </c>
      <c r="U39" s="91">
        <f t="shared" si="1"/>
        <v>160750</v>
      </c>
      <c r="V39" s="157" t="s">
        <v>10</v>
      </c>
      <c r="W39" s="73">
        <f t="shared" si="2"/>
        <v>0</v>
      </c>
      <c r="X39" s="68"/>
      <c r="Y39" s="69">
        <f t="shared" si="5"/>
        <v>0</v>
      </c>
      <c r="Z39" s="70" t="s">
        <v>12</v>
      </c>
      <c r="AA39" s="67">
        <f t="shared" si="4"/>
        <v>0</v>
      </c>
      <c r="AB39" s="71" t="s">
        <v>12</v>
      </c>
      <c r="AC39" s="67">
        <f>SUMIF(Invoices!$E$2:$E$1048576,' Accting USE Data Entry Form'!B39,Invoices!$F$2:$F$1048576)</f>
        <v>0</v>
      </c>
      <c r="AD39" s="71" t="s">
        <v>10</v>
      </c>
      <c r="AE39" s="72">
        <f t="shared" si="6"/>
        <v>0</v>
      </c>
    </row>
    <row r="40" spans="1:32" ht="14.4" customHeight="1" x14ac:dyDescent="0.25">
      <c r="A40" s="65">
        <v>30</v>
      </c>
      <c r="B40" s="84" t="s">
        <v>75</v>
      </c>
      <c r="C40" s="87">
        <v>160750</v>
      </c>
      <c r="D40" s="66"/>
      <c r="E40" s="148"/>
      <c r="F40" s="122"/>
      <c r="G40" s="122"/>
      <c r="H40" s="122"/>
      <c r="I40" s="122"/>
      <c r="J40" s="122"/>
      <c r="K40" s="123"/>
      <c r="L40" s="123"/>
      <c r="M40" s="123"/>
      <c r="N40" s="123"/>
      <c r="O40" s="123"/>
      <c r="P40" s="123"/>
      <c r="Q40" s="123"/>
      <c r="R40" s="86">
        <v>42856</v>
      </c>
      <c r="S40" s="66">
        <f t="shared" si="7"/>
        <v>0</v>
      </c>
      <c r="T40" s="22" t="s">
        <v>27</v>
      </c>
      <c r="U40" s="91">
        <f t="shared" si="1"/>
        <v>160750</v>
      </c>
      <c r="V40" s="157" t="s">
        <v>10</v>
      </c>
      <c r="W40" s="73">
        <f t="shared" si="2"/>
        <v>0</v>
      </c>
      <c r="X40" s="68"/>
      <c r="Y40" s="69">
        <f t="shared" si="5"/>
        <v>0</v>
      </c>
      <c r="Z40" s="70" t="s">
        <v>12</v>
      </c>
      <c r="AA40" s="67">
        <f t="shared" si="4"/>
        <v>0</v>
      </c>
      <c r="AB40" s="71" t="s">
        <v>12</v>
      </c>
      <c r="AC40" s="67">
        <f>SUMIF(Invoices!$E$2:$E$1048576,' Accting USE Data Entry Form'!B40,Invoices!$F$2:$F$1048576)</f>
        <v>0</v>
      </c>
      <c r="AD40" s="71" t="s">
        <v>10</v>
      </c>
      <c r="AE40" s="72">
        <f t="shared" si="6"/>
        <v>0</v>
      </c>
    </row>
    <row r="41" spans="1:32" ht="14.4" customHeight="1" x14ac:dyDescent="0.25">
      <c r="A41" s="65">
        <v>31</v>
      </c>
      <c r="B41" s="84" t="s">
        <v>76</v>
      </c>
      <c r="C41" s="87">
        <v>160750</v>
      </c>
      <c r="D41" s="66"/>
      <c r="E41" s="148"/>
      <c r="F41" s="122"/>
      <c r="G41" s="122"/>
      <c r="H41" s="122"/>
      <c r="I41" s="122"/>
      <c r="J41" s="122"/>
      <c r="K41" s="123"/>
      <c r="L41" s="123"/>
      <c r="M41" s="123"/>
      <c r="N41" s="123"/>
      <c r="O41" s="123"/>
      <c r="P41" s="123"/>
      <c r="Q41" s="123"/>
      <c r="R41" s="86">
        <v>42864</v>
      </c>
      <c r="S41" s="66">
        <f t="shared" si="7"/>
        <v>0</v>
      </c>
      <c r="T41" s="22" t="s">
        <v>27</v>
      </c>
      <c r="U41" s="91">
        <f t="shared" si="1"/>
        <v>160750</v>
      </c>
      <c r="V41" s="157" t="s">
        <v>10</v>
      </c>
      <c r="W41" s="73">
        <f t="shared" si="2"/>
        <v>0</v>
      </c>
      <c r="X41" s="68"/>
      <c r="Y41" s="69">
        <f t="shared" si="5"/>
        <v>0</v>
      </c>
      <c r="Z41" s="70" t="s">
        <v>12</v>
      </c>
      <c r="AA41" s="67">
        <f t="shared" si="4"/>
        <v>0</v>
      </c>
      <c r="AB41" s="71" t="s">
        <v>12</v>
      </c>
      <c r="AC41" s="67">
        <f>SUMIF(Invoices!$E$2:$E$1048576,' Accting USE Data Entry Form'!B41,Invoices!$F$2:$F$1048576)</f>
        <v>0</v>
      </c>
      <c r="AD41" s="71" t="s">
        <v>10</v>
      </c>
      <c r="AE41" s="72">
        <f t="shared" si="6"/>
        <v>0</v>
      </c>
    </row>
    <row r="42" spans="1:32" ht="14.4" customHeight="1" x14ac:dyDescent="0.25">
      <c r="A42" s="65">
        <v>32</v>
      </c>
      <c r="B42" s="84" t="s">
        <v>77</v>
      </c>
      <c r="C42" s="87">
        <v>160750</v>
      </c>
      <c r="D42" s="66"/>
      <c r="E42" s="148"/>
      <c r="F42" s="122"/>
      <c r="G42" s="122"/>
      <c r="H42" s="122"/>
      <c r="I42" s="122"/>
      <c r="J42" s="122"/>
      <c r="K42" s="123"/>
      <c r="L42" s="123"/>
      <c r="M42" s="123"/>
      <c r="N42" s="123"/>
      <c r="O42" s="123"/>
      <c r="P42" s="123"/>
      <c r="Q42" s="123"/>
      <c r="R42" s="86">
        <v>42872</v>
      </c>
      <c r="S42" s="66">
        <f t="shared" si="7"/>
        <v>0</v>
      </c>
      <c r="T42" s="22" t="s">
        <v>27</v>
      </c>
      <c r="U42" s="91">
        <f t="shared" si="1"/>
        <v>160750</v>
      </c>
      <c r="V42" s="157" t="s">
        <v>10</v>
      </c>
      <c r="W42" s="73">
        <f t="shared" si="2"/>
        <v>0</v>
      </c>
      <c r="X42" s="68"/>
      <c r="Y42" s="69">
        <f t="shared" si="5"/>
        <v>0</v>
      </c>
      <c r="Z42" s="70" t="s">
        <v>12</v>
      </c>
      <c r="AA42" s="67">
        <f t="shared" si="4"/>
        <v>0</v>
      </c>
      <c r="AB42" s="71" t="s">
        <v>12</v>
      </c>
      <c r="AC42" s="67">
        <f>SUMIF(Invoices!$E$2:$E$1048576,' Accting USE Data Entry Form'!B42,Invoices!$F$2:$F$1048576)</f>
        <v>0</v>
      </c>
      <c r="AD42" s="71" t="s">
        <v>10</v>
      </c>
      <c r="AE42" s="72">
        <f t="shared" si="6"/>
        <v>0</v>
      </c>
    </row>
    <row r="43" spans="1:32" ht="14.4" customHeight="1" x14ac:dyDescent="0.25">
      <c r="A43" s="65">
        <v>33</v>
      </c>
      <c r="B43" s="84" t="s">
        <v>78</v>
      </c>
      <c r="C43" s="87">
        <v>160750</v>
      </c>
      <c r="D43" s="66"/>
      <c r="E43" s="148"/>
      <c r="F43" s="122"/>
      <c r="G43" s="122"/>
      <c r="H43" s="122"/>
      <c r="I43" s="122"/>
      <c r="J43" s="122"/>
      <c r="K43" s="123"/>
      <c r="L43" s="123"/>
      <c r="M43" s="123"/>
      <c r="N43" s="123"/>
      <c r="O43" s="123"/>
      <c r="P43" s="123"/>
      <c r="Q43" s="123"/>
      <c r="R43" s="86">
        <v>42880</v>
      </c>
      <c r="S43" s="66">
        <f t="shared" si="7"/>
        <v>0</v>
      </c>
      <c r="T43" s="22" t="s">
        <v>27</v>
      </c>
      <c r="U43" s="91">
        <f t="shared" ref="U43:U61" si="8">C43</f>
        <v>160750</v>
      </c>
      <c r="V43" s="157" t="s">
        <v>10</v>
      </c>
      <c r="W43" s="73">
        <f t="shared" si="2"/>
        <v>0</v>
      </c>
      <c r="X43" s="68"/>
      <c r="Y43" s="69">
        <f t="shared" si="5"/>
        <v>0</v>
      </c>
      <c r="Z43" s="70" t="s">
        <v>12</v>
      </c>
      <c r="AA43" s="67">
        <f t="shared" si="4"/>
        <v>0</v>
      </c>
      <c r="AB43" s="71" t="s">
        <v>12</v>
      </c>
      <c r="AC43" s="67">
        <f>SUMIF(Invoices!$E$2:$E$1048576,' Accting USE Data Entry Form'!B43,Invoices!$F$2:$F$1048576)</f>
        <v>0</v>
      </c>
      <c r="AD43" s="71" t="s">
        <v>10</v>
      </c>
      <c r="AE43" s="72">
        <f t="shared" si="6"/>
        <v>0</v>
      </c>
    </row>
    <row r="44" spans="1:32" ht="14.4" customHeight="1" x14ac:dyDescent="0.25">
      <c r="A44" s="65">
        <v>34</v>
      </c>
      <c r="B44" s="84" t="s">
        <v>79</v>
      </c>
      <c r="C44" s="87">
        <v>160750</v>
      </c>
      <c r="D44" s="66"/>
      <c r="E44" s="148"/>
      <c r="F44" s="122"/>
      <c r="G44" s="122"/>
      <c r="H44" s="122"/>
      <c r="I44" s="122"/>
      <c r="J44" s="122"/>
      <c r="K44" s="123"/>
      <c r="L44" s="123"/>
      <c r="M44" s="123"/>
      <c r="N44" s="123"/>
      <c r="O44" s="123"/>
      <c r="P44" s="123"/>
      <c r="Q44" s="123"/>
      <c r="R44" s="86">
        <v>42888</v>
      </c>
      <c r="S44" s="66">
        <f t="shared" si="7"/>
        <v>0</v>
      </c>
      <c r="T44" s="22" t="s">
        <v>27</v>
      </c>
      <c r="U44" s="91">
        <f t="shared" si="8"/>
        <v>160750</v>
      </c>
      <c r="V44" s="157" t="s">
        <v>10</v>
      </c>
      <c r="W44" s="73">
        <f t="shared" si="2"/>
        <v>0</v>
      </c>
      <c r="X44" s="68"/>
      <c r="Y44" s="69">
        <f t="shared" si="5"/>
        <v>0</v>
      </c>
      <c r="Z44" s="70" t="s">
        <v>12</v>
      </c>
      <c r="AA44" s="67">
        <f t="shared" si="4"/>
        <v>0</v>
      </c>
      <c r="AB44" s="71" t="s">
        <v>12</v>
      </c>
      <c r="AC44" s="67">
        <f>SUMIF(Invoices!$E$2:$E$1048576,' Accting USE Data Entry Form'!B44,Invoices!$F$2:$F$1048576)</f>
        <v>0</v>
      </c>
      <c r="AD44" s="71" t="s">
        <v>10</v>
      </c>
      <c r="AE44" s="72">
        <f t="shared" si="6"/>
        <v>0</v>
      </c>
    </row>
    <row r="45" spans="1:32" ht="14.4" customHeight="1" x14ac:dyDescent="0.25">
      <c r="A45" s="65">
        <v>35</v>
      </c>
      <c r="B45" s="84" t="s">
        <v>80</v>
      </c>
      <c r="C45" s="87">
        <v>160750</v>
      </c>
      <c r="D45" s="66"/>
      <c r="E45" s="148"/>
      <c r="F45" s="122"/>
      <c r="G45" s="122"/>
      <c r="H45" s="122"/>
      <c r="I45" s="122"/>
      <c r="J45" s="122"/>
      <c r="K45" s="123"/>
      <c r="L45" s="123"/>
      <c r="M45" s="123"/>
      <c r="N45" s="123"/>
      <c r="O45" s="123"/>
      <c r="P45" s="123"/>
      <c r="Q45" s="123"/>
      <c r="R45" s="86">
        <v>42898</v>
      </c>
      <c r="S45" s="66">
        <f t="shared" si="7"/>
        <v>0</v>
      </c>
      <c r="T45" s="22" t="s">
        <v>27</v>
      </c>
      <c r="U45" s="91">
        <f t="shared" si="8"/>
        <v>160750</v>
      </c>
      <c r="V45" s="157" t="s">
        <v>10</v>
      </c>
      <c r="W45" s="73">
        <f t="shared" si="2"/>
        <v>0</v>
      </c>
      <c r="X45" s="68"/>
      <c r="Y45" s="69">
        <f t="shared" si="5"/>
        <v>0</v>
      </c>
      <c r="Z45" s="70" t="s">
        <v>12</v>
      </c>
      <c r="AA45" s="67">
        <f t="shared" si="4"/>
        <v>0</v>
      </c>
      <c r="AB45" s="71" t="s">
        <v>12</v>
      </c>
      <c r="AC45" s="67">
        <f>SUMIF(Invoices!$E$2:$E$1048576,' Accting USE Data Entry Form'!B45,Invoices!$F$2:$F$1048576)</f>
        <v>0</v>
      </c>
      <c r="AD45" s="71" t="s">
        <v>10</v>
      </c>
      <c r="AE45" s="72">
        <f t="shared" si="6"/>
        <v>0</v>
      </c>
    </row>
    <row r="46" spans="1:32" ht="14.4" customHeight="1" x14ac:dyDescent="0.25">
      <c r="A46" s="65">
        <v>36</v>
      </c>
      <c r="B46" s="84" t="s">
        <v>81</v>
      </c>
      <c r="C46" s="87">
        <v>160750</v>
      </c>
      <c r="D46" s="66"/>
      <c r="E46" s="148"/>
      <c r="F46" s="122"/>
      <c r="G46" s="122"/>
      <c r="H46" s="122"/>
      <c r="I46" s="122"/>
      <c r="J46" s="122"/>
      <c r="K46" s="123"/>
      <c r="L46" s="123"/>
      <c r="M46" s="123"/>
      <c r="N46" s="123"/>
      <c r="O46" s="123"/>
      <c r="P46" s="123"/>
      <c r="Q46" s="123"/>
      <c r="R46" s="86">
        <v>42906</v>
      </c>
      <c r="S46" s="66">
        <f t="shared" si="7"/>
        <v>0</v>
      </c>
      <c r="T46" s="22" t="s">
        <v>27</v>
      </c>
      <c r="U46" s="91">
        <f t="shared" si="8"/>
        <v>160750</v>
      </c>
      <c r="V46" s="157" t="s">
        <v>10</v>
      </c>
      <c r="W46" s="73">
        <f t="shared" si="2"/>
        <v>0</v>
      </c>
      <c r="X46" s="68"/>
      <c r="Y46" s="69">
        <f t="shared" si="5"/>
        <v>0</v>
      </c>
      <c r="Z46" s="70" t="s">
        <v>12</v>
      </c>
      <c r="AA46" s="67">
        <f t="shared" si="4"/>
        <v>0</v>
      </c>
      <c r="AB46" s="71" t="s">
        <v>12</v>
      </c>
      <c r="AC46" s="67">
        <f>SUMIF(Invoices!$E$2:$E$1048576,' Accting USE Data Entry Form'!B46,Invoices!$F$2:$F$1048576)</f>
        <v>0</v>
      </c>
      <c r="AD46" s="71" t="s">
        <v>10</v>
      </c>
      <c r="AE46" s="72">
        <f t="shared" si="6"/>
        <v>0</v>
      </c>
    </row>
    <row r="47" spans="1:32" ht="14.4" customHeight="1" x14ac:dyDescent="0.25">
      <c r="A47" s="65">
        <v>37</v>
      </c>
      <c r="B47" s="84" t="s">
        <v>82</v>
      </c>
      <c r="C47" s="87">
        <v>160750</v>
      </c>
      <c r="D47" s="66"/>
      <c r="E47" s="148"/>
      <c r="F47" s="122"/>
      <c r="G47" s="122"/>
      <c r="H47" s="122"/>
      <c r="I47" s="122"/>
      <c r="J47" s="122"/>
      <c r="K47" s="123"/>
      <c r="L47" s="123"/>
      <c r="M47" s="123"/>
      <c r="N47" s="123"/>
      <c r="O47" s="123"/>
      <c r="P47" s="123"/>
      <c r="Q47" s="123"/>
      <c r="R47" s="86">
        <v>42914</v>
      </c>
      <c r="S47" s="66">
        <f t="shared" si="7"/>
        <v>0</v>
      </c>
      <c r="T47" s="22" t="s">
        <v>27</v>
      </c>
      <c r="U47" s="91">
        <f t="shared" si="8"/>
        <v>160750</v>
      </c>
      <c r="V47" s="157" t="s">
        <v>10</v>
      </c>
      <c r="W47" s="73">
        <f t="shared" si="2"/>
        <v>0</v>
      </c>
      <c r="X47" s="68"/>
      <c r="Y47" s="69">
        <f t="shared" si="5"/>
        <v>0</v>
      </c>
      <c r="Z47" s="70" t="s">
        <v>12</v>
      </c>
      <c r="AA47" s="67">
        <f t="shared" si="4"/>
        <v>0</v>
      </c>
      <c r="AB47" s="71" t="s">
        <v>12</v>
      </c>
      <c r="AC47" s="67">
        <f>SUMIF(Invoices!$E$2:$E$1048576,' Accting USE Data Entry Form'!B47,Invoices!$F$2:$F$1048576)</f>
        <v>0</v>
      </c>
      <c r="AD47" s="71" t="s">
        <v>10</v>
      </c>
      <c r="AE47" s="72">
        <f t="shared" si="6"/>
        <v>0</v>
      </c>
    </row>
    <row r="48" spans="1:32" ht="14.4" customHeight="1" x14ac:dyDescent="0.25">
      <c r="A48" s="65">
        <v>38</v>
      </c>
      <c r="B48" s="84" t="s">
        <v>83</v>
      </c>
      <c r="C48" s="87">
        <v>160750</v>
      </c>
      <c r="D48" s="66"/>
      <c r="E48" s="148"/>
      <c r="F48" s="122"/>
      <c r="G48" s="122"/>
      <c r="H48" s="122"/>
      <c r="I48" s="122"/>
      <c r="J48" s="122"/>
      <c r="K48" s="123"/>
      <c r="L48" s="123"/>
      <c r="M48" s="123"/>
      <c r="N48" s="123"/>
      <c r="O48" s="123"/>
      <c r="P48" s="123"/>
      <c r="Q48" s="123"/>
      <c r="R48" s="86">
        <v>42922</v>
      </c>
      <c r="S48" s="66">
        <f t="shared" si="7"/>
        <v>0</v>
      </c>
      <c r="T48" s="22" t="s">
        <v>27</v>
      </c>
      <c r="U48" s="91">
        <f t="shared" si="8"/>
        <v>160750</v>
      </c>
      <c r="V48" s="157" t="s">
        <v>10</v>
      </c>
      <c r="W48" s="73">
        <f t="shared" si="2"/>
        <v>0</v>
      </c>
      <c r="X48" s="68"/>
      <c r="Y48" s="69">
        <f t="shared" si="5"/>
        <v>0</v>
      </c>
      <c r="Z48" s="70" t="s">
        <v>12</v>
      </c>
      <c r="AA48" s="67">
        <f t="shared" si="4"/>
        <v>0</v>
      </c>
      <c r="AB48" s="71" t="s">
        <v>12</v>
      </c>
      <c r="AC48" s="67">
        <f>SUMIF(Invoices!$E$2:$E$1048576,' Accting USE Data Entry Form'!B48,Invoices!$F$2:$F$1048576)</f>
        <v>0</v>
      </c>
      <c r="AD48" s="71" t="s">
        <v>10</v>
      </c>
      <c r="AE48" s="72">
        <f t="shared" si="6"/>
        <v>0</v>
      </c>
    </row>
    <row r="49" spans="1:32" ht="14.4" customHeight="1" x14ac:dyDescent="0.25">
      <c r="A49" s="65">
        <v>39</v>
      </c>
      <c r="B49" s="84" t="s">
        <v>84</v>
      </c>
      <c r="C49" s="87">
        <v>160750</v>
      </c>
      <c r="D49" s="66"/>
      <c r="E49" s="148"/>
      <c r="F49" s="122"/>
      <c r="G49" s="122"/>
      <c r="H49" s="122"/>
      <c r="I49" s="122"/>
      <c r="J49" s="122"/>
      <c r="K49" s="123"/>
      <c r="L49" s="123"/>
      <c r="M49" s="123"/>
      <c r="N49" s="123"/>
      <c r="O49" s="123"/>
      <c r="P49" s="123"/>
      <c r="Q49" s="123"/>
      <c r="R49" s="86">
        <v>42930</v>
      </c>
      <c r="S49" s="66">
        <f t="shared" si="7"/>
        <v>0</v>
      </c>
      <c r="T49" s="22" t="s">
        <v>27</v>
      </c>
      <c r="U49" s="91">
        <f t="shared" si="8"/>
        <v>160750</v>
      </c>
      <c r="V49" s="157" t="s">
        <v>10</v>
      </c>
      <c r="W49" s="73">
        <f t="shared" si="2"/>
        <v>0</v>
      </c>
      <c r="X49" s="68"/>
      <c r="Y49" s="69">
        <f t="shared" si="5"/>
        <v>0</v>
      </c>
      <c r="Z49" s="70" t="s">
        <v>12</v>
      </c>
      <c r="AA49" s="67">
        <f t="shared" si="4"/>
        <v>0</v>
      </c>
      <c r="AB49" s="71" t="s">
        <v>12</v>
      </c>
      <c r="AC49" s="67">
        <f>SUMIF(Invoices!$E$2:$E$1048576,' Accting USE Data Entry Form'!B49,Invoices!$F$2:$F$1048576)</f>
        <v>0</v>
      </c>
      <c r="AD49" s="71" t="s">
        <v>10</v>
      </c>
      <c r="AE49" s="72">
        <f t="shared" si="6"/>
        <v>0</v>
      </c>
    </row>
    <row r="50" spans="1:32" ht="14.4" customHeight="1" x14ac:dyDescent="0.25">
      <c r="A50" s="65">
        <v>40</v>
      </c>
      <c r="B50" s="84" t="s">
        <v>85</v>
      </c>
      <c r="C50" s="87">
        <v>160750</v>
      </c>
      <c r="D50" s="66"/>
      <c r="E50" s="148"/>
      <c r="F50" s="122"/>
      <c r="G50" s="122"/>
      <c r="H50" s="122"/>
      <c r="I50" s="122"/>
      <c r="J50" s="122"/>
      <c r="K50" s="123"/>
      <c r="L50" s="123"/>
      <c r="M50" s="123"/>
      <c r="N50" s="123"/>
      <c r="O50" s="123"/>
      <c r="P50" s="123"/>
      <c r="Q50" s="123"/>
      <c r="R50" s="86">
        <v>42940</v>
      </c>
      <c r="S50" s="66">
        <f t="shared" si="7"/>
        <v>0</v>
      </c>
      <c r="T50" s="22" t="s">
        <v>27</v>
      </c>
      <c r="U50" s="91">
        <f t="shared" si="8"/>
        <v>160750</v>
      </c>
      <c r="V50" s="157" t="s">
        <v>10</v>
      </c>
      <c r="W50" s="73">
        <f t="shared" si="2"/>
        <v>0</v>
      </c>
      <c r="X50" s="68"/>
      <c r="Y50" s="69">
        <f t="shared" si="5"/>
        <v>0</v>
      </c>
      <c r="Z50" s="70" t="s">
        <v>12</v>
      </c>
      <c r="AA50" s="67">
        <f t="shared" si="4"/>
        <v>0</v>
      </c>
      <c r="AB50" s="71" t="s">
        <v>12</v>
      </c>
      <c r="AC50" s="67">
        <f>SUMIF(Invoices!$E$2:$E$1048576,' Accting USE Data Entry Form'!B50,Invoices!$F$2:$F$1048576)</f>
        <v>0</v>
      </c>
      <c r="AD50" s="71" t="s">
        <v>10</v>
      </c>
      <c r="AE50" s="72">
        <f t="shared" si="6"/>
        <v>0</v>
      </c>
    </row>
    <row r="51" spans="1:32" ht="14.4" customHeight="1" x14ac:dyDescent="0.25">
      <c r="A51" s="65">
        <v>41</v>
      </c>
      <c r="B51" s="84" t="s">
        <v>86</v>
      </c>
      <c r="C51" s="87">
        <v>160750</v>
      </c>
      <c r="D51" s="66"/>
      <c r="E51" s="148"/>
      <c r="F51" s="122"/>
      <c r="G51" s="122"/>
      <c r="H51" s="122"/>
      <c r="I51" s="122"/>
      <c r="J51" s="122"/>
      <c r="K51" s="123"/>
      <c r="L51" s="123"/>
      <c r="M51" s="123"/>
      <c r="N51" s="123"/>
      <c r="O51" s="123"/>
      <c r="P51" s="123"/>
      <c r="Q51" s="123"/>
      <c r="R51" s="86">
        <v>42948</v>
      </c>
      <c r="S51" s="66">
        <f t="shared" si="7"/>
        <v>0</v>
      </c>
      <c r="T51" s="22" t="s">
        <v>27</v>
      </c>
      <c r="U51" s="91">
        <f t="shared" si="8"/>
        <v>160750</v>
      </c>
      <c r="V51" s="157" t="s">
        <v>10</v>
      </c>
      <c r="W51" s="73">
        <f t="shared" si="2"/>
        <v>0</v>
      </c>
      <c r="X51" s="68"/>
      <c r="Y51" s="69">
        <f t="shared" si="5"/>
        <v>0</v>
      </c>
      <c r="Z51" s="70" t="s">
        <v>12</v>
      </c>
      <c r="AA51" s="67">
        <f t="shared" si="4"/>
        <v>0</v>
      </c>
      <c r="AB51" s="71" t="s">
        <v>12</v>
      </c>
      <c r="AC51" s="67">
        <f>SUMIF(Invoices!$E$2:$E$1048576,' Accting USE Data Entry Form'!B51,Invoices!$F$2:$F$1048576)</f>
        <v>0</v>
      </c>
      <c r="AD51" s="71" t="s">
        <v>10</v>
      </c>
      <c r="AE51" s="72">
        <f t="shared" si="6"/>
        <v>0</v>
      </c>
    </row>
    <row r="52" spans="1:32" ht="14.4" customHeight="1" x14ac:dyDescent="0.25">
      <c r="A52" s="65">
        <v>42</v>
      </c>
      <c r="B52" s="84" t="s">
        <v>87</v>
      </c>
      <c r="C52" s="87">
        <v>160750</v>
      </c>
      <c r="D52" s="66"/>
      <c r="E52" s="148"/>
      <c r="F52" s="122"/>
      <c r="G52" s="122"/>
      <c r="H52" s="122"/>
      <c r="I52" s="122"/>
      <c r="J52" s="122"/>
      <c r="K52" s="123"/>
      <c r="L52" s="123"/>
      <c r="M52" s="123"/>
      <c r="N52" s="123"/>
      <c r="O52" s="123"/>
      <c r="P52" s="123"/>
      <c r="Q52" s="123"/>
      <c r="R52" s="86">
        <v>42956</v>
      </c>
      <c r="S52" s="66">
        <f t="shared" si="7"/>
        <v>0</v>
      </c>
      <c r="T52" s="22" t="s">
        <v>27</v>
      </c>
      <c r="U52" s="91">
        <f t="shared" si="8"/>
        <v>160750</v>
      </c>
      <c r="V52" s="157" t="s">
        <v>10</v>
      </c>
      <c r="W52" s="73">
        <f t="shared" si="2"/>
        <v>0</v>
      </c>
      <c r="X52" s="68"/>
      <c r="Y52" s="69">
        <f t="shared" si="5"/>
        <v>0</v>
      </c>
      <c r="Z52" s="70" t="s">
        <v>12</v>
      </c>
      <c r="AA52" s="67">
        <f t="shared" si="4"/>
        <v>0</v>
      </c>
      <c r="AB52" s="71" t="s">
        <v>12</v>
      </c>
      <c r="AC52" s="67">
        <f>SUMIF(Invoices!$E$2:$E$1048576,' Accting USE Data Entry Form'!B52,Invoices!$F$2:$F$1048576)</f>
        <v>0</v>
      </c>
      <c r="AD52" s="71" t="s">
        <v>10</v>
      </c>
      <c r="AE52" s="72">
        <f t="shared" si="6"/>
        <v>0</v>
      </c>
    </row>
    <row r="53" spans="1:32" ht="14.4" customHeight="1" x14ac:dyDescent="0.25">
      <c r="A53" s="65">
        <v>43</v>
      </c>
      <c r="B53" s="84" t="s">
        <v>88</v>
      </c>
      <c r="C53" s="87">
        <v>160750</v>
      </c>
      <c r="D53" s="66"/>
      <c r="E53" s="148"/>
      <c r="F53" s="122"/>
      <c r="G53" s="122"/>
      <c r="H53" s="122"/>
      <c r="I53" s="122"/>
      <c r="J53" s="122"/>
      <c r="K53" s="123"/>
      <c r="L53" s="123"/>
      <c r="M53" s="123"/>
      <c r="N53" s="123"/>
      <c r="O53" s="123"/>
      <c r="P53" s="123"/>
      <c r="Q53" s="123"/>
      <c r="R53" s="86">
        <v>42964</v>
      </c>
      <c r="S53" s="66">
        <f t="shared" si="7"/>
        <v>0</v>
      </c>
      <c r="T53" s="22" t="s">
        <v>27</v>
      </c>
      <c r="U53" s="91">
        <f t="shared" si="8"/>
        <v>160750</v>
      </c>
      <c r="V53" s="157" t="s">
        <v>10</v>
      </c>
      <c r="W53" s="73">
        <f t="shared" si="2"/>
        <v>0</v>
      </c>
      <c r="X53" s="68"/>
      <c r="Y53" s="69">
        <f t="shared" si="5"/>
        <v>0</v>
      </c>
      <c r="Z53" s="70" t="s">
        <v>12</v>
      </c>
      <c r="AA53" s="67">
        <f t="shared" si="4"/>
        <v>0</v>
      </c>
      <c r="AB53" s="71" t="s">
        <v>12</v>
      </c>
      <c r="AC53" s="67">
        <f>SUMIF(Invoices!$E$2:$E$1048576,' Accting USE Data Entry Form'!B53,Invoices!$F$2:$F$1048576)</f>
        <v>0</v>
      </c>
      <c r="AD53" s="71" t="s">
        <v>10</v>
      </c>
      <c r="AE53" s="72">
        <f t="shared" si="6"/>
        <v>0</v>
      </c>
    </row>
    <row r="54" spans="1:32" ht="14.4" customHeight="1" x14ac:dyDescent="0.25">
      <c r="A54" s="65">
        <v>44</v>
      </c>
      <c r="B54" s="84" t="s">
        <v>89</v>
      </c>
      <c r="C54" s="87">
        <v>160750</v>
      </c>
      <c r="D54" s="66"/>
      <c r="E54" s="148"/>
      <c r="F54" s="122"/>
      <c r="G54" s="122"/>
      <c r="H54" s="122"/>
      <c r="I54" s="122"/>
      <c r="J54" s="122"/>
      <c r="K54" s="123"/>
      <c r="L54" s="123"/>
      <c r="M54" s="123"/>
      <c r="N54" s="123"/>
      <c r="O54" s="123"/>
      <c r="P54" s="123"/>
      <c r="Q54" s="123"/>
      <c r="R54" s="86">
        <v>42972</v>
      </c>
      <c r="S54" s="66">
        <f t="shared" si="7"/>
        <v>0</v>
      </c>
      <c r="T54" s="22" t="s">
        <v>27</v>
      </c>
      <c r="U54" s="91">
        <f t="shared" si="8"/>
        <v>160750</v>
      </c>
      <c r="V54" s="157" t="s">
        <v>10</v>
      </c>
      <c r="W54" s="73">
        <f t="shared" si="2"/>
        <v>0</v>
      </c>
      <c r="X54" s="68"/>
      <c r="Y54" s="69">
        <f t="shared" si="5"/>
        <v>0</v>
      </c>
      <c r="Z54" s="70" t="s">
        <v>12</v>
      </c>
      <c r="AA54" s="67">
        <f t="shared" si="4"/>
        <v>0</v>
      </c>
      <c r="AB54" s="71" t="s">
        <v>12</v>
      </c>
      <c r="AC54" s="67">
        <f>SUMIF(Invoices!$E$2:$E$1048576,' Accting USE Data Entry Form'!B54,Invoices!$F$2:$F$1048576)</f>
        <v>0</v>
      </c>
      <c r="AD54" s="71" t="s">
        <v>10</v>
      </c>
      <c r="AE54" s="72">
        <f t="shared" si="6"/>
        <v>0</v>
      </c>
    </row>
    <row r="55" spans="1:32" ht="14.4" customHeight="1" x14ac:dyDescent="0.25">
      <c r="A55" s="65">
        <v>45</v>
      </c>
      <c r="B55" s="84" t="s">
        <v>90</v>
      </c>
      <c r="C55" s="88">
        <v>160750</v>
      </c>
      <c r="D55" s="66"/>
      <c r="E55" s="148"/>
      <c r="F55" s="122"/>
      <c r="G55" s="122"/>
      <c r="H55" s="122"/>
      <c r="I55" s="122"/>
      <c r="J55" s="122"/>
      <c r="K55" s="123"/>
      <c r="L55" s="123"/>
      <c r="M55" s="123"/>
      <c r="N55" s="123"/>
      <c r="O55" s="123"/>
      <c r="P55" s="123"/>
      <c r="Q55" s="123"/>
      <c r="R55" s="85">
        <v>42997</v>
      </c>
      <c r="S55" s="66">
        <f t="shared" si="7"/>
        <v>0</v>
      </c>
      <c r="T55" s="22" t="s">
        <v>27</v>
      </c>
      <c r="U55" s="91">
        <f t="shared" si="8"/>
        <v>160750</v>
      </c>
      <c r="V55" s="157" t="s">
        <v>10</v>
      </c>
      <c r="W55" s="73">
        <f t="shared" si="2"/>
        <v>0</v>
      </c>
      <c r="X55" s="68"/>
      <c r="Y55" s="69">
        <f t="shared" si="5"/>
        <v>0</v>
      </c>
      <c r="Z55" s="70" t="s">
        <v>12</v>
      </c>
      <c r="AA55" s="67">
        <f t="shared" si="4"/>
        <v>0</v>
      </c>
      <c r="AB55" s="71" t="s">
        <v>12</v>
      </c>
      <c r="AC55" s="67">
        <f>SUMIF(Invoices!$E$2:$E$1048576,' Accting USE Data Entry Form'!B55,Invoices!$F$2:$F$1048576)</f>
        <v>0</v>
      </c>
      <c r="AD55" s="71" t="s">
        <v>10</v>
      </c>
      <c r="AE55" s="72">
        <f t="shared" si="6"/>
        <v>0</v>
      </c>
    </row>
    <row r="56" spans="1:32" ht="14.4" customHeight="1" x14ac:dyDescent="0.25">
      <c r="A56" s="65">
        <v>46</v>
      </c>
      <c r="B56" s="84" t="s">
        <v>96</v>
      </c>
      <c r="C56" s="88">
        <v>38000</v>
      </c>
      <c r="D56" s="121">
        <v>1</v>
      </c>
      <c r="E56" s="148"/>
      <c r="F56" s="163"/>
      <c r="G56" s="163"/>
      <c r="H56" s="163"/>
      <c r="I56" s="163"/>
      <c r="J56" s="163"/>
      <c r="K56" s="123"/>
      <c r="L56" s="123"/>
      <c r="M56" s="123"/>
      <c r="N56" s="123"/>
      <c r="O56" s="123"/>
      <c r="P56" s="123"/>
      <c r="Q56" s="123"/>
      <c r="R56" s="85">
        <v>42614</v>
      </c>
      <c r="S56" s="66">
        <f t="shared" si="7"/>
        <v>1</v>
      </c>
      <c r="T56" s="22" t="s">
        <v>27</v>
      </c>
      <c r="U56" s="91">
        <f t="shared" si="8"/>
        <v>38000</v>
      </c>
      <c r="V56" s="157" t="s">
        <v>10</v>
      </c>
      <c r="W56" s="73">
        <f t="shared" si="2"/>
        <v>38000</v>
      </c>
      <c r="X56" s="68"/>
      <c r="Y56" s="69">
        <f t="shared" si="5"/>
        <v>38000</v>
      </c>
      <c r="Z56" s="70" t="s">
        <v>12</v>
      </c>
      <c r="AA56" s="67">
        <f t="shared" si="4"/>
        <v>0</v>
      </c>
      <c r="AB56" s="71" t="s">
        <v>12</v>
      </c>
      <c r="AC56" s="67">
        <f>SUMIF(Invoices!$E$2:$E$1048576,' Accting USE Data Entry Form'!B56,Invoices!$F$2:$F$1048576)</f>
        <v>38000</v>
      </c>
      <c r="AD56" s="71" t="s">
        <v>10</v>
      </c>
      <c r="AE56" s="72">
        <f t="shared" si="6"/>
        <v>0</v>
      </c>
    </row>
    <row r="57" spans="1:32" ht="14.4" customHeight="1" x14ac:dyDescent="0.25">
      <c r="A57" s="65">
        <v>47</v>
      </c>
      <c r="B57" s="84" t="s">
        <v>103</v>
      </c>
      <c r="C57" s="88">
        <v>71500</v>
      </c>
      <c r="D57" s="66">
        <v>1</v>
      </c>
      <c r="E57" s="148"/>
      <c r="F57" s="122"/>
      <c r="G57" s="122"/>
      <c r="H57" s="122"/>
      <c r="I57" s="122"/>
      <c r="J57" s="122"/>
      <c r="K57" s="123"/>
      <c r="L57" s="123"/>
      <c r="M57" s="123"/>
      <c r="N57" s="123"/>
      <c r="O57" s="123"/>
      <c r="P57" s="123"/>
      <c r="Q57" s="123"/>
      <c r="R57" s="85">
        <v>42643</v>
      </c>
      <c r="S57" s="66">
        <f t="shared" si="7"/>
        <v>1</v>
      </c>
      <c r="T57" s="22" t="s">
        <v>27</v>
      </c>
      <c r="U57" s="91">
        <f t="shared" si="8"/>
        <v>71500</v>
      </c>
      <c r="V57" s="157" t="s">
        <v>10</v>
      </c>
      <c r="W57" s="73">
        <f t="shared" si="2"/>
        <v>71500</v>
      </c>
      <c r="X57" s="68"/>
      <c r="Y57" s="69">
        <f t="shared" si="5"/>
        <v>71500</v>
      </c>
      <c r="Z57" s="70" t="s">
        <v>12</v>
      </c>
      <c r="AA57" s="67">
        <f t="shared" si="4"/>
        <v>0</v>
      </c>
      <c r="AB57" s="71" t="s">
        <v>12</v>
      </c>
      <c r="AC57" s="67">
        <f>SUMIF(Invoices!$E$2:$E$1048576,' Accting USE Data Entry Form'!B57,Invoices!$F$2:$F$1048576)</f>
        <v>71500</v>
      </c>
      <c r="AD57" s="71" t="s">
        <v>10</v>
      </c>
      <c r="AE57" s="72">
        <f t="shared" si="6"/>
        <v>0</v>
      </c>
    </row>
    <row r="58" spans="1:32" ht="14.4" customHeight="1" x14ac:dyDescent="0.25">
      <c r="A58" s="65">
        <v>48</v>
      </c>
      <c r="B58" s="84" t="s">
        <v>215</v>
      </c>
      <c r="C58" s="88">
        <v>484000</v>
      </c>
      <c r="D58" s="66"/>
      <c r="E58" s="148">
        <v>17132.759999999998</v>
      </c>
      <c r="F58" s="122">
        <v>102796.56000000003</v>
      </c>
      <c r="G58" s="122"/>
      <c r="H58" s="122"/>
      <c r="I58" s="122"/>
      <c r="J58" s="122"/>
      <c r="K58" s="123"/>
      <c r="L58" s="123"/>
      <c r="M58" s="123"/>
      <c r="N58" s="123"/>
      <c r="O58" s="123"/>
      <c r="P58" s="123"/>
      <c r="Q58" s="123"/>
      <c r="R58" s="85">
        <v>42987</v>
      </c>
      <c r="S58" s="66">
        <f t="shared" si="7"/>
        <v>0.24778785123966945</v>
      </c>
      <c r="T58" s="22" t="s">
        <v>27</v>
      </c>
      <c r="U58" s="91">
        <f t="shared" si="8"/>
        <v>484000</v>
      </c>
      <c r="V58" s="157" t="s">
        <v>10</v>
      </c>
      <c r="W58" s="73">
        <f t="shared" si="2"/>
        <v>119929.32000000002</v>
      </c>
      <c r="X58" s="68"/>
      <c r="Y58" s="69">
        <f t="shared" si="5"/>
        <v>119929.32000000002</v>
      </c>
      <c r="Z58" s="70" t="s">
        <v>12</v>
      </c>
      <c r="AA58" s="67">
        <f t="shared" si="4"/>
        <v>-17132.439999999988</v>
      </c>
      <c r="AB58" s="71" t="s">
        <v>12</v>
      </c>
      <c r="AC58" s="67">
        <f>SUMIF(Invoices!$E$2:$E$1048576,' Accting USE Data Entry Form'!B58,Invoices!$F$2:$F$1048576)</f>
        <v>137061.76000000001</v>
      </c>
      <c r="AD58" s="71" t="s">
        <v>10</v>
      </c>
      <c r="AE58" s="72">
        <f t="shared" si="6"/>
        <v>0</v>
      </c>
    </row>
    <row r="59" spans="1:32" ht="14.4" customHeight="1" x14ac:dyDescent="0.25">
      <c r="A59" s="65">
        <v>49</v>
      </c>
      <c r="B59" s="127" t="s">
        <v>225</v>
      </c>
      <c r="C59" s="88">
        <v>57800</v>
      </c>
      <c r="D59" s="90"/>
      <c r="E59" s="149"/>
      <c r="F59" s="162">
        <v>12276.106194690265</v>
      </c>
      <c r="G59" s="162"/>
      <c r="H59" s="162"/>
      <c r="I59" s="162"/>
      <c r="J59" s="162"/>
      <c r="K59" s="123"/>
      <c r="L59" s="123"/>
      <c r="M59" s="123"/>
      <c r="N59" s="123"/>
      <c r="O59" s="123"/>
      <c r="P59" s="123"/>
      <c r="Q59" s="123"/>
      <c r="R59" s="81"/>
      <c r="S59" s="66">
        <f t="shared" si="7"/>
        <v>0.21238938053097345</v>
      </c>
      <c r="T59" s="22"/>
      <c r="U59" s="91">
        <f t="shared" si="8"/>
        <v>57800</v>
      </c>
      <c r="W59" s="73"/>
      <c r="X59" s="68"/>
      <c r="Y59" s="69">
        <f>+W59</f>
        <v>0</v>
      </c>
      <c r="Z59" s="70"/>
      <c r="AA59" s="67">
        <f>Y59-AC59</f>
        <v>0</v>
      </c>
      <c r="AB59" s="71"/>
      <c r="AC59" s="67"/>
      <c r="AD59" s="71"/>
      <c r="AE59" s="72">
        <f>+Y59-AA59-AC59</f>
        <v>0</v>
      </c>
    </row>
    <row r="60" spans="1:32" ht="14.4" customHeight="1" x14ac:dyDescent="0.25">
      <c r="A60" s="65">
        <v>50</v>
      </c>
      <c r="B60" s="127" t="s">
        <v>224</v>
      </c>
      <c r="C60" s="88">
        <v>21335</v>
      </c>
      <c r="D60" s="90"/>
      <c r="E60" s="149"/>
      <c r="F60" s="162"/>
      <c r="G60" s="162"/>
      <c r="H60" s="162"/>
      <c r="I60" s="162"/>
      <c r="J60" s="162"/>
      <c r="K60" s="123"/>
      <c r="L60" s="123"/>
      <c r="M60" s="123"/>
      <c r="N60" s="123"/>
      <c r="O60" s="123"/>
      <c r="P60" s="123"/>
      <c r="Q60" s="123"/>
      <c r="R60" s="82"/>
      <c r="S60" s="66">
        <f t="shared" si="7"/>
        <v>0</v>
      </c>
      <c r="T60" s="22"/>
      <c r="U60" s="91">
        <f t="shared" si="8"/>
        <v>21335</v>
      </c>
      <c r="W60" s="73"/>
      <c r="X60" s="68"/>
      <c r="Y60" s="69"/>
      <c r="Z60" s="70"/>
      <c r="AA60" s="67"/>
      <c r="AB60" s="71"/>
      <c r="AC60" s="67"/>
      <c r="AD60" s="71"/>
      <c r="AE60" s="72"/>
    </row>
    <row r="61" spans="1:32" ht="14.4" customHeight="1" x14ac:dyDescent="0.25">
      <c r="A61" s="166">
        <v>51</v>
      </c>
      <c r="B61" s="167" t="s">
        <v>223</v>
      </c>
      <c r="C61" s="88">
        <v>499817.6</v>
      </c>
      <c r="D61" s="168"/>
      <c r="E61" s="169"/>
      <c r="F61" s="170"/>
      <c r="G61" s="170"/>
      <c r="H61" s="170"/>
      <c r="I61" s="170"/>
      <c r="J61" s="170"/>
      <c r="K61" s="171"/>
      <c r="L61" s="171"/>
      <c r="M61" s="171"/>
      <c r="N61" s="171"/>
      <c r="O61" s="171"/>
      <c r="P61" s="171"/>
      <c r="Q61" s="171"/>
      <c r="R61" s="85"/>
      <c r="S61" s="168">
        <f t="shared" si="7"/>
        <v>0</v>
      </c>
      <c r="T61" s="22" t="s">
        <v>27</v>
      </c>
      <c r="U61" s="172">
        <f t="shared" si="8"/>
        <v>499817.6</v>
      </c>
      <c r="V61" s="157" t="s">
        <v>10</v>
      </c>
      <c r="W61" s="173">
        <f t="shared" si="2"/>
        <v>0</v>
      </c>
      <c r="X61" s="68"/>
      <c r="Y61" s="137">
        <f t="shared" si="5"/>
        <v>0</v>
      </c>
      <c r="Z61" s="70" t="s">
        <v>12</v>
      </c>
      <c r="AA61" s="135">
        <f t="shared" si="4"/>
        <v>0</v>
      </c>
      <c r="AB61" s="71" t="s">
        <v>12</v>
      </c>
      <c r="AC61" s="135">
        <f>SUMIF(Invoices!$E$2:$E$1048576,' Accting USE Data Entry Form'!#REF!,Invoices!$F$2:$F$1048576)</f>
        <v>0</v>
      </c>
      <c r="AD61" s="71" t="s">
        <v>10</v>
      </c>
      <c r="AE61" s="138">
        <f t="shared" si="6"/>
        <v>0</v>
      </c>
    </row>
    <row r="62" spans="1:32" ht="14.4" customHeight="1" x14ac:dyDescent="0.25">
      <c r="A62" s="174" t="s">
        <v>108</v>
      </c>
      <c r="B62" s="175"/>
      <c r="C62" s="176">
        <f>SUBTOTAL(109,' Accting USE Data Entry Form'!$W$11:$W$104)</f>
        <v>22712898.600000001</v>
      </c>
      <c r="D62" s="176"/>
      <c r="E62" s="176"/>
      <c r="F62" s="176">
        <f>SUM(F11:F61)</f>
        <v>1029102.6661946903</v>
      </c>
      <c r="G62" s="176"/>
      <c r="H62" s="176"/>
      <c r="I62" s="176"/>
      <c r="J62" s="177"/>
      <c r="K62" s="177"/>
      <c r="L62" s="177"/>
      <c r="M62" s="177"/>
      <c r="N62" s="177"/>
      <c r="O62" s="177"/>
      <c r="P62" s="177"/>
      <c r="Q62" s="178"/>
      <c r="R62" s="179"/>
      <c r="S62" s="180"/>
      <c r="T62" s="181"/>
      <c r="U62" s="176">
        <f>SUBTOTAL(109,' Accting USE Data Entry Form'!$W$11:$W$104)</f>
        <v>22712898.600000001</v>
      </c>
      <c r="V62" s="182"/>
      <c r="W62" s="183">
        <f>SUBTOTAL(109,' Accting USE Data Entry Form'!$Y$11:$Y$104)</f>
        <v>8875057.2719219103</v>
      </c>
      <c r="X62" s="182"/>
      <c r="Y62" s="184">
        <f>SUBTOTAL(109,' Accting USE Data Entry Form'!$AA$11:$AA$104)</f>
        <v>8875057.2719219103</v>
      </c>
      <c r="Z62" s="185"/>
      <c r="AA62" s="183">
        <f>SUBTOTAL(109,' Accting USE Data Entry Form'!$AC$11:$AC$104)</f>
        <v>1129093.8519219111</v>
      </c>
      <c r="AB62" s="185"/>
      <c r="AC62" s="183">
        <f>SUBTOTAL(109,' Accting USE Data Entry Form'!$AE$11:$AE$104)</f>
        <v>7745963.4199999999</v>
      </c>
      <c r="AD62" s="185"/>
      <c r="AE62" s="186">
        <f>SUBTOTAL(109,' Accting USE Data Entry Form'!$AG$11:$AG$104)</f>
        <v>0</v>
      </c>
      <c r="AF62" s="187">
        <f>SUBTOTAL(103,' Accting USE Data Entry Form'!$AH$11:$AH$104)</f>
        <v>3</v>
      </c>
    </row>
    <row r="63" spans="1:32" ht="14.4" customHeight="1" x14ac:dyDescent="0.25"/>
    <row r="64" spans="1:32" ht="14.4" customHeight="1" thickBot="1" x14ac:dyDescent="0.3">
      <c r="A64" s="62" t="s">
        <v>7</v>
      </c>
      <c r="V64" s="297"/>
      <c r="W64" s="297"/>
      <c r="X64" s="297"/>
      <c r="Y64" s="297"/>
      <c r="Z64" s="297"/>
      <c r="AA64" s="297"/>
      <c r="AB64" s="75"/>
      <c r="AC64" s="46">
        <f>Form!K5</f>
        <v>42855</v>
      </c>
    </row>
    <row r="65" spans="1:29" ht="14.4" customHeight="1" x14ac:dyDescent="0.25">
      <c r="V65" s="59"/>
      <c r="W65" s="60"/>
      <c r="X65" s="59"/>
      <c r="Y65" s="76"/>
      <c r="AC65" s="77" t="s">
        <v>3</v>
      </c>
    </row>
    <row r="66" spans="1:29" ht="14.4" customHeight="1" x14ac:dyDescent="0.25">
      <c r="V66" s="59"/>
      <c r="W66" s="60"/>
      <c r="X66" s="59"/>
      <c r="Y66" s="76"/>
      <c r="AC66" s="77"/>
    </row>
    <row r="67" spans="1:29" x14ac:dyDescent="0.25">
      <c r="A67" s="62" t="s">
        <v>8</v>
      </c>
      <c r="V67" s="59"/>
      <c r="W67" s="78"/>
      <c r="X67" s="22"/>
      <c r="Y67" s="79"/>
      <c r="Z67" s="75"/>
      <c r="AA67" s="80"/>
      <c r="AC67" s="64"/>
    </row>
    <row r="68" spans="1:29" x14ac:dyDescent="0.25">
      <c r="AC68" s="77" t="s">
        <v>3</v>
      </c>
    </row>
  </sheetData>
  <mergeCells count="7">
    <mergeCell ref="V64:AA64"/>
    <mergeCell ref="A1:AE1"/>
    <mergeCell ref="A2:AE2"/>
    <mergeCell ref="A3:AE3"/>
    <mergeCell ref="S5:X5"/>
    <mergeCell ref="S7:V7"/>
    <mergeCell ref="S8:U8"/>
  </mergeCells>
  <conditionalFormatting sqref="A11:AF66">
    <cfRule type="expression" dxfId="8" priority="1">
      <formula>$S11=100%</formula>
    </cfRule>
  </conditionalFormatting>
  <dataValidations count="1">
    <dataValidation allowBlank="1" sqref="S11:S61 J11:Q62 F11:I6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List!$A$4:$A$24</xm:f>
          </x14:formula1>
          <xm:sqref>D11:D61 E59:E61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2"/>
  <sheetViews>
    <sheetView showGridLines="0" workbookViewId="0">
      <pane xSplit="3" ySplit="1" topLeftCell="D22" activePane="bottomRight" state="frozen"/>
      <selection pane="topRight" activeCell="C1" sqref="C1"/>
      <selection pane="bottomLeft" activeCell="A2" sqref="A2"/>
      <selection pane="bottomRight" activeCell="F48" sqref="F48"/>
    </sheetView>
  </sheetViews>
  <sheetFormatPr defaultRowHeight="13.2" x14ac:dyDescent="0.25"/>
  <cols>
    <col min="1" max="1" width="10" style="94" customWidth="1"/>
    <col min="2" max="2" width="1.77734375" style="102" customWidth="1"/>
    <col min="3" max="3" width="10.88671875" style="89" bestFit="1" customWidth="1"/>
    <col min="4" max="4" width="10.88671875" style="89" customWidth="1"/>
    <col min="5" max="5" width="53.109375" bestFit="1" customWidth="1"/>
    <col min="6" max="6" width="18.21875" customWidth="1"/>
    <col min="7" max="7" width="15.21875" customWidth="1"/>
  </cols>
  <sheetData>
    <row r="1" spans="1:8" s="197" customFormat="1" x14ac:dyDescent="0.25">
      <c r="A1" s="193" t="s">
        <v>107</v>
      </c>
      <c r="B1" s="194"/>
      <c r="C1" s="195" t="s">
        <v>97</v>
      </c>
      <c r="D1" s="195" t="s">
        <v>3</v>
      </c>
      <c r="E1" s="196" t="s">
        <v>98</v>
      </c>
      <c r="F1" s="196" t="s">
        <v>101</v>
      </c>
      <c r="G1" s="197" t="s">
        <v>216</v>
      </c>
      <c r="H1" s="201" t="s">
        <v>234</v>
      </c>
    </row>
    <row r="2" spans="1:8" x14ac:dyDescent="0.25">
      <c r="A2" s="98">
        <v>1</v>
      </c>
      <c r="B2" s="100"/>
      <c r="C2" s="227">
        <v>3456.01</v>
      </c>
      <c r="D2" s="228">
        <v>42227</v>
      </c>
      <c r="E2" s="229" t="s">
        <v>49</v>
      </c>
      <c r="F2" s="230">
        <v>157470</v>
      </c>
      <c r="G2" s="231"/>
      <c r="H2" s="232"/>
    </row>
    <row r="3" spans="1:8" x14ac:dyDescent="0.25">
      <c r="A3" s="97">
        <v>2</v>
      </c>
      <c r="B3" s="100"/>
      <c r="C3" s="233">
        <v>3456.02</v>
      </c>
      <c r="D3" s="234">
        <v>42320</v>
      </c>
      <c r="E3" s="235" t="s">
        <v>47</v>
      </c>
      <c r="F3" s="236">
        <v>157470</v>
      </c>
      <c r="G3" s="231"/>
      <c r="H3" s="232"/>
    </row>
    <row r="4" spans="1:8" x14ac:dyDescent="0.25">
      <c r="A4" s="96">
        <v>3</v>
      </c>
      <c r="B4" s="100"/>
      <c r="C4" s="238">
        <v>51222</v>
      </c>
      <c r="D4" s="239">
        <v>42417</v>
      </c>
      <c r="E4" s="240" t="s">
        <v>53</v>
      </c>
      <c r="F4" s="241">
        <v>104980</v>
      </c>
      <c r="G4" s="231"/>
      <c r="H4" s="232"/>
    </row>
    <row r="5" spans="1:8" x14ac:dyDescent="0.25">
      <c r="A5" s="97">
        <v>4</v>
      </c>
      <c r="B5" s="100"/>
      <c r="C5" s="233">
        <v>51222</v>
      </c>
      <c r="D5" s="234">
        <v>42417</v>
      </c>
      <c r="E5" s="235" t="s">
        <v>54</v>
      </c>
      <c r="F5" s="236">
        <v>104980</v>
      </c>
      <c r="G5" s="231"/>
      <c r="H5" s="232"/>
    </row>
    <row r="6" spans="1:8" x14ac:dyDescent="0.25">
      <c r="A6" s="96">
        <v>5</v>
      </c>
      <c r="B6" s="100"/>
      <c r="C6" s="233">
        <v>3456.03</v>
      </c>
      <c r="D6" s="234">
        <v>42515</v>
      </c>
      <c r="E6" s="235" t="s">
        <v>105</v>
      </c>
      <c r="F6" s="236">
        <v>423360</v>
      </c>
      <c r="G6" s="231"/>
      <c r="H6" s="232"/>
    </row>
    <row r="7" spans="1:8" x14ac:dyDescent="0.25">
      <c r="A7" s="97">
        <v>6</v>
      </c>
      <c r="B7" s="100"/>
      <c r="C7" s="233">
        <v>3456.04</v>
      </c>
      <c r="D7" s="234">
        <v>42515</v>
      </c>
      <c r="E7" s="237" t="s">
        <v>106</v>
      </c>
      <c r="F7" s="236">
        <v>1607500</v>
      </c>
      <c r="G7" s="231"/>
      <c r="H7" s="232"/>
    </row>
    <row r="8" spans="1:8" x14ac:dyDescent="0.25">
      <c r="A8" s="96">
        <v>7</v>
      </c>
      <c r="B8" s="100"/>
      <c r="C8" s="233">
        <v>51315</v>
      </c>
      <c r="D8" s="234">
        <v>42515</v>
      </c>
      <c r="E8" s="235" t="s">
        <v>102</v>
      </c>
      <c r="F8" s="236">
        <v>90800</v>
      </c>
      <c r="G8" s="231"/>
      <c r="H8" s="232"/>
    </row>
    <row r="9" spans="1:8" x14ac:dyDescent="0.25">
      <c r="A9" s="97">
        <v>8</v>
      </c>
      <c r="B9" s="100"/>
      <c r="C9" s="233">
        <v>3456.05</v>
      </c>
      <c r="D9" s="234">
        <v>42601</v>
      </c>
      <c r="E9" s="235" t="s">
        <v>104</v>
      </c>
      <c r="F9" s="236">
        <v>317520</v>
      </c>
      <c r="G9" s="231"/>
      <c r="H9" s="232"/>
    </row>
    <row r="10" spans="1:8" x14ac:dyDescent="0.25">
      <c r="A10" s="96">
        <v>9</v>
      </c>
      <c r="B10" s="100"/>
      <c r="C10" s="233">
        <v>51419</v>
      </c>
      <c r="D10" s="234">
        <v>42611</v>
      </c>
      <c r="E10" s="235" t="s">
        <v>99</v>
      </c>
      <c r="F10" s="236">
        <v>80784</v>
      </c>
      <c r="G10" s="231"/>
      <c r="H10" s="232"/>
    </row>
    <row r="11" spans="1:8" x14ac:dyDescent="0.25">
      <c r="A11" s="97">
        <v>10</v>
      </c>
      <c r="B11" s="100"/>
      <c r="C11" s="233">
        <v>51419</v>
      </c>
      <c r="D11" s="234">
        <v>42611</v>
      </c>
      <c r="E11" s="235" t="s">
        <v>59</v>
      </c>
      <c r="F11" s="236">
        <v>158760</v>
      </c>
      <c r="G11" s="231"/>
      <c r="H11" s="232"/>
    </row>
    <row r="12" spans="1:8" x14ac:dyDescent="0.25">
      <c r="A12" s="96">
        <v>11</v>
      </c>
      <c r="B12" s="100"/>
      <c r="C12" s="233">
        <v>51428</v>
      </c>
      <c r="D12" s="234">
        <v>42612</v>
      </c>
      <c r="E12" s="235" t="s">
        <v>100</v>
      </c>
      <c r="F12" s="236">
        <v>71500</v>
      </c>
      <c r="G12" s="231"/>
      <c r="H12" s="232"/>
    </row>
    <row r="13" spans="1:8" x14ac:dyDescent="0.25">
      <c r="A13" s="97">
        <v>12</v>
      </c>
      <c r="B13" s="100"/>
      <c r="C13" s="238">
        <v>3456.06</v>
      </c>
      <c r="D13" s="239">
        <v>42633</v>
      </c>
      <c r="E13" s="240" t="s">
        <v>58</v>
      </c>
      <c r="F13" s="241">
        <v>1446750</v>
      </c>
      <c r="G13" s="231"/>
      <c r="H13" s="232"/>
    </row>
    <row r="14" spans="1:8" x14ac:dyDescent="0.25">
      <c r="A14" s="96">
        <v>13</v>
      </c>
      <c r="B14" s="100"/>
      <c r="C14" s="233">
        <v>51448</v>
      </c>
      <c r="D14" s="234">
        <v>42636</v>
      </c>
      <c r="E14" s="235" t="s">
        <v>99</v>
      </c>
      <c r="F14" s="236">
        <v>73440</v>
      </c>
      <c r="G14" s="231"/>
      <c r="H14" s="242"/>
    </row>
    <row r="15" spans="1:8" x14ac:dyDescent="0.25">
      <c r="A15" s="97">
        <v>14</v>
      </c>
      <c r="B15" s="100"/>
      <c r="C15" s="233">
        <v>51448</v>
      </c>
      <c r="D15" s="234">
        <v>42636</v>
      </c>
      <c r="E15" s="235" t="s">
        <v>59</v>
      </c>
      <c r="F15" s="236">
        <v>158760</v>
      </c>
      <c r="G15" s="231"/>
      <c r="H15" s="242"/>
    </row>
    <row r="16" spans="1:8" x14ac:dyDescent="0.25">
      <c r="A16" s="96">
        <v>15</v>
      </c>
      <c r="B16" s="100"/>
      <c r="C16" s="233">
        <v>51450</v>
      </c>
      <c r="D16" s="234">
        <v>42639</v>
      </c>
      <c r="E16" s="235" t="s">
        <v>99</v>
      </c>
      <c r="F16" s="236">
        <v>161568</v>
      </c>
      <c r="G16" s="231"/>
      <c r="H16" s="242"/>
    </row>
    <row r="17" spans="1:11" x14ac:dyDescent="0.25">
      <c r="A17" s="97">
        <v>16</v>
      </c>
      <c r="B17" s="100"/>
      <c r="C17" s="233">
        <v>51450</v>
      </c>
      <c r="D17" s="234">
        <v>42639</v>
      </c>
      <c r="E17" s="235" t="s">
        <v>60</v>
      </c>
      <c r="F17" s="236">
        <v>160750</v>
      </c>
      <c r="G17" s="231"/>
      <c r="H17" s="242"/>
    </row>
    <row r="18" spans="1:11" x14ac:dyDescent="0.25">
      <c r="A18" s="96">
        <v>17</v>
      </c>
      <c r="B18" s="100"/>
      <c r="C18" s="233">
        <v>51450</v>
      </c>
      <c r="D18" s="234">
        <v>42639</v>
      </c>
      <c r="E18" s="235" t="s">
        <v>61</v>
      </c>
      <c r="F18" s="236">
        <v>160750</v>
      </c>
      <c r="G18" s="231"/>
      <c r="H18" s="242"/>
    </row>
    <row r="19" spans="1:11" x14ac:dyDescent="0.25">
      <c r="A19" s="97">
        <v>18</v>
      </c>
      <c r="B19" s="100"/>
      <c r="C19" s="233">
        <v>51451</v>
      </c>
      <c r="D19" s="234">
        <v>42639</v>
      </c>
      <c r="E19" s="235" t="s">
        <v>110</v>
      </c>
      <c r="F19" s="236">
        <v>36800</v>
      </c>
      <c r="G19" s="231"/>
      <c r="H19" s="242"/>
    </row>
    <row r="20" spans="1:11" x14ac:dyDescent="0.25">
      <c r="A20" s="96">
        <v>19</v>
      </c>
      <c r="B20" s="100"/>
      <c r="C20" s="233">
        <v>51452</v>
      </c>
      <c r="D20" s="234">
        <v>42639</v>
      </c>
      <c r="E20" s="235" t="s">
        <v>111</v>
      </c>
      <c r="F20" s="236">
        <v>38000</v>
      </c>
      <c r="G20" s="231"/>
      <c r="H20" s="242"/>
    </row>
    <row r="21" spans="1:11" x14ac:dyDescent="0.25">
      <c r="A21" s="97">
        <v>20</v>
      </c>
      <c r="B21" s="100"/>
      <c r="C21" s="233">
        <v>51511</v>
      </c>
      <c r="D21" s="234">
        <v>42698</v>
      </c>
      <c r="E21" s="235" t="s">
        <v>229</v>
      </c>
      <c r="F21" s="236">
        <v>7554.66</v>
      </c>
      <c r="G21" s="231">
        <v>42753</v>
      </c>
      <c r="H21" s="242"/>
    </row>
    <row r="22" spans="1:11" x14ac:dyDescent="0.25">
      <c r="A22" s="96">
        <v>21</v>
      </c>
      <c r="B22" s="100"/>
      <c r="C22" s="233">
        <v>51533</v>
      </c>
      <c r="D22" s="234">
        <v>42704</v>
      </c>
      <c r="E22" s="235" t="s">
        <v>62</v>
      </c>
      <c r="F22" s="236">
        <v>160750</v>
      </c>
      <c r="G22" s="231">
        <v>42706</v>
      </c>
      <c r="H22" s="242"/>
    </row>
    <row r="23" spans="1:11" x14ac:dyDescent="0.25">
      <c r="A23" s="97">
        <v>22</v>
      </c>
      <c r="B23" s="100"/>
      <c r="C23" s="233">
        <v>51533</v>
      </c>
      <c r="D23" s="234">
        <v>42704</v>
      </c>
      <c r="E23" s="235" t="s">
        <v>212</v>
      </c>
      <c r="F23" s="236">
        <v>23000</v>
      </c>
      <c r="G23" s="231">
        <v>42706</v>
      </c>
      <c r="H23" s="242"/>
    </row>
    <row r="24" spans="1:11" x14ac:dyDescent="0.25">
      <c r="A24" s="96">
        <v>23</v>
      </c>
      <c r="B24" s="100"/>
      <c r="C24" s="233">
        <v>51554</v>
      </c>
      <c r="D24" s="234">
        <v>42723</v>
      </c>
      <c r="E24" s="235" t="s">
        <v>110</v>
      </c>
      <c r="F24" s="236">
        <v>27600</v>
      </c>
      <c r="G24" s="231">
        <v>42753</v>
      </c>
      <c r="H24" s="242"/>
    </row>
    <row r="25" spans="1:11" x14ac:dyDescent="0.25">
      <c r="A25" s="97">
        <v>24</v>
      </c>
      <c r="B25" s="100"/>
      <c r="C25" s="233">
        <v>51589</v>
      </c>
      <c r="D25" s="234">
        <v>42727</v>
      </c>
      <c r="E25" s="235" t="s">
        <v>212</v>
      </c>
      <c r="F25" s="236">
        <v>101080</v>
      </c>
      <c r="G25" s="231">
        <v>42781</v>
      </c>
      <c r="H25" s="242">
        <v>24</v>
      </c>
    </row>
    <row r="26" spans="1:11" x14ac:dyDescent="0.25">
      <c r="A26" s="96">
        <v>25</v>
      </c>
      <c r="B26" s="100"/>
      <c r="C26" s="233">
        <v>51589</v>
      </c>
      <c r="D26" s="234">
        <v>42727</v>
      </c>
      <c r="E26" s="235" t="s">
        <v>63</v>
      </c>
      <c r="F26" s="236">
        <v>160750</v>
      </c>
      <c r="G26" s="231">
        <v>42781</v>
      </c>
      <c r="H26" s="242">
        <v>13</v>
      </c>
    </row>
    <row r="27" spans="1:11" x14ac:dyDescent="0.25">
      <c r="A27" s="97">
        <v>26</v>
      </c>
      <c r="B27" s="100"/>
      <c r="C27" s="233">
        <v>51589</v>
      </c>
      <c r="D27" s="234">
        <v>42727</v>
      </c>
      <c r="E27" s="235" t="s">
        <v>64</v>
      </c>
      <c r="F27" s="236">
        <v>160750</v>
      </c>
      <c r="G27" s="231">
        <v>42781</v>
      </c>
      <c r="H27" s="242">
        <v>14</v>
      </c>
    </row>
    <row r="28" spans="1:11" x14ac:dyDescent="0.25">
      <c r="A28" s="96">
        <v>27</v>
      </c>
      <c r="B28" s="100"/>
      <c r="C28" s="233">
        <v>51589</v>
      </c>
      <c r="D28" s="234">
        <v>42727</v>
      </c>
      <c r="E28" s="235" t="s">
        <v>65</v>
      </c>
      <c r="F28" s="236">
        <v>160750</v>
      </c>
      <c r="G28" s="231">
        <v>42781</v>
      </c>
      <c r="H28" s="242">
        <v>15</v>
      </c>
    </row>
    <row r="29" spans="1:11" x14ac:dyDescent="0.25">
      <c r="A29" s="97">
        <v>28</v>
      </c>
      <c r="B29" s="100"/>
      <c r="C29" s="233">
        <v>51589</v>
      </c>
      <c r="D29" s="234">
        <v>42727</v>
      </c>
      <c r="E29" s="235" t="s">
        <v>66</v>
      </c>
      <c r="F29" s="236">
        <v>160750</v>
      </c>
      <c r="G29" s="231">
        <v>42781</v>
      </c>
      <c r="H29" s="242">
        <v>16</v>
      </c>
      <c r="K29">
        <f>64300*4</f>
        <v>257200</v>
      </c>
    </row>
    <row r="30" spans="1:11" x14ac:dyDescent="0.25">
      <c r="A30" s="96">
        <v>29</v>
      </c>
      <c r="B30" s="100"/>
      <c r="C30" s="233">
        <v>51589</v>
      </c>
      <c r="D30" s="234">
        <v>42727</v>
      </c>
      <c r="E30" s="235" t="s">
        <v>67</v>
      </c>
      <c r="F30" s="236">
        <v>160750</v>
      </c>
      <c r="G30" s="231">
        <v>42781</v>
      </c>
      <c r="H30" s="242">
        <v>17</v>
      </c>
    </row>
    <row r="31" spans="1:11" x14ac:dyDescent="0.25">
      <c r="A31" s="97">
        <v>30</v>
      </c>
      <c r="B31" s="100"/>
      <c r="C31" s="233">
        <v>51589</v>
      </c>
      <c r="D31" s="234">
        <v>42727</v>
      </c>
      <c r="E31" s="235" t="s">
        <v>68</v>
      </c>
      <c r="F31" s="236">
        <v>160750</v>
      </c>
      <c r="G31" s="231">
        <v>42781</v>
      </c>
      <c r="H31" s="242">
        <v>18</v>
      </c>
    </row>
    <row r="32" spans="1:11" x14ac:dyDescent="0.25">
      <c r="A32" s="96">
        <v>31</v>
      </c>
      <c r="B32" s="100"/>
      <c r="C32" s="233">
        <v>51589</v>
      </c>
      <c r="D32" s="234">
        <v>42727</v>
      </c>
      <c r="E32" s="235" t="s">
        <v>233</v>
      </c>
      <c r="F32" s="236">
        <v>102796.32</v>
      </c>
      <c r="G32" s="231">
        <v>42781</v>
      </c>
      <c r="H32" s="242">
        <v>48</v>
      </c>
    </row>
    <row r="33" spans="1:8" x14ac:dyDescent="0.25">
      <c r="A33" s="97">
        <v>32</v>
      </c>
      <c r="B33" s="100"/>
      <c r="C33" s="233">
        <v>51595</v>
      </c>
      <c r="D33" s="234">
        <v>42735</v>
      </c>
      <c r="E33" s="235" t="s">
        <v>230</v>
      </c>
      <c r="F33" s="236">
        <v>21335</v>
      </c>
      <c r="G33" s="231">
        <v>42753</v>
      </c>
      <c r="H33" s="242">
        <v>50</v>
      </c>
    </row>
    <row r="34" spans="1:8" x14ac:dyDescent="0.25">
      <c r="A34" s="96">
        <v>33</v>
      </c>
      <c r="B34" s="100"/>
      <c r="C34" s="233">
        <v>51595</v>
      </c>
      <c r="D34" s="234">
        <v>42735</v>
      </c>
      <c r="E34" s="235" t="s">
        <v>232</v>
      </c>
      <c r="F34" s="236">
        <v>11856.48</v>
      </c>
      <c r="G34" s="231">
        <v>42753</v>
      </c>
      <c r="H34" s="242">
        <v>49</v>
      </c>
    </row>
    <row r="35" spans="1:8" x14ac:dyDescent="0.25">
      <c r="A35" s="97">
        <v>34</v>
      </c>
      <c r="B35" s="100"/>
      <c r="C35" s="233">
        <v>51599</v>
      </c>
      <c r="D35" s="234">
        <v>42755</v>
      </c>
      <c r="E35" s="235" t="s">
        <v>212</v>
      </c>
      <c r="F35" s="236">
        <v>23000</v>
      </c>
      <c r="G35" s="231">
        <v>42781</v>
      </c>
      <c r="H35" s="242">
        <v>24</v>
      </c>
    </row>
    <row r="36" spans="1:8" x14ac:dyDescent="0.25">
      <c r="A36" s="96">
        <v>35</v>
      </c>
      <c r="B36" s="100"/>
      <c r="C36" s="233">
        <v>51600</v>
      </c>
      <c r="D36" s="234">
        <v>42758</v>
      </c>
      <c r="E36" s="235" t="s">
        <v>232</v>
      </c>
      <c r="F36" s="236">
        <v>1976.08</v>
      </c>
      <c r="G36" s="231">
        <v>42783</v>
      </c>
      <c r="H36" s="242">
        <v>49</v>
      </c>
    </row>
    <row r="37" spans="1:8" x14ac:dyDescent="0.25">
      <c r="A37" s="97">
        <v>36</v>
      </c>
      <c r="B37" s="100"/>
      <c r="C37" s="233">
        <v>51640</v>
      </c>
      <c r="D37" s="234">
        <v>42852</v>
      </c>
      <c r="E37" s="235" t="s">
        <v>69</v>
      </c>
      <c r="F37" s="236">
        <v>160750</v>
      </c>
      <c r="G37" s="231">
        <v>42853</v>
      </c>
      <c r="H37" s="242">
        <v>19</v>
      </c>
    </row>
    <row r="38" spans="1:8" x14ac:dyDescent="0.25">
      <c r="A38" s="96">
        <v>37</v>
      </c>
      <c r="B38" s="100"/>
      <c r="C38" s="233">
        <v>51640</v>
      </c>
      <c r="D38" s="234">
        <v>42852</v>
      </c>
      <c r="E38" s="235" t="s">
        <v>70</v>
      </c>
      <c r="F38" s="236">
        <v>160750</v>
      </c>
      <c r="G38" s="231">
        <v>42853</v>
      </c>
      <c r="H38" s="242">
        <v>20</v>
      </c>
    </row>
    <row r="39" spans="1:8" x14ac:dyDescent="0.25">
      <c r="A39" s="97">
        <v>38</v>
      </c>
      <c r="B39" s="100"/>
      <c r="C39" s="233">
        <v>51640</v>
      </c>
      <c r="D39" s="234">
        <v>42852</v>
      </c>
      <c r="E39" s="235" t="s">
        <v>212</v>
      </c>
      <c r="F39" s="236">
        <v>18160</v>
      </c>
      <c r="G39" s="231">
        <v>42853</v>
      </c>
      <c r="H39" s="242">
        <v>24</v>
      </c>
    </row>
    <row r="40" spans="1:8" x14ac:dyDescent="0.25">
      <c r="A40" s="96">
        <v>39</v>
      </c>
      <c r="B40" s="100"/>
      <c r="C40" s="233">
        <v>51640</v>
      </c>
      <c r="D40" s="234">
        <v>42852</v>
      </c>
      <c r="E40" s="235" t="s">
        <v>233</v>
      </c>
      <c r="F40" s="236">
        <v>34265.440000000002</v>
      </c>
      <c r="G40" s="231">
        <v>42853</v>
      </c>
      <c r="H40" s="242">
        <v>48</v>
      </c>
    </row>
    <row r="41" spans="1:8" x14ac:dyDescent="0.25">
      <c r="A41" s="99">
        <v>40</v>
      </c>
      <c r="B41" s="100"/>
      <c r="C41" s="233">
        <v>51640</v>
      </c>
      <c r="D41" s="234">
        <v>42852</v>
      </c>
      <c r="E41" s="240" t="s">
        <v>232</v>
      </c>
      <c r="F41" s="241">
        <v>3920</v>
      </c>
      <c r="G41" s="231">
        <v>42853</v>
      </c>
      <c r="H41" s="242">
        <v>49</v>
      </c>
    </row>
    <row r="42" spans="1:8" x14ac:dyDescent="0.25">
      <c r="A42" s="96">
        <v>41</v>
      </c>
      <c r="B42" s="100"/>
      <c r="C42" s="233" t="s">
        <v>404</v>
      </c>
      <c r="D42" s="234">
        <v>42831</v>
      </c>
      <c r="E42" s="235" t="s">
        <v>400</v>
      </c>
      <c r="F42" s="302">
        <v>428480</v>
      </c>
      <c r="G42" s="231">
        <v>42853</v>
      </c>
      <c r="H42" s="242">
        <v>82</v>
      </c>
    </row>
    <row r="43" spans="1:8" x14ac:dyDescent="0.25">
      <c r="A43" s="97">
        <v>42</v>
      </c>
      <c r="B43" s="100"/>
      <c r="C43" s="233"/>
      <c r="D43" s="233"/>
      <c r="E43" s="235"/>
      <c r="F43" s="302"/>
      <c r="G43" s="231"/>
      <c r="H43" s="242"/>
    </row>
    <row r="44" spans="1:8" x14ac:dyDescent="0.25">
      <c r="A44" s="96">
        <v>43</v>
      </c>
      <c r="B44" s="100"/>
      <c r="C44" s="233"/>
      <c r="D44" s="233"/>
      <c r="E44" s="235"/>
      <c r="F44" s="302"/>
      <c r="G44" s="231"/>
      <c r="H44" s="242"/>
    </row>
    <row r="45" spans="1:8" x14ac:dyDescent="0.25">
      <c r="A45" s="97">
        <v>44</v>
      </c>
      <c r="B45" s="100"/>
      <c r="C45" s="233"/>
      <c r="D45" s="233"/>
      <c r="E45" s="235"/>
      <c r="F45" s="302"/>
      <c r="G45" s="231"/>
      <c r="H45" s="242"/>
    </row>
    <row r="46" spans="1:8" x14ac:dyDescent="0.25">
      <c r="A46" s="96">
        <v>45</v>
      </c>
      <c r="B46" s="100"/>
      <c r="C46" s="233"/>
      <c r="D46" s="233"/>
      <c r="E46" s="235"/>
      <c r="F46" s="302"/>
      <c r="G46" s="231"/>
      <c r="H46" s="242"/>
    </row>
    <row r="47" spans="1:8" x14ac:dyDescent="0.25">
      <c r="A47" s="97">
        <v>46</v>
      </c>
      <c r="B47" s="100"/>
      <c r="C47" s="233"/>
      <c r="D47" s="233"/>
      <c r="E47" s="235"/>
      <c r="F47" s="302"/>
      <c r="G47" s="231"/>
      <c r="H47" s="242"/>
    </row>
    <row r="48" spans="1:8" x14ac:dyDescent="0.25">
      <c r="A48" s="96">
        <v>47</v>
      </c>
      <c r="B48" s="100"/>
      <c r="C48" s="233"/>
      <c r="D48" s="233"/>
      <c r="E48" s="235"/>
      <c r="F48" s="302"/>
      <c r="G48" s="231"/>
      <c r="H48" s="242"/>
    </row>
    <row r="49" spans="1:8" x14ac:dyDescent="0.25">
      <c r="A49" s="97">
        <v>48</v>
      </c>
      <c r="B49" s="100"/>
      <c r="C49" s="233"/>
      <c r="D49" s="233"/>
      <c r="E49" s="235"/>
      <c r="F49" s="302"/>
      <c r="G49" s="231"/>
      <c r="H49" s="242"/>
    </row>
    <row r="50" spans="1:8" x14ac:dyDescent="0.25">
      <c r="A50" s="96">
        <v>49</v>
      </c>
      <c r="B50" s="100"/>
      <c r="C50" s="233"/>
      <c r="D50" s="233"/>
      <c r="E50" s="235"/>
      <c r="F50" s="302"/>
      <c r="G50" s="231"/>
      <c r="H50" s="242"/>
    </row>
    <row r="51" spans="1:8" x14ac:dyDescent="0.25">
      <c r="A51" s="97">
        <v>50</v>
      </c>
      <c r="B51" s="100"/>
      <c r="C51" s="233"/>
      <c r="D51" s="233"/>
      <c r="E51" s="235"/>
      <c r="F51" s="302"/>
      <c r="G51" s="231"/>
      <c r="H51" s="242"/>
    </row>
    <row r="52" spans="1:8" x14ac:dyDescent="0.25">
      <c r="A52" s="95" t="s">
        <v>108</v>
      </c>
      <c r="B52" s="101"/>
      <c r="C52" s="243"/>
      <c r="D52" s="243"/>
      <c r="E52" s="244"/>
      <c r="F52" s="245">
        <f>SUBTOTAL(109,Invoices!$F$2:$F$51)</f>
        <v>7763715.9800000014</v>
      </c>
      <c r="G52" s="246"/>
      <c r="H52" s="242"/>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ErrorMessage="1" error="Must choose a milestone (PO line) in the drop down menu.">
          <x14:formula1>
            <xm:f>' Accting USE Data Entry Form'!$B$11:$B$104</xm:f>
          </x14:formula1>
          <xm:sqref>E53:E1048576</xm:sqref>
        </x14:dataValidation>
        <x14:dataValidation type="list" allowBlank="1" showInputMessage="1" showErrorMessage="1" error="Must choose a milestone (PO line) in the drop down menu.">
          <x14:formula1>
            <xm:f>' Accting USE Data Entry Form'!$B$11:$B$104</xm:f>
          </x14:formula1>
          <xm:sqref>E2:E51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3.2" x14ac:dyDescent="0.25"/>
  <cols>
    <col min="6" max="6" width="12.44140625" bestFit="1" customWidth="1"/>
  </cols>
  <sheetData>
    <row r="9" spans="6:7" x14ac:dyDescent="0.25">
      <c r="F9" t="s">
        <v>235</v>
      </c>
      <c r="G9" t="s">
        <v>236</v>
      </c>
    </row>
    <row r="10" spans="6:7" x14ac:dyDescent="0.25">
      <c r="F10" s="202">
        <v>101080</v>
      </c>
      <c r="G10">
        <v>24</v>
      </c>
    </row>
    <row r="11" spans="6:7" x14ac:dyDescent="0.25">
      <c r="F11" s="202">
        <v>160750</v>
      </c>
      <c r="G11">
        <v>13</v>
      </c>
    </row>
    <row r="12" spans="6:7" x14ac:dyDescent="0.25">
      <c r="F12" s="202">
        <v>160750</v>
      </c>
      <c r="G12">
        <v>14</v>
      </c>
    </row>
    <row r="13" spans="6:7" x14ac:dyDescent="0.25">
      <c r="F13" s="202">
        <v>160750</v>
      </c>
      <c r="G13">
        <v>15</v>
      </c>
    </row>
    <row r="14" spans="6:7" x14ac:dyDescent="0.25">
      <c r="F14" s="202">
        <v>160750</v>
      </c>
      <c r="G14">
        <v>16</v>
      </c>
    </row>
    <row r="15" spans="6:7" x14ac:dyDescent="0.25">
      <c r="F15" s="202">
        <v>160750</v>
      </c>
      <c r="G15">
        <v>17</v>
      </c>
    </row>
    <row r="16" spans="6:7" x14ac:dyDescent="0.25">
      <c r="F16" s="202">
        <v>160750</v>
      </c>
      <c r="G16">
        <v>18</v>
      </c>
    </row>
    <row r="17" spans="6:7" x14ac:dyDescent="0.25">
      <c r="F17" s="202">
        <v>102796.32</v>
      </c>
      <c r="G17">
        <v>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1"/>
  <sheetViews>
    <sheetView zoomScale="70" zoomScaleNormal="70" workbookViewId="0">
      <pane xSplit="3" ySplit="1" topLeftCell="D20" activePane="bottomRight" state="frozen"/>
      <selection pane="topRight" activeCell="B1" sqref="B1"/>
      <selection pane="bottomLeft" activeCell="A2" sqref="A2"/>
      <selection pane="bottomRight" activeCell="N43" sqref="N43"/>
    </sheetView>
  </sheetViews>
  <sheetFormatPr defaultColWidth="9.109375" defaultRowHeight="18" x14ac:dyDescent="0.25"/>
  <cols>
    <col min="1" max="2" width="9.109375" style="109"/>
    <col min="3" max="3" width="7.88671875" style="108" customWidth="1"/>
    <col min="4" max="4" width="12.5546875" style="108" bestFit="1" customWidth="1"/>
    <col min="5" max="5" width="13.6640625" style="109" hidden="1" customWidth="1"/>
    <col min="6" max="6" width="13.6640625" style="108" hidden="1" customWidth="1"/>
    <col min="7" max="7" width="10.6640625" style="108" hidden="1" customWidth="1"/>
    <col min="8" max="8" width="13.5546875" style="159" hidden="1" customWidth="1"/>
    <col min="9" max="9" width="13.5546875" style="159" customWidth="1"/>
    <col min="10" max="10" width="14.6640625" style="159" customWidth="1"/>
    <col min="11" max="11" width="16" style="109" customWidth="1"/>
    <col min="12" max="12" width="12.77734375" style="109" customWidth="1"/>
    <col min="13" max="13" width="17.33203125" style="109" customWidth="1"/>
    <col min="14" max="14" width="17.6640625" style="109" customWidth="1"/>
    <col min="15" max="15" width="14.21875" style="109" hidden="1" customWidth="1"/>
    <col min="16" max="19" width="9.109375" style="109"/>
    <col min="20" max="21" width="12.21875" style="109" bestFit="1" customWidth="1"/>
    <col min="22" max="16384" width="9.109375" style="109"/>
  </cols>
  <sheetData>
    <row r="1" spans="3:15" s="112" customFormat="1" ht="34.200000000000003" customHeight="1" x14ac:dyDescent="0.25">
      <c r="C1" s="188" t="s">
        <v>217</v>
      </c>
      <c r="D1" s="189" t="s">
        <v>220</v>
      </c>
      <c r="E1" s="188" t="s">
        <v>218</v>
      </c>
      <c r="F1" s="190" t="s">
        <v>221</v>
      </c>
      <c r="G1" s="204" t="s">
        <v>237</v>
      </c>
      <c r="H1" s="190" t="s">
        <v>222</v>
      </c>
      <c r="I1" s="190" t="s">
        <v>219</v>
      </c>
      <c r="J1" s="190" t="s">
        <v>117</v>
      </c>
      <c r="K1" s="191" t="s">
        <v>226</v>
      </c>
      <c r="L1" s="191" t="s">
        <v>228</v>
      </c>
      <c r="M1" s="191" t="s">
        <v>239</v>
      </c>
      <c r="N1" s="191" t="s">
        <v>108</v>
      </c>
      <c r="O1" s="192" t="s">
        <v>227</v>
      </c>
    </row>
    <row r="2" spans="3:15" ht="18" customHeight="1" x14ac:dyDescent="0.25">
      <c r="C2" s="205">
        <v>1</v>
      </c>
      <c r="D2" s="206" t="s">
        <v>246</v>
      </c>
      <c r="E2" s="207">
        <v>42917</v>
      </c>
      <c r="F2" s="213">
        <v>42917</v>
      </c>
      <c r="G2" s="216">
        <v>0</v>
      </c>
      <c r="H2" s="208">
        <f>VLOOKUP(CavityStatus[[#This Row],[Unit '#]],IncentiveTable[],3)</f>
        <v>20196</v>
      </c>
      <c r="I2" s="214">
        <v>20196</v>
      </c>
      <c r="J2" s="209"/>
      <c r="K2" s="210"/>
      <c r="L2" s="210"/>
      <c r="M2" s="208">
        <f t="shared" ref="M2:M33" si="0">RICavMilestoneVal</f>
        <v>40187.5</v>
      </c>
      <c r="N2" s="210">
        <f>RICavMilestoneVal+CavityStatus[[#This Row],[Incentive Earned]]+CavityStatus[[#This Row],[Recipe Modification (Mod 9)]]+L2</f>
        <v>60383.5</v>
      </c>
      <c r="O2" s="209">
        <v>42587</v>
      </c>
    </row>
    <row r="3" spans="3:15" ht="18" customHeight="1" x14ac:dyDescent="0.25">
      <c r="C3" s="211">
        <v>2</v>
      </c>
      <c r="D3" s="206" t="s">
        <v>247</v>
      </c>
      <c r="E3" s="207">
        <f>VLOOKUP(CavityStatus[[#This Row],[Unit '#]],IncentiveTable[],2)</f>
        <v>42552</v>
      </c>
      <c r="F3" s="213">
        <v>42552</v>
      </c>
      <c r="G3" s="216">
        <f>IF(CavityStatus[[#This Row],[Actual Ship Date]]&lt;&gt;0,($F3-$E3)/7,0)</f>
        <v>0</v>
      </c>
      <c r="H3" s="208">
        <f>VLOOKUP(CavityStatus[[#This Row],[Unit '#]],IncentiveTable[],3)</f>
        <v>20196</v>
      </c>
      <c r="I3" s="214">
        <f t="shared" ref="I3:I46" si="1">IF($G3&gt;0,$H3-($G3*200),$H3)</f>
        <v>20196</v>
      </c>
      <c r="J3" s="215"/>
      <c r="K3" s="217"/>
      <c r="L3" s="217"/>
      <c r="M3" s="214">
        <f t="shared" si="0"/>
        <v>40187.5</v>
      </c>
      <c r="N3" s="217">
        <f>RICavMilestoneVal+CavityStatus[[#This Row],[Incentive Earned]]+CavityStatus[[#This Row],[Recipe Modification (Mod 9)]]+L3</f>
        <v>60383.5</v>
      </c>
      <c r="O3" s="215">
        <v>42587</v>
      </c>
    </row>
    <row r="4" spans="3:15" ht="18" customHeight="1" x14ac:dyDescent="0.25">
      <c r="C4" s="211">
        <v>5</v>
      </c>
      <c r="D4" s="206" t="s">
        <v>248</v>
      </c>
      <c r="E4" s="207">
        <f>VLOOKUP(CavityStatus[[#This Row],[Unit '#]],IncentiveTable[],2)</f>
        <v>42552</v>
      </c>
      <c r="F4" s="213">
        <v>42552</v>
      </c>
      <c r="G4" s="216">
        <f>IF(CavityStatus[[#This Row],[Actual Ship Date]]&lt;&gt;0,($F4-$E4)/7,0)</f>
        <v>0</v>
      </c>
      <c r="H4" s="208">
        <f>VLOOKUP(CavityStatus[[#This Row],[Unit '#]],IncentiveTable[],3)</f>
        <v>20196</v>
      </c>
      <c r="I4" s="214">
        <f t="shared" si="1"/>
        <v>20196</v>
      </c>
      <c r="J4" s="215"/>
      <c r="K4" s="217"/>
      <c r="L4" s="217"/>
      <c r="M4" s="214">
        <f t="shared" si="0"/>
        <v>40187.5</v>
      </c>
      <c r="N4" s="217">
        <f>RICavMilestoneVal+CavityStatus[[#This Row],[Incentive Earned]]+CavityStatus[[#This Row],[Recipe Modification (Mod 9)]]+L4</f>
        <v>60383.5</v>
      </c>
      <c r="O4" s="215">
        <v>42587</v>
      </c>
    </row>
    <row r="5" spans="3:15" ht="18" customHeight="1" x14ac:dyDescent="0.25">
      <c r="C5" s="211">
        <v>3</v>
      </c>
      <c r="D5" s="206" t="s">
        <v>249</v>
      </c>
      <c r="E5" s="207">
        <f>VLOOKUP(CavityStatus[[#This Row],[Unit '#]],IncentiveTable[],2)</f>
        <v>42552</v>
      </c>
      <c r="F5" s="213">
        <v>42552</v>
      </c>
      <c r="G5" s="216">
        <f>IF(CavityStatus[[#This Row],[Actual Ship Date]]&lt;&gt;0,($F5-$E5)/7,0)</f>
        <v>0</v>
      </c>
      <c r="H5" s="208">
        <f>VLOOKUP(CavityStatus[[#This Row],[Unit '#]],IncentiveTable[],3)</f>
        <v>20196</v>
      </c>
      <c r="I5" s="214">
        <f t="shared" si="1"/>
        <v>20196</v>
      </c>
      <c r="J5" s="215"/>
      <c r="K5" s="217"/>
      <c r="L5" s="217"/>
      <c r="M5" s="214">
        <f t="shared" si="0"/>
        <v>40187.5</v>
      </c>
      <c r="N5" s="217">
        <f>RICavMilestoneVal+CavityStatus[[#This Row],[Incentive Earned]]+CavityStatus[[#This Row],[Recipe Modification (Mod 9)]]+L5</f>
        <v>60383.5</v>
      </c>
      <c r="O5" s="215">
        <v>42587</v>
      </c>
    </row>
    <row r="6" spans="3:15" ht="18" customHeight="1" x14ac:dyDescent="0.25">
      <c r="C6" s="211">
        <v>4</v>
      </c>
      <c r="D6" s="206" t="s">
        <v>250</v>
      </c>
      <c r="E6" s="207">
        <f>VLOOKUP(CavityStatus[[#This Row],[Unit '#]],IncentiveTable[],2)</f>
        <v>42552</v>
      </c>
      <c r="F6" s="213">
        <v>42552</v>
      </c>
      <c r="G6" s="216">
        <f>IF(CavityStatus[[#This Row],[Actual Ship Date]]&lt;&gt;0,($F6-$E6)/7,0)</f>
        <v>0</v>
      </c>
      <c r="H6" s="208">
        <f>VLOOKUP(CavityStatus[[#This Row],[Unit '#]],IncentiveTable[],3)</f>
        <v>20196</v>
      </c>
      <c r="I6" s="214">
        <f t="shared" si="1"/>
        <v>20196</v>
      </c>
      <c r="J6" s="215"/>
      <c r="K6" s="217"/>
      <c r="L6" s="217"/>
      <c r="M6" s="214">
        <f t="shared" si="0"/>
        <v>40187.5</v>
      </c>
      <c r="N6" s="217">
        <f>RICavMilestoneVal+CavityStatus[[#This Row],[Incentive Earned]]+CavityStatus[[#This Row],[Recipe Modification (Mod 9)]]+L6</f>
        <v>60383.5</v>
      </c>
      <c r="O6" s="215">
        <v>42587</v>
      </c>
    </row>
    <row r="7" spans="3:15" ht="18" customHeight="1" x14ac:dyDescent="0.25">
      <c r="C7" s="211">
        <v>6</v>
      </c>
      <c r="D7" s="206" t="s">
        <v>251</v>
      </c>
      <c r="E7" s="207">
        <f>VLOOKUP(CavityStatus[[#This Row],[Unit '#]],IncentiveTable[],2)</f>
        <v>42552</v>
      </c>
      <c r="F7" s="213">
        <v>42552</v>
      </c>
      <c r="G7" s="216">
        <f>IF(CavityStatus[[#This Row],[Actual Ship Date]]&lt;&gt;0,($F7-$E7)/7,0)</f>
        <v>0</v>
      </c>
      <c r="H7" s="208">
        <f>VLOOKUP(CavityStatus[[#This Row],[Unit '#]],IncentiveTable[],3)</f>
        <v>20196</v>
      </c>
      <c r="I7" s="214">
        <f t="shared" si="1"/>
        <v>20196</v>
      </c>
      <c r="J7" s="215"/>
      <c r="K7" s="217"/>
      <c r="L7" s="217"/>
      <c r="M7" s="214">
        <f t="shared" si="0"/>
        <v>40187.5</v>
      </c>
      <c r="N7" s="217">
        <f>RICavMilestoneVal+CavityStatus[[#This Row],[Incentive Earned]]+CavityStatus[[#This Row],[Recipe Modification (Mod 9)]]+L7</f>
        <v>60383.5</v>
      </c>
      <c r="O7" s="215">
        <v>42587</v>
      </c>
    </row>
    <row r="8" spans="3:15" ht="18" customHeight="1" x14ac:dyDescent="0.25">
      <c r="C8" s="211">
        <v>7</v>
      </c>
      <c r="D8" s="206" t="s">
        <v>252</v>
      </c>
      <c r="E8" s="207">
        <f>VLOOKUP(CavityStatus[[#This Row],[Unit '#]],IncentiveTable[],2)</f>
        <v>42552</v>
      </c>
      <c r="F8" s="213">
        <v>42552</v>
      </c>
      <c r="G8" s="216">
        <f>IF(CavityStatus[[#This Row],[Actual Ship Date]]&lt;&gt;0,($F8-$E8)/7,0)</f>
        <v>0</v>
      </c>
      <c r="H8" s="208">
        <f>VLOOKUP(CavityStatus[[#This Row],[Unit '#]],IncentiveTable[],3)</f>
        <v>20196</v>
      </c>
      <c r="I8" s="214">
        <f t="shared" si="1"/>
        <v>20196</v>
      </c>
      <c r="J8" s="215"/>
      <c r="K8" s="217"/>
      <c r="L8" s="217"/>
      <c r="M8" s="214">
        <f t="shared" si="0"/>
        <v>40187.5</v>
      </c>
      <c r="N8" s="217">
        <f>RICavMilestoneVal+CavityStatus[[#This Row],[Incentive Earned]]+CavityStatus[[#This Row],[Recipe Modification (Mod 9)]]+L8</f>
        <v>60383.5</v>
      </c>
      <c r="O8" s="215">
        <v>42587</v>
      </c>
    </row>
    <row r="9" spans="3:15" ht="18" customHeight="1" x14ac:dyDescent="0.25">
      <c r="C9" s="211">
        <v>8</v>
      </c>
      <c r="D9" s="206" t="s">
        <v>253</v>
      </c>
      <c r="E9" s="207">
        <f>VLOOKUP(CavityStatus[[#This Row],[Unit '#]],IncentiveTable[],2)</f>
        <v>42552</v>
      </c>
      <c r="F9" s="213">
        <v>42552</v>
      </c>
      <c r="G9" s="216">
        <f>IF(CavityStatus[[#This Row],[Actual Ship Date]]&lt;&gt;0,($F9-$E9)/7,0)</f>
        <v>0</v>
      </c>
      <c r="H9" s="208">
        <f>VLOOKUP(CavityStatus[[#This Row],[Unit '#]],IncentiveTable[],3)</f>
        <v>20196</v>
      </c>
      <c r="I9" s="214">
        <f t="shared" si="1"/>
        <v>20196</v>
      </c>
      <c r="J9" s="215"/>
      <c r="K9" s="217"/>
      <c r="L9" s="217"/>
      <c r="M9" s="214">
        <f t="shared" si="0"/>
        <v>40187.5</v>
      </c>
      <c r="N9" s="217">
        <f>RICavMilestoneVal+CavityStatus[[#This Row],[Incentive Earned]]+CavityStatus[[#This Row],[Recipe Modification (Mod 9)]]+L9</f>
        <v>60383.5</v>
      </c>
      <c r="O9" s="215">
        <v>42587</v>
      </c>
    </row>
    <row r="10" spans="3:15" ht="18" customHeight="1" x14ac:dyDescent="0.25">
      <c r="C10" s="211">
        <v>9</v>
      </c>
      <c r="D10" s="206" t="s">
        <v>254</v>
      </c>
      <c r="E10" s="207">
        <f>VLOOKUP(CavityStatus[[#This Row],[Unit '#]],IncentiveTable[],2)</f>
        <v>42583</v>
      </c>
      <c r="F10" s="213">
        <v>42583</v>
      </c>
      <c r="G10" s="216">
        <f>IF(CavityStatus[[#This Row],[Actual Ship Date]]&lt;&gt;0,($F10-$E10)/7,0)</f>
        <v>0</v>
      </c>
      <c r="H10" s="208">
        <f>VLOOKUP(CavityStatus[[#This Row],[Unit '#]],IncentiveTable[],3)</f>
        <v>20196</v>
      </c>
      <c r="I10" s="214">
        <f t="shared" si="1"/>
        <v>20196</v>
      </c>
      <c r="J10" s="215"/>
      <c r="K10" s="217"/>
      <c r="L10" s="217"/>
      <c r="M10" s="214">
        <f t="shared" si="0"/>
        <v>40187.5</v>
      </c>
      <c r="N10" s="217">
        <f>RICavMilestoneVal+CavityStatus[[#This Row],[Incentive Earned]]+CavityStatus[[#This Row],[Recipe Modification (Mod 9)]]+L10</f>
        <v>60383.5</v>
      </c>
      <c r="O10" s="215">
        <v>42587</v>
      </c>
    </row>
    <row r="11" spans="3:15" ht="18" customHeight="1" x14ac:dyDescent="0.25">
      <c r="C11" s="211">
        <v>10</v>
      </c>
      <c r="D11" s="206" t="s">
        <v>255</v>
      </c>
      <c r="E11" s="207">
        <f>VLOOKUP(CavityStatus[[#This Row],[Unit '#]],IncentiveTable[],2)</f>
        <v>42583</v>
      </c>
      <c r="F11" s="213">
        <v>42583</v>
      </c>
      <c r="G11" s="216">
        <f>IF(CavityStatus[[#This Row],[Actual Ship Date]]&lt;&gt;0,($F11-$E11)/7,0)</f>
        <v>0</v>
      </c>
      <c r="H11" s="208">
        <f>VLOOKUP(CavityStatus[[#This Row],[Unit '#]],IncentiveTable[],3)</f>
        <v>20196</v>
      </c>
      <c r="I11" s="214">
        <f t="shared" si="1"/>
        <v>20196</v>
      </c>
      <c r="J11" s="215"/>
      <c r="K11" s="217"/>
      <c r="L11" s="217"/>
      <c r="M11" s="214">
        <f t="shared" si="0"/>
        <v>40187.5</v>
      </c>
      <c r="N11" s="217">
        <f>RICavMilestoneVal+CavityStatus[[#This Row],[Incentive Earned]]+CavityStatus[[#This Row],[Recipe Modification (Mod 9)]]+L11</f>
        <v>60383.5</v>
      </c>
      <c r="O11" s="215">
        <v>42587</v>
      </c>
    </row>
    <row r="12" spans="3:15" ht="18" customHeight="1" x14ac:dyDescent="0.25">
      <c r="C12" s="211">
        <v>13</v>
      </c>
      <c r="D12" s="206" t="s">
        <v>256</v>
      </c>
      <c r="E12" s="207">
        <f>VLOOKUP(CavityStatus[[#This Row],[Unit '#]],IncentiveTable[],2)</f>
        <v>42583</v>
      </c>
      <c r="F12" s="213">
        <v>42583</v>
      </c>
      <c r="G12" s="216">
        <f>IF(CavityStatus[[#This Row],[Actual Ship Date]]&lt;&gt;0,($F12-$E12)/7,0)</f>
        <v>0</v>
      </c>
      <c r="H12" s="208">
        <f>VLOOKUP(CavityStatus[[#This Row],[Unit '#]],IncentiveTable[],3)</f>
        <v>20196</v>
      </c>
      <c r="I12" s="214">
        <f t="shared" si="1"/>
        <v>20196</v>
      </c>
      <c r="J12" s="215"/>
      <c r="K12" s="217"/>
      <c r="L12" s="217"/>
      <c r="M12" s="214">
        <f t="shared" si="0"/>
        <v>40187.5</v>
      </c>
      <c r="N12" s="217">
        <f>RICavMilestoneVal+CavityStatus[[#This Row],[Incentive Earned]]+CavityStatus[[#This Row],[Recipe Modification (Mod 9)]]+L12</f>
        <v>60383.5</v>
      </c>
      <c r="O12" s="215">
        <v>42587</v>
      </c>
    </row>
    <row r="13" spans="3:15" ht="18" customHeight="1" x14ac:dyDescent="0.25">
      <c r="C13" s="211">
        <v>11</v>
      </c>
      <c r="D13" s="206" t="s">
        <v>257</v>
      </c>
      <c r="E13" s="207">
        <f>VLOOKUP(CavityStatus[[#This Row],[Unit '#]],IncentiveTable[],2)</f>
        <v>42583</v>
      </c>
      <c r="F13" s="213">
        <v>42583</v>
      </c>
      <c r="G13" s="216">
        <f>IF(CavityStatus[[#This Row],[Actual Ship Date]]&lt;&gt;0,($F13-$E13)/7,0)</f>
        <v>0</v>
      </c>
      <c r="H13" s="208">
        <f>VLOOKUP(CavityStatus[[#This Row],[Unit '#]],IncentiveTable[],3)</f>
        <v>20196</v>
      </c>
      <c r="I13" s="214">
        <f t="shared" si="1"/>
        <v>20196</v>
      </c>
      <c r="J13" s="215"/>
      <c r="K13" s="217"/>
      <c r="L13" s="217"/>
      <c r="M13" s="214">
        <f t="shared" si="0"/>
        <v>40187.5</v>
      </c>
      <c r="N13" s="217">
        <f>RICavMilestoneVal+CavityStatus[[#This Row],[Incentive Earned]]+CavityStatus[[#This Row],[Recipe Modification (Mod 9)]]+L13</f>
        <v>60383.5</v>
      </c>
      <c r="O13" s="215">
        <v>42587</v>
      </c>
    </row>
    <row r="14" spans="3:15" ht="18" customHeight="1" x14ac:dyDescent="0.25">
      <c r="C14" s="211">
        <v>14</v>
      </c>
      <c r="D14" s="206" t="s">
        <v>258</v>
      </c>
      <c r="E14" s="207">
        <f>VLOOKUP(CavityStatus[[#This Row],[Unit '#]],IncentiveTable[],2)</f>
        <v>42583</v>
      </c>
      <c r="F14" s="213">
        <v>42583</v>
      </c>
      <c r="G14" s="216">
        <f>IF(CavityStatus[[#This Row],[Actual Ship Date]]&lt;&gt;0,($F14-$E14)/7,0)</f>
        <v>0</v>
      </c>
      <c r="H14" s="208">
        <f>VLOOKUP(CavityStatus[[#This Row],[Unit '#]],IncentiveTable[],3)</f>
        <v>20196</v>
      </c>
      <c r="I14" s="214">
        <f t="shared" si="1"/>
        <v>20196</v>
      </c>
      <c r="J14" s="215"/>
      <c r="K14" s="217"/>
      <c r="L14" s="217"/>
      <c r="M14" s="214">
        <f t="shared" si="0"/>
        <v>40187.5</v>
      </c>
      <c r="N14" s="217">
        <f>RICavMilestoneVal+CavityStatus[[#This Row],[Incentive Earned]]+CavityStatus[[#This Row],[Recipe Modification (Mod 9)]]+L14</f>
        <v>60383.5</v>
      </c>
      <c r="O14" s="215">
        <v>42587</v>
      </c>
    </row>
    <row r="15" spans="3:15" ht="18" customHeight="1" x14ac:dyDescent="0.25">
      <c r="C15" s="211">
        <v>12</v>
      </c>
      <c r="D15" s="206" t="s">
        <v>259</v>
      </c>
      <c r="E15" s="207">
        <f>VLOOKUP(CavityStatus[[#This Row],[Unit '#]],IncentiveTable[],2)</f>
        <v>42583</v>
      </c>
      <c r="F15" s="213">
        <v>42583</v>
      </c>
      <c r="G15" s="216">
        <f>IF(CavityStatus[[#This Row],[Actual Ship Date]]&lt;&gt;0,($F15-$E15)/7,0)</f>
        <v>0</v>
      </c>
      <c r="H15" s="208">
        <f>VLOOKUP(CavityStatus[[#This Row],[Unit '#]],IncentiveTable[],3)</f>
        <v>20196</v>
      </c>
      <c r="I15" s="214">
        <f t="shared" si="1"/>
        <v>20196</v>
      </c>
      <c r="J15" s="215"/>
      <c r="K15" s="217"/>
      <c r="L15" s="217"/>
      <c r="M15" s="214">
        <f t="shared" si="0"/>
        <v>40187.5</v>
      </c>
      <c r="N15" s="217">
        <f>RICavMilestoneVal+CavityStatus[[#This Row],[Incentive Earned]]+CavityStatus[[#This Row],[Recipe Modification (Mod 9)]]+L15</f>
        <v>60383.5</v>
      </c>
      <c r="O15" s="215">
        <v>42587</v>
      </c>
    </row>
    <row r="16" spans="3:15" ht="18" customHeight="1" x14ac:dyDescent="0.25">
      <c r="C16" s="211">
        <v>15</v>
      </c>
      <c r="D16" s="206" t="s">
        <v>260</v>
      </c>
      <c r="E16" s="207">
        <f>VLOOKUP(CavityStatus[[#This Row],[Unit '#]],IncentiveTable[],2)</f>
        <v>42583</v>
      </c>
      <c r="F16" s="213">
        <v>42583</v>
      </c>
      <c r="G16" s="216">
        <f>IF(CavityStatus[[#This Row],[Actual Ship Date]]&lt;&gt;0,($F16-$E16)/7,0)</f>
        <v>0</v>
      </c>
      <c r="H16" s="208">
        <f>VLOOKUP(CavityStatus[[#This Row],[Unit '#]],IncentiveTable[],3)</f>
        <v>20196</v>
      </c>
      <c r="I16" s="214">
        <f t="shared" si="1"/>
        <v>20196</v>
      </c>
      <c r="J16" s="215"/>
      <c r="K16" s="217"/>
      <c r="L16" s="217"/>
      <c r="M16" s="214">
        <f t="shared" si="0"/>
        <v>40187.5</v>
      </c>
      <c r="N16" s="217">
        <f>RICavMilestoneVal+CavityStatus[[#This Row],[Incentive Earned]]+CavityStatus[[#This Row],[Recipe Modification (Mod 9)]]+L16</f>
        <v>60383.5</v>
      </c>
      <c r="O16" s="215">
        <v>42587</v>
      </c>
    </row>
    <row r="17" spans="3:18" ht="18" customHeight="1" x14ac:dyDescent="0.25">
      <c r="C17" s="211">
        <v>16</v>
      </c>
      <c r="D17" s="206" t="s">
        <v>261</v>
      </c>
      <c r="E17" s="207">
        <f>VLOOKUP(CavityStatus[[#This Row],[Unit '#]],IncentiveTable[],2)</f>
        <v>42583</v>
      </c>
      <c r="F17" s="213">
        <v>42583</v>
      </c>
      <c r="G17" s="216">
        <f>IF(CavityStatus[[#This Row],[Actual Ship Date]]&lt;&gt;0,($F17-$E17)/7,0)</f>
        <v>0</v>
      </c>
      <c r="H17" s="208">
        <f>VLOOKUP(CavityStatus[[#This Row],[Unit '#]],IncentiveTable[],3)</f>
        <v>20196</v>
      </c>
      <c r="I17" s="214">
        <f t="shared" si="1"/>
        <v>20196</v>
      </c>
      <c r="J17" s="215"/>
      <c r="K17" s="217"/>
      <c r="L17" s="217"/>
      <c r="M17" s="214">
        <f t="shared" si="0"/>
        <v>40187.5</v>
      </c>
      <c r="N17" s="217">
        <f>RICavMilestoneVal+CavityStatus[[#This Row],[Incentive Earned]]+CavityStatus[[#This Row],[Recipe Modification (Mod 9)]]+L17</f>
        <v>60383.5</v>
      </c>
      <c r="O17" s="215">
        <v>42587</v>
      </c>
    </row>
    <row r="18" spans="3:18" ht="18" customHeight="1" x14ac:dyDescent="0.25">
      <c r="C18" s="211">
        <v>17</v>
      </c>
      <c r="D18" s="206" t="s">
        <v>262</v>
      </c>
      <c r="E18" s="207">
        <f>VLOOKUP(CavityStatus[[#This Row],[Unit '#]],IncentiveTable[],2)</f>
        <v>42676</v>
      </c>
      <c r="F18" s="213">
        <v>42650</v>
      </c>
      <c r="G18" s="216">
        <f>IF(CavityStatus[[#This Row],[Actual Ship Date]]&lt;&gt;0,($F18-$E18)/7,0)</f>
        <v>-3.7142857142857144</v>
      </c>
      <c r="H18" s="208">
        <f>VLOOKUP(CavityStatus[[#This Row],[Unit '#]],IncentiveTable[],3)</f>
        <v>5750</v>
      </c>
      <c r="I18" s="214">
        <f t="shared" si="1"/>
        <v>5750</v>
      </c>
      <c r="J18" s="215">
        <v>42669</v>
      </c>
      <c r="K18" s="217"/>
      <c r="L18" s="214">
        <v>490</v>
      </c>
      <c r="M18" s="214">
        <f t="shared" si="0"/>
        <v>40187.5</v>
      </c>
      <c r="N18" s="217">
        <f>RICavMilestoneVal+CavityStatus[[#This Row],[Incentive Earned]]+CavityStatus[[#This Row],[Recipe Modification (Mod 9)]]+L18</f>
        <v>46427.5</v>
      </c>
      <c r="O18" s="218">
        <v>42705</v>
      </c>
      <c r="R18" s="109">
        <v>490</v>
      </c>
    </row>
    <row r="19" spans="3:18" ht="18" customHeight="1" x14ac:dyDescent="0.25">
      <c r="C19" s="211">
        <v>18</v>
      </c>
      <c r="D19" s="206" t="s">
        <v>263</v>
      </c>
      <c r="E19" s="207">
        <f>VLOOKUP(CavityStatus[[#This Row],[Unit '#]],IncentiveTable[],2)</f>
        <v>42676</v>
      </c>
      <c r="F19" s="213">
        <v>42650</v>
      </c>
      <c r="G19" s="216">
        <f>IF(CavityStatus[[#This Row],[Actual Ship Date]]&lt;&gt;0,($F19-$E19)/7,0)</f>
        <v>-3.7142857142857144</v>
      </c>
      <c r="H19" s="208">
        <f>VLOOKUP(CavityStatus[[#This Row],[Unit '#]],IncentiveTable[],3)</f>
        <v>5750</v>
      </c>
      <c r="I19" s="214">
        <f t="shared" si="1"/>
        <v>5750</v>
      </c>
      <c r="J19" s="215">
        <v>42669</v>
      </c>
      <c r="K19" s="217"/>
      <c r="L19" s="214">
        <v>490</v>
      </c>
      <c r="M19" s="214">
        <f t="shared" si="0"/>
        <v>40187.5</v>
      </c>
      <c r="N19" s="217">
        <f>RICavMilestoneVal+CavityStatus[[#This Row],[Incentive Earned]]+CavityStatus[[#This Row],[Recipe Modification (Mod 9)]]+L19</f>
        <v>46427.5</v>
      </c>
      <c r="O19" s="218">
        <v>42675</v>
      </c>
      <c r="R19" s="109">
        <f>R18</f>
        <v>490</v>
      </c>
    </row>
    <row r="20" spans="3:18" ht="18" customHeight="1" x14ac:dyDescent="0.25">
      <c r="C20" s="211">
        <v>19</v>
      </c>
      <c r="D20" s="206" t="s">
        <v>264</v>
      </c>
      <c r="E20" s="207">
        <f>VLOOKUP(CavityStatus[[#This Row],[Unit '#]],IncentiveTable[],2)</f>
        <v>42676</v>
      </c>
      <c r="F20" s="213">
        <v>42662</v>
      </c>
      <c r="G20" s="216">
        <f>IF(CavityStatus[[#This Row],[Actual Ship Date]]&lt;&gt;0,($F20-$E20)/7,0)</f>
        <v>-2</v>
      </c>
      <c r="H20" s="208">
        <f>VLOOKUP(CavityStatus[[#This Row],[Unit '#]],IncentiveTable[],3)</f>
        <v>5750</v>
      </c>
      <c r="I20" s="214">
        <f t="shared" si="1"/>
        <v>5750</v>
      </c>
      <c r="J20" s="215">
        <v>42669</v>
      </c>
      <c r="K20" s="217"/>
      <c r="L20" s="214">
        <v>490</v>
      </c>
      <c r="M20" s="214">
        <f t="shared" si="0"/>
        <v>40187.5</v>
      </c>
      <c r="N20" s="217">
        <f>RICavMilestoneVal+CavityStatus[[#This Row],[Incentive Earned]]+CavityStatus[[#This Row],[Recipe Modification (Mod 9)]]+L20</f>
        <v>46427.5</v>
      </c>
      <c r="O20" s="218">
        <v>42675</v>
      </c>
      <c r="R20" s="109">
        <f t="shared" ref="R20:R83" si="2">R19</f>
        <v>490</v>
      </c>
    </row>
    <row r="21" spans="3:18" ht="18" customHeight="1" x14ac:dyDescent="0.25">
      <c r="C21" s="211">
        <v>20</v>
      </c>
      <c r="D21" s="206" t="s">
        <v>265</v>
      </c>
      <c r="E21" s="207">
        <f>VLOOKUP(CavityStatus[[#This Row],[Unit '#]],IncentiveTable[],2)</f>
        <v>42676</v>
      </c>
      <c r="F21" s="213">
        <v>42662</v>
      </c>
      <c r="G21" s="216">
        <f>IF(CavityStatus[[#This Row],[Actual Ship Date]]&lt;&gt;0,($F21-$E21)/7,0)</f>
        <v>-2</v>
      </c>
      <c r="H21" s="208">
        <f>VLOOKUP(CavityStatus[[#This Row],[Unit '#]],IncentiveTable[],3)</f>
        <v>5750</v>
      </c>
      <c r="I21" s="214">
        <f t="shared" si="1"/>
        <v>5750</v>
      </c>
      <c r="J21" s="215">
        <v>42669</v>
      </c>
      <c r="K21" s="217"/>
      <c r="L21" s="214">
        <v>490</v>
      </c>
      <c r="M21" s="214">
        <f t="shared" si="0"/>
        <v>40187.5</v>
      </c>
      <c r="N21" s="217">
        <f>RICavMilestoneVal+CavityStatus[[#This Row],[Incentive Earned]]+CavityStatus[[#This Row],[Recipe Modification (Mod 9)]]+L21</f>
        <v>46427.5</v>
      </c>
      <c r="O21" s="218">
        <v>42675</v>
      </c>
      <c r="R21" s="109">
        <f t="shared" si="2"/>
        <v>490</v>
      </c>
    </row>
    <row r="22" spans="3:18" ht="18" customHeight="1" x14ac:dyDescent="0.25">
      <c r="C22" s="211">
        <v>21</v>
      </c>
      <c r="D22" s="206" t="s">
        <v>266</v>
      </c>
      <c r="E22" s="207">
        <f>VLOOKUP(CavityStatus[[#This Row],[Unit '#]],IncentiveTable[],2)</f>
        <v>42676</v>
      </c>
      <c r="F22" s="213">
        <v>42676</v>
      </c>
      <c r="G22" s="216">
        <f>IF(CavityStatus[[#This Row],[Actual Ship Date]]&lt;&gt;0,($F22-$E22)/7,0)</f>
        <v>0</v>
      </c>
      <c r="H22" s="208">
        <f>VLOOKUP(CavityStatus[[#This Row],[Unit '#]],IncentiveTable[],3)</f>
        <v>5750</v>
      </c>
      <c r="I22" s="214">
        <f t="shared" si="1"/>
        <v>5750</v>
      </c>
      <c r="J22" s="215">
        <v>42685</v>
      </c>
      <c r="K22" s="217">
        <v>4283.18</v>
      </c>
      <c r="L22" s="214">
        <v>490</v>
      </c>
      <c r="M22" s="214">
        <f t="shared" si="0"/>
        <v>40187.5</v>
      </c>
      <c r="N22" s="220">
        <f>RICavMilestoneVal+CavityStatus[[#This Row],[Incentive Earned]]+CavityStatus[[#This Row],[Recipe Modification (Mod 9)]]+L22</f>
        <v>50710.68</v>
      </c>
      <c r="O22" s="218">
        <v>42675</v>
      </c>
      <c r="R22" s="109">
        <f t="shared" si="2"/>
        <v>490</v>
      </c>
    </row>
    <row r="23" spans="3:18" ht="18" customHeight="1" x14ac:dyDescent="0.25">
      <c r="C23" s="211">
        <v>29</v>
      </c>
      <c r="D23" s="206" t="s">
        <v>267</v>
      </c>
      <c r="E23" s="207">
        <f>VLOOKUP(CavityStatus[[#This Row],[Unit '#]],IncentiveTable[],2)</f>
        <v>42704</v>
      </c>
      <c r="F23" s="213">
        <v>42690</v>
      </c>
      <c r="G23" s="216">
        <f>IF(CavityStatus[[#This Row],[Actual Ship Date]]&lt;&gt;0,($F23-$E23)/7,0)</f>
        <v>-2</v>
      </c>
      <c r="H23" s="208">
        <f>VLOOKUP(CavityStatus[[#This Row],[Unit '#]],IncentiveTable[],3)</f>
        <v>5750</v>
      </c>
      <c r="I23" s="214">
        <f t="shared" si="1"/>
        <v>5750</v>
      </c>
      <c r="J23" s="215">
        <v>42702</v>
      </c>
      <c r="K23" s="217">
        <v>4283.18</v>
      </c>
      <c r="L23" s="214">
        <v>490</v>
      </c>
      <c r="M23" s="214">
        <f t="shared" si="0"/>
        <v>40187.5</v>
      </c>
      <c r="N23" s="220">
        <f>RICavMilestoneVal+CavityStatus[[#This Row],[Incentive Earned]]+CavityStatus[[#This Row],[Recipe Modification (Mod 9)]]+L23</f>
        <v>50710.68</v>
      </c>
      <c r="O23" s="215">
        <v>42705</v>
      </c>
      <c r="R23" s="109">
        <f t="shared" si="2"/>
        <v>490</v>
      </c>
    </row>
    <row r="24" spans="3:18" ht="18" customHeight="1" x14ac:dyDescent="0.25">
      <c r="C24" s="211">
        <v>22</v>
      </c>
      <c r="D24" s="206" t="s">
        <v>268</v>
      </c>
      <c r="E24" s="207">
        <f>VLOOKUP(CavityStatus[[#This Row],[Unit '#]],IncentiveTable[],2)</f>
        <v>42676</v>
      </c>
      <c r="F24" s="213">
        <v>42676</v>
      </c>
      <c r="G24" s="216">
        <f>IF(CavityStatus[[#This Row],[Actual Ship Date]]&lt;&gt;0,($F24-$E24)/7,0)</f>
        <v>0</v>
      </c>
      <c r="H24" s="208">
        <f>VLOOKUP(CavityStatus[[#This Row],[Unit '#]],IncentiveTable[],3)</f>
        <v>5750</v>
      </c>
      <c r="I24" s="214">
        <f t="shared" si="1"/>
        <v>5750</v>
      </c>
      <c r="J24" s="215">
        <v>42685</v>
      </c>
      <c r="K24" s="217">
        <v>4283.18</v>
      </c>
      <c r="L24" s="214">
        <v>490</v>
      </c>
      <c r="M24" s="214">
        <f t="shared" si="0"/>
        <v>40187.5</v>
      </c>
      <c r="N24" s="220">
        <f>RICavMilestoneVal+CavityStatus[[#This Row],[Incentive Earned]]+CavityStatus[[#This Row],[Recipe Modification (Mod 9)]]+L24</f>
        <v>50710.68</v>
      </c>
      <c r="O24" s="218">
        <v>42675</v>
      </c>
      <c r="R24" s="109">
        <f t="shared" si="2"/>
        <v>490</v>
      </c>
    </row>
    <row r="25" spans="3:18" ht="18" customHeight="1" x14ac:dyDescent="0.25">
      <c r="C25" s="211">
        <v>23</v>
      </c>
      <c r="D25" s="206" t="s">
        <v>269</v>
      </c>
      <c r="E25" s="207">
        <f>VLOOKUP(CavityStatus[[#This Row],[Unit '#]],IncentiveTable[],2)</f>
        <v>42676</v>
      </c>
      <c r="F25" s="213">
        <v>42676</v>
      </c>
      <c r="G25" s="216">
        <f>IF(CavityStatus[[#This Row],[Actual Ship Date]]&lt;&gt;0,($F25-$E25)/7,0)</f>
        <v>0</v>
      </c>
      <c r="H25" s="208">
        <f>VLOOKUP(CavityStatus[[#This Row],[Unit '#]],IncentiveTable[],3)</f>
        <v>5750</v>
      </c>
      <c r="I25" s="214">
        <f t="shared" si="1"/>
        <v>5750</v>
      </c>
      <c r="J25" s="215">
        <v>42685</v>
      </c>
      <c r="K25" s="217">
        <v>4283.18</v>
      </c>
      <c r="L25" s="214">
        <v>490</v>
      </c>
      <c r="M25" s="214">
        <f t="shared" si="0"/>
        <v>40187.5</v>
      </c>
      <c r="N25" s="220">
        <f>RICavMilestoneVal+CavityStatus[[#This Row],[Incentive Earned]]+CavityStatus[[#This Row],[Recipe Modification (Mod 9)]]+L25</f>
        <v>50710.68</v>
      </c>
      <c r="O25" s="215">
        <v>42675</v>
      </c>
      <c r="R25" s="109">
        <f t="shared" si="2"/>
        <v>490</v>
      </c>
    </row>
    <row r="26" spans="3:18" ht="18" customHeight="1" x14ac:dyDescent="0.25">
      <c r="C26" s="211">
        <v>33</v>
      </c>
      <c r="D26" s="206" t="s">
        <v>270</v>
      </c>
      <c r="E26" s="207">
        <f>VLOOKUP(CavityStatus[[#This Row],[Unit '#]],IncentiveTable[],2)</f>
        <v>42704</v>
      </c>
      <c r="F26" s="213">
        <v>42698</v>
      </c>
      <c r="G26" s="216">
        <f>IF(CavityStatus[[#This Row],[Actual Ship Date]]&lt;&gt;0,($F26-$E26)/7,0)</f>
        <v>-0.8571428571428571</v>
      </c>
      <c r="H26" s="208">
        <f>VLOOKUP(CavityStatus[[#This Row],[Unit '#]],IncentiveTable[],3)</f>
        <v>5750</v>
      </c>
      <c r="I26" s="214">
        <f t="shared" si="1"/>
        <v>5750</v>
      </c>
      <c r="J26" s="215">
        <v>42705</v>
      </c>
      <c r="K26" s="217">
        <v>4283.18</v>
      </c>
      <c r="L26" s="214">
        <v>490</v>
      </c>
      <c r="M26" s="214">
        <f t="shared" si="0"/>
        <v>40187.5</v>
      </c>
      <c r="N26" s="220">
        <f>RICavMilestoneVal+CavityStatus[[#This Row],[Incentive Earned]]+CavityStatus[[#This Row],[Recipe Modification (Mod 9)]]+L26</f>
        <v>50710.68</v>
      </c>
      <c r="O26" s="215">
        <v>42705</v>
      </c>
      <c r="R26" s="109">
        <f t="shared" si="2"/>
        <v>490</v>
      </c>
    </row>
    <row r="27" spans="3:18" ht="18" customHeight="1" x14ac:dyDescent="0.25">
      <c r="C27" s="211">
        <v>25</v>
      </c>
      <c r="D27" s="206" t="s">
        <v>271</v>
      </c>
      <c r="E27" s="207">
        <f>VLOOKUP(CavityStatus[[#This Row],[Unit '#]],IncentiveTable[],2)</f>
        <v>42676</v>
      </c>
      <c r="F27" s="213">
        <v>42688</v>
      </c>
      <c r="G27" s="216">
        <f>IF(CavityStatus[[#This Row],[Actual Ship Date]]&lt;&gt;0,($F27-$E27)/7,0)</f>
        <v>1.7142857142857142</v>
      </c>
      <c r="H27" s="208">
        <f>VLOOKUP(CavityStatus[[#This Row],[Unit '#]],IncentiveTable[],3)</f>
        <v>5750</v>
      </c>
      <c r="I27" s="214">
        <f t="shared" si="1"/>
        <v>5407.1428571428569</v>
      </c>
      <c r="J27" s="215">
        <v>42695</v>
      </c>
      <c r="K27" s="217">
        <v>4283.18</v>
      </c>
      <c r="L27" s="214">
        <v>490</v>
      </c>
      <c r="M27" s="214">
        <f t="shared" si="0"/>
        <v>40187.5</v>
      </c>
      <c r="N27" s="220">
        <f>RICavMilestoneVal+CavityStatus[[#This Row],[Incentive Earned]]+CavityStatus[[#This Row],[Recipe Modification (Mod 9)]]+L27</f>
        <v>50367.822857142855</v>
      </c>
      <c r="O27" s="215">
        <v>42705</v>
      </c>
      <c r="R27" s="109">
        <f t="shared" si="2"/>
        <v>490</v>
      </c>
    </row>
    <row r="28" spans="3:18" ht="18" customHeight="1" x14ac:dyDescent="0.25">
      <c r="C28" s="211">
        <v>26</v>
      </c>
      <c r="D28" s="206" t="s">
        <v>272</v>
      </c>
      <c r="E28" s="207">
        <f>VLOOKUP(CavityStatus[[#This Row],[Unit '#]],IncentiveTable[],2)</f>
        <v>42676</v>
      </c>
      <c r="F28" s="213">
        <v>42688</v>
      </c>
      <c r="G28" s="216">
        <f>IF(CavityStatus[[#This Row],[Actual Ship Date]]&lt;&gt;0,($F28-$E28)/7,0)</f>
        <v>1.7142857142857142</v>
      </c>
      <c r="H28" s="208">
        <f>VLOOKUP(CavityStatus[[#This Row],[Unit '#]],IncentiveTable[],3)</f>
        <v>5750</v>
      </c>
      <c r="I28" s="214">
        <f t="shared" si="1"/>
        <v>5407.1428571428569</v>
      </c>
      <c r="J28" s="215">
        <v>42695</v>
      </c>
      <c r="K28" s="217">
        <v>4283.18</v>
      </c>
      <c r="L28" s="214">
        <v>490</v>
      </c>
      <c r="M28" s="214">
        <f t="shared" si="0"/>
        <v>40187.5</v>
      </c>
      <c r="N28" s="220">
        <f>RICavMilestoneVal+CavityStatus[[#This Row],[Incentive Earned]]+CavityStatus[[#This Row],[Recipe Modification (Mod 9)]]+L28</f>
        <v>50367.822857142855</v>
      </c>
      <c r="O28" s="215">
        <v>42705</v>
      </c>
      <c r="R28" s="109">
        <f t="shared" si="2"/>
        <v>490</v>
      </c>
    </row>
    <row r="29" spans="3:18" ht="18" customHeight="1" x14ac:dyDescent="0.25">
      <c r="C29" s="211">
        <v>24</v>
      </c>
      <c r="D29" s="206" t="s">
        <v>273</v>
      </c>
      <c r="E29" s="207">
        <f>VLOOKUP(CavityStatus[[#This Row],[Unit '#]],IncentiveTable[],2)</f>
        <v>42676</v>
      </c>
      <c r="F29" s="213">
        <v>42676</v>
      </c>
      <c r="G29" s="216">
        <f>IF(CavityStatus[[#This Row],[Actual Ship Date]]&lt;&gt;0,($F29-$E29)/7,0)</f>
        <v>0</v>
      </c>
      <c r="H29" s="208">
        <f>VLOOKUP(CavityStatus[[#This Row],[Unit '#]],IncentiveTable[],3)</f>
        <v>5750</v>
      </c>
      <c r="I29" s="214">
        <f t="shared" si="1"/>
        <v>5750</v>
      </c>
      <c r="J29" s="215">
        <v>42685</v>
      </c>
      <c r="K29" s="217">
        <v>4283.18</v>
      </c>
      <c r="L29" s="214">
        <v>490</v>
      </c>
      <c r="M29" s="214">
        <f t="shared" si="0"/>
        <v>40187.5</v>
      </c>
      <c r="N29" s="220">
        <f>RICavMilestoneVal+CavityStatus[[#This Row],[Incentive Earned]]+CavityStatus[[#This Row],[Recipe Modification (Mod 9)]]+L29</f>
        <v>50710.68</v>
      </c>
      <c r="O29" s="215">
        <v>42675</v>
      </c>
      <c r="R29" s="109">
        <f t="shared" si="2"/>
        <v>490</v>
      </c>
    </row>
    <row r="30" spans="3:18" ht="18" customHeight="1" x14ac:dyDescent="0.25">
      <c r="C30" s="211">
        <v>27</v>
      </c>
      <c r="D30" s="206" t="s">
        <v>274</v>
      </c>
      <c r="E30" s="207">
        <f>VLOOKUP(CavityStatus[[#This Row],[Unit '#]],IncentiveTable[],2)</f>
        <v>42676</v>
      </c>
      <c r="F30" s="213">
        <v>42688</v>
      </c>
      <c r="G30" s="216">
        <f>IF(CavityStatus[[#This Row],[Actual Ship Date]]&lt;&gt;0,($F30-$E30)/7,0)</f>
        <v>1.7142857142857142</v>
      </c>
      <c r="H30" s="208">
        <f>VLOOKUP(CavityStatus[[#This Row],[Unit '#]],IncentiveTable[],3)</f>
        <v>5750</v>
      </c>
      <c r="I30" s="214">
        <f t="shared" si="1"/>
        <v>5407.1428571428569</v>
      </c>
      <c r="J30" s="215">
        <v>42695</v>
      </c>
      <c r="K30" s="217">
        <v>4283.18</v>
      </c>
      <c r="L30" s="214">
        <v>490</v>
      </c>
      <c r="M30" s="214">
        <f t="shared" si="0"/>
        <v>40187.5</v>
      </c>
      <c r="N30" s="220">
        <f>RICavMilestoneVal+CavityStatus[[#This Row],[Incentive Earned]]+CavityStatus[[#This Row],[Recipe Modification (Mod 9)]]+L30</f>
        <v>50367.822857142855</v>
      </c>
      <c r="O30" s="215">
        <v>42705</v>
      </c>
      <c r="R30" s="109">
        <f t="shared" si="2"/>
        <v>490</v>
      </c>
    </row>
    <row r="31" spans="3:18" ht="18" customHeight="1" x14ac:dyDescent="0.25">
      <c r="C31" s="211">
        <v>34</v>
      </c>
      <c r="D31" s="206" t="s">
        <v>275</v>
      </c>
      <c r="E31" s="207">
        <f>VLOOKUP(CavityStatus[[#This Row],[Unit '#]],IncentiveTable[],2)</f>
        <v>42704</v>
      </c>
      <c r="F31" s="213">
        <v>42698</v>
      </c>
      <c r="G31" s="216">
        <f>IF(CavityStatus[[#This Row],[Actual Ship Date]]&lt;&gt;0,($F31-$E31)/7,0)</f>
        <v>-0.8571428571428571</v>
      </c>
      <c r="H31" s="208">
        <f>VLOOKUP(CavityStatus[[#This Row],[Unit '#]],IncentiveTable[],3)</f>
        <v>5750</v>
      </c>
      <c r="I31" s="214">
        <f t="shared" si="1"/>
        <v>5750</v>
      </c>
      <c r="J31" s="215">
        <v>42705</v>
      </c>
      <c r="K31" s="217">
        <v>4283.18</v>
      </c>
      <c r="L31" s="214">
        <v>490</v>
      </c>
      <c r="M31" s="214">
        <f t="shared" si="0"/>
        <v>40187.5</v>
      </c>
      <c r="N31" s="220">
        <f>RICavMilestoneVal+CavityStatus[[#This Row],[Incentive Earned]]+CavityStatus[[#This Row],[Recipe Modification (Mod 9)]]+L31</f>
        <v>50710.68</v>
      </c>
      <c r="O31" s="215">
        <v>42705</v>
      </c>
      <c r="R31" s="109">
        <f t="shared" si="2"/>
        <v>490</v>
      </c>
    </row>
    <row r="32" spans="3:18" ht="18" customHeight="1" x14ac:dyDescent="0.25">
      <c r="C32" s="211">
        <v>30</v>
      </c>
      <c r="D32" s="206" t="s">
        <v>276</v>
      </c>
      <c r="E32" s="207">
        <f>VLOOKUP(CavityStatus[[#This Row],[Unit '#]],IncentiveTable[],2)</f>
        <v>42704</v>
      </c>
      <c r="F32" s="213">
        <v>42690</v>
      </c>
      <c r="G32" s="216">
        <f>IF(CavityStatus[[#This Row],[Actual Ship Date]]&lt;&gt;0,($F32-$E32)/7,0)</f>
        <v>-2</v>
      </c>
      <c r="H32" s="208">
        <f>VLOOKUP(CavityStatus[[#This Row],[Unit '#]],IncentiveTable[],3)</f>
        <v>5750</v>
      </c>
      <c r="I32" s="214">
        <f t="shared" si="1"/>
        <v>5750</v>
      </c>
      <c r="J32" s="215">
        <v>42702</v>
      </c>
      <c r="K32" s="217">
        <v>4283.18</v>
      </c>
      <c r="L32" s="214">
        <v>490</v>
      </c>
      <c r="M32" s="214">
        <f t="shared" si="0"/>
        <v>40187.5</v>
      </c>
      <c r="N32" s="220">
        <f>RICavMilestoneVal+CavityStatus[[#This Row],[Incentive Earned]]+CavityStatus[[#This Row],[Recipe Modification (Mod 9)]]+L32</f>
        <v>50710.68</v>
      </c>
      <c r="O32" s="215">
        <v>42705</v>
      </c>
      <c r="R32" s="109">
        <f t="shared" si="2"/>
        <v>490</v>
      </c>
    </row>
    <row r="33" spans="3:18" ht="18" customHeight="1" x14ac:dyDescent="0.25">
      <c r="C33" s="211">
        <v>28</v>
      </c>
      <c r="D33" s="206" t="s">
        <v>277</v>
      </c>
      <c r="E33" s="207">
        <f>VLOOKUP(CavityStatus[[#This Row],[Unit '#]],IncentiveTable[],2)</f>
        <v>42676</v>
      </c>
      <c r="F33" s="213">
        <v>42688</v>
      </c>
      <c r="G33" s="216">
        <f>IF(CavityStatus[[#This Row],[Actual Ship Date]]&lt;&gt;0,($F33-$E33)/7,0)</f>
        <v>1.7142857142857142</v>
      </c>
      <c r="H33" s="208">
        <f>VLOOKUP(CavityStatus[[#This Row],[Unit '#]],IncentiveTable[],3)</f>
        <v>5750</v>
      </c>
      <c r="I33" s="214">
        <f t="shared" si="1"/>
        <v>5407.1428571428569</v>
      </c>
      <c r="J33" s="215">
        <v>42695</v>
      </c>
      <c r="K33" s="217">
        <v>4283.18</v>
      </c>
      <c r="L33" s="214">
        <v>490</v>
      </c>
      <c r="M33" s="214">
        <f t="shared" si="0"/>
        <v>40187.5</v>
      </c>
      <c r="N33" s="220">
        <f>RICavMilestoneVal+CavityStatus[[#This Row],[Incentive Earned]]+CavityStatus[[#This Row],[Recipe Modification (Mod 9)]]+L33</f>
        <v>50367.822857142855</v>
      </c>
      <c r="O33" s="215">
        <v>42705</v>
      </c>
      <c r="R33" s="109">
        <f t="shared" si="2"/>
        <v>490</v>
      </c>
    </row>
    <row r="34" spans="3:18" ht="18" customHeight="1" x14ac:dyDescent="0.25">
      <c r="C34" s="211">
        <v>31</v>
      </c>
      <c r="D34" s="206" t="s">
        <v>278</v>
      </c>
      <c r="E34" s="207">
        <f>VLOOKUP(CavityStatus[[#This Row],[Unit '#]],IncentiveTable[],2)</f>
        <v>42704</v>
      </c>
      <c r="F34" s="213">
        <v>42690</v>
      </c>
      <c r="G34" s="216">
        <f>IF(CavityStatus[[#This Row],[Actual Ship Date]]&lt;&gt;0,($F34-$E34)/7,0)</f>
        <v>-2</v>
      </c>
      <c r="H34" s="208">
        <f>VLOOKUP(CavityStatus[[#This Row],[Unit '#]],IncentiveTable[],3)</f>
        <v>5750</v>
      </c>
      <c r="I34" s="214">
        <f t="shared" si="1"/>
        <v>5750</v>
      </c>
      <c r="J34" s="215">
        <v>42702</v>
      </c>
      <c r="K34" s="217">
        <v>4283.18</v>
      </c>
      <c r="L34" s="214">
        <v>490</v>
      </c>
      <c r="M34" s="214">
        <f t="shared" ref="M34:M65" si="3">RICavMilestoneVal</f>
        <v>40187.5</v>
      </c>
      <c r="N34" s="220">
        <f>RICavMilestoneVal+CavityStatus[[#This Row],[Incentive Earned]]+CavityStatus[[#This Row],[Recipe Modification (Mod 9)]]+L34</f>
        <v>50710.68</v>
      </c>
      <c r="O34" s="215">
        <v>42705</v>
      </c>
      <c r="R34" s="109">
        <f t="shared" si="2"/>
        <v>490</v>
      </c>
    </row>
    <row r="35" spans="3:18" ht="18" customHeight="1" x14ac:dyDescent="0.25">
      <c r="C35" s="211">
        <v>35</v>
      </c>
      <c r="D35" s="206" t="s">
        <v>279</v>
      </c>
      <c r="E35" s="207">
        <f>VLOOKUP(CavityStatus[[#This Row],[Unit '#]],IncentiveTable[],2)</f>
        <v>42704</v>
      </c>
      <c r="F35" s="213">
        <v>42698</v>
      </c>
      <c r="G35" s="216">
        <f>IF(CavityStatus[[#This Row],[Actual Ship Date]]&lt;&gt;0,($F35-$E35)/7,0)</f>
        <v>-0.8571428571428571</v>
      </c>
      <c r="H35" s="208">
        <f>VLOOKUP(CavityStatus[[#This Row],[Unit '#]],IncentiveTable[],3)</f>
        <v>5750</v>
      </c>
      <c r="I35" s="214">
        <f t="shared" si="1"/>
        <v>5750</v>
      </c>
      <c r="J35" s="215">
        <v>42705</v>
      </c>
      <c r="K35" s="217">
        <v>4283.18</v>
      </c>
      <c r="L35" s="214">
        <v>490</v>
      </c>
      <c r="M35" s="214">
        <f t="shared" si="3"/>
        <v>40187.5</v>
      </c>
      <c r="N35" s="220">
        <f>RICavMilestoneVal+CavityStatus[[#This Row],[Incentive Earned]]+CavityStatus[[#This Row],[Recipe Modification (Mod 9)]]+L35</f>
        <v>50710.68</v>
      </c>
      <c r="O35" s="215">
        <v>42705</v>
      </c>
      <c r="R35" s="109">
        <f t="shared" si="2"/>
        <v>490</v>
      </c>
    </row>
    <row r="36" spans="3:18" ht="18" customHeight="1" x14ac:dyDescent="0.25">
      <c r="C36" s="211">
        <v>32</v>
      </c>
      <c r="D36" s="206" t="s">
        <v>280</v>
      </c>
      <c r="E36" s="207">
        <f>VLOOKUP(CavityStatus[[#This Row],[Unit '#]],IncentiveTable[],2)</f>
        <v>42704</v>
      </c>
      <c r="F36" s="213">
        <v>42690</v>
      </c>
      <c r="G36" s="216">
        <f>IF(CavityStatus[[#This Row],[Actual Ship Date]]&lt;&gt;0,($F36-$E36)/7,0)</f>
        <v>-2</v>
      </c>
      <c r="H36" s="208">
        <f>VLOOKUP(CavityStatus[[#This Row],[Unit '#]],IncentiveTable[],3)</f>
        <v>5750</v>
      </c>
      <c r="I36" s="214">
        <f t="shared" si="1"/>
        <v>5750</v>
      </c>
      <c r="J36" s="215">
        <v>42702</v>
      </c>
      <c r="K36" s="217">
        <v>4283.18</v>
      </c>
      <c r="L36" s="214">
        <v>490</v>
      </c>
      <c r="M36" s="214">
        <f t="shared" si="3"/>
        <v>40187.5</v>
      </c>
      <c r="N36" s="220">
        <f>RICavMilestoneVal+CavityStatus[[#This Row],[Incentive Earned]]+CavityStatus[[#This Row],[Recipe Modification (Mod 9)]]+L36</f>
        <v>50710.68</v>
      </c>
      <c r="O36" s="215">
        <v>42705</v>
      </c>
      <c r="R36" s="109">
        <f t="shared" si="2"/>
        <v>490</v>
      </c>
    </row>
    <row r="37" spans="3:18" ht="18" customHeight="1" x14ac:dyDescent="0.25">
      <c r="C37" s="211">
        <v>36</v>
      </c>
      <c r="D37" s="206" t="s">
        <v>281</v>
      </c>
      <c r="E37" s="207">
        <f>VLOOKUP(CavityStatus[[#This Row],[Unit '#]],IncentiveTable[],2)</f>
        <v>42704</v>
      </c>
      <c r="F37" s="213">
        <v>42698</v>
      </c>
      <c r="G37" s="216">
        <f>IF(CavityStatus[[#This Row],[Actual Ship Date]]&lt;&gt;0,($F37-$E37)/7,0)</f>
        <v>-0.8571428571428571</v>
      </c>
      <c r="H37" s="208">
        <f>VLOOKUP(CavityStatus[[#This Row],[Unit '#]],IncentiveTable[],3)</f>
        <v>5750</v>
      </c>
      <c r="I37" s="214">
        <f t="shared" si="1"/>
        <v>5750</v>
      </c>
      <c r="J37" s="215">
        <v>42705</v>
      </c>
      <c r="K37" s="217">
        <v>4283.18</v>
      </c>
      <c r="L37" s="214">
        <v>490</v>
      </c>
      <c r="M37" s="214">
        <f t="shared" si="3"/>
        <v>40187.5</v>
      </c>
      <c r="N37" s="220">
        <f>RICavMilestoneVal+CavityStatus[[#This Row],[Incentive Earned]]+CavityStatus[[#This Row],[Recipe Modification (Mod 9)]]+L37</f>
        <v>50710.68</v>
      </c>
      <c r="O37" s="215">
        <v>42705</v>
      </c>
      <c r="R37" s="109">
        <f t="shared" si="2"/>
        <v>490</v>
      </c>
    </row>
    <row r="38" spans="3:18" ht="18" customHeight="1" x14ac:dyDescent="0.25">
      <c r="C38" s="211">
        <v>37</v>
      </c>
      <c r="D38" s="206" t="s">
        <v>282</v>
      </c>
      <c r="E38" s="207">
        <f>VLOOKUP(CavityStatus[[#This Row],[Unit '#]],IncentiveTable[],2)</f>
        <v>42704</v>
      </c>
      <c r="F38" s="213">
        <v>42702</v>
      </c>
      <c r="G38" s="216">
        <f>IF(CavityStatus[[#This Row],[Actual Ship Date]]&lt;&gt;0,($F38-$E38)/7,0)</f>
        <v>-0.2857142857142857</v>
      </c>
      <c r="H38" s="208">
        <f>VLOOKUP(CavityStatus[[#This Row],[Unit '#]],IncentiveTable[],3)</f>
        <v>5750</v>
      </c>
      <c r="I38" s="214">
        <f t="shared" si="1"/>
        <v>5750</v>
      </c>
      <c r="J38" s="215">
        <v>42709</v>
      </c>
      <c r="K38" s="217">
        <v>4283.18</v>
      </c>
      <c r="L38" s="214">
        <v>490</v>
      </c>
      <c r="M38" s="214">
        <f t="shared" si="3"/>
        <v>40187.5</v>
      </c>
      <c r="N38" s="220">
        <f>RICavMilestoneVal+CavityStatus[[#This Row],[Incentive Earned]]+CavityStatus[[#This Row],[Recipe Modification (Mod 9)]]+L38</f>
        <v>50710.68</v>
      </c>
      <c r="O38" s="215">
        <v>42705</v>
      </c>
      <c r="R38" s="109">
        <f t="shared" si="2"/>
        <v>490</v>
      </c>
    </row>
    <row r="39" spans="3:18" ht="18" customHeight="1" x14ac:dyDescent="0.25">
      <c r="C39" s="211">
        <v>38</v>
      </c>
      <c r="D39" s="206" t="s">
        <v>283</v>
      </c>
      <c r="E39" s="207">
        <f>VLOOKUP(CavityStatus[[#This Row],[Unit '#]],IncentiveTable[],2)</f>
        <v>42704</v>
      </c>
      <c r="F39" s="213">
        <v>42702</v>
      </c>
      <c r="G39" s="216">
        <f>IF(CavityStatus[[#This Row],[Actual Ship Date]]&lt;&gt;0,($F39-$E39)/7,0)</f>
        <v>-0.2857142857142857</v>
      </c>
      <c r="H39" s="208">
        <f>VLOOKUP(CavityStatus[[#This Row],[Unit '#]],IncentiveTable[],3)</f>
        <v>5750</v>
      </c>
      <c r="I39" s="214">
        <f t="shared" si="1"/>
        <v>5750</v>
      </c>
      <c r="J39" s="215">
        <v>42709</v>
      </c>
      <c r="K39" s="217">
        <v>4283.18</v>
      </c>
      <c r="L39" s="214">
        <v>490</v>
      </c>
      <c r="M39" s="214">
        <f t="shared" si="3"/>
        <v>40187.5</v>
      </c>
      <c r="N39" s="220">
        <f>RICavMilestoneVal+CavityStatus[[#This Row],[Incentive Earned]]+CavityStatus[[#This Row],[Recipe Modification (Mod 9)]]+L39</f>
        <v>50710.68</v>
      </c>
      <c r="O39" s="215">
        <v>42705</v>
      </c>
      <c r="R39" s="109">
        <f t="shared" si="2"/>
        <v>490</v>
      </c>
    </row>
    <row r="40" spans="3:18" ht="18" customHeight="1" x14ac:dyDescent="0.25">
      <c r="C40" s="211">
        <v>41</v>
      </c>
      <c r="D40" s="206" t="s">
        <v>284</v>
      </c>
      <c r="E40" s="207">
        <f>VLOOKUP(CavityStatus[[#This Row],[Unit '#]],IncentiveTable[],2)</f>
        <v>42732</v>
      </c>
      <c r="F40" s="213">
        <v>42704</v>
      </c>
      <c r="G40" s="216">
        <f>IF(CavityStatus[[#This Row],[Actual Ship Date]]&lt;&gt;0,($F40-$E40)/7,0)</f>
        <v>-4</v>
      </c>
      <c r="H40" s="208">
        <f>VLOOKUP(CavityStatus[[#This Row],[Unit '#]],IncentiveTable[],3)</f>
        <v>2270</v>
      </c>
      <c r="I40" s="214">
        <f t="shared" si="1"/>
        <v>2270</v>
      </c>
      <c r="J40" s="215">
        <v>42711</v>
      </c>
      <c r="K40" s="217">
        <v>4283.18</v>
      </c>
      <c r="L40" s="214">
        <v>490</v>
      </c>
      <c r="M40" s="214">
        <f t="shared" si="3"/>
        <v>40187.5</v>
      </c>
      <c r="N40" s="220">
        <f>RICavMilestoneVal+CavityStatus[[#This Row],[Incentive Earned]]+CavityStatus[[#This Row],[Recipe Modification (Mod 9)]]+L40</f>
        <v>47230.68</v>
      </c>
      <c r="O40" s="215">
        <v>42705</v>
      </c>
      <c r="R40" s="109">
        <f t="shared" si="2"/>
        <v>490</v>
      </c>
    </row>
    <row r="41" spans="3:18" ht="18" customHeight="1" x14ac:dyDescent="0.25">
      <c r="C41" s="211">
        <v>42</v>
      </c>
      <c r="D41" s="206" t="s">
        <v>285</v>
      </c>
      <c r="E41" s="207">
        <f>VLOOKUP(CavityStatus[[#This Row],[Unit '#]],IncentiveTable[],2)</f>
        <v>42732</v>
      </c>
      <c r="F41" s="213">
        <v>42704</v>
      </c>
      <c r="G41" s="216">
        <f>IF(CavityStatus[[#This Row],[Actual Ship Date]]&lt;&gt;0,($F41-$E41)/7,0)</f>
        <v>-4</v>
      </c>
      <c r="H41" s="208">
        <f>VLOOKUP(CavityStatus[[#This Row],[Unit '#]],IncentiveTable[],3)</f>
        <v>2270</v>
      </c>
      <c r="I41" s="214">
        <f t="shared" si="1"/>
        <v>2270</v>
      </c>
      <c r="J41" s="215">
        <v>42711</v>
      </c>
      <c r="K41" s="217">
        <v>4283.18</v>
      </c>
      <c r="L41" s="214">
        <v>490</v>
      </c>
      <c r="M41" s="214">
        <f t="shared" si="3"/>
        <v>40187.5</v>
      </c>
      <c r="N41" s="220">
        <f>RICavMilestoneVal+CavityStatus[[#This Row],[Incentive Earned]]+CavityStatus[[#This Row],[Recipe Modification (Mod 9)]]+L41</f>
        <v>47230.68</v>
      </c>
      <c r="O41" s="215">
        <v>42705</v>
      </c>
      <c r="R41" s="109">
        <f t="shared" si="2"/>
        <v>490</v>
      </c>
    </row>
    <row r="42" spans="3:18" ht="18" customHeight="1" x14ac:dyDescent="0.25">
      <c r="C42" s="211">
        <v>43</v>
      </c>
      <c r="D42" s="206" t="s">
        <v>286</v>
      </c>
      <c r="E42" s="207">
        <f>VLOOKUP(CavityStatus[[#This Row],[Unit '#]],IncentiveTable[],2)</f>
        <v>42732</v>
      </c>
      <c r="F42" s="213">
        <v>42704</v>
      </c>
      <c r="G42" s="216">
        <f>IF(CavityStatus[[#This Row],[Actual Ship Date]]&lt;&gt;0,($F42-$E42)/7,0)</f>
        <v>-4</v>
      </c>
      <c r="H42" s="208">
        <f>VLOOKUP(CavityStatus[[#This Row],[Unit '#]],IncentiveTable[],3)</f>
        <v>2270</v>
      </c>
      <c r="I42" s="214">
        <f t="shared" si="1"/>
        <v>2270</v>
      </c>
      <c r="J42" s="215">
        <v>42711</v>
      </c>
      <c r="K42" s="217">
        <v>4283.18</v>
      </c>
      <c r="L42" s="214">
        <v>490</v>
      </c>
      <c r="M42" s="214">
        <f t="shared" si="3"/>
        <v>40187.5</v>
      </c>
      <c r="N42" s="220">
        <f>RICavMilestoneVal+CavityStatus[[#This Row],[Incentive Earned]]+CavityStatus[[#This Row],[Recipe Modification (Mod 9)]]+L42</f>
        <v>47230.68</v>
      </c>
      <c r="O42" s="215">
        <v>42705</v>
      </c>
      <c r="R42" s="109">
        <f t="shared" si="2"/>
        <v>490</v>
      </c>
    </row>
    <row r="43" spans="3:18" ht="18" customHeight="1" x14ac:dyDescent="0.25">
      <c r="C43" s="211">
        <v>44</v>
      </c>
      <c r="D43" s="206" t="s">
        <v>287</v>
      </c>
      <c r="E43" s="207">
        <f>VLOOKUP(CavityStatus[[#This Row],[Unit '#]],IncentiveTable[],2)</f>
        <v>42732</v>
      </c>
      <c r="F43" s="213">
        <v>42704</v>
      </c>
      <c r="G43" s="216">
        <f>IF(CavityStatus[[#This Row],[Actual Ship Date]]&lt;&gt;0,($F43-$E43)/7,0)</f>
        <v>-4</v>
      </c>
      <c r="H43" s="208">
        <f>VLOOKUP(CavityStatus[[#This Row],[Unit '#]],IncentiveTable[],3)</f>
        <v>2270</v>
      </c>
      <c r="I43" s="214">
        <f t="shared" si="1"/>
        <v>2270</v>
      </c>
      <c r="J43" s="215">
        <v>42711</v>
      </c>
      <c r="K43" s="217">
        <v>4283.18</v>
      </c>
      <c r="L43" s="214">
        <v>490</v>
      </c>
      <c r="M43" s="214">
        <f t="shared" si="3"/>
        <v>40187.5</v>
      </c>
      <c r="N43" s="220">
        <f>RICavMilestoneVal+CavityStatus[[#This Row],[Incentive Earned]]+CavityStatus[[#This Row],[Recipe Modification (Mod 9)]]+L43</f>
        <v>47230.68</v>
      </c>
      <c r="O43" s="215">
        <v>42705</v>
      </c>
      <c r="R43" s="109">
        <f t="shared" si="2"/>
        <v>490</v>
      </c>
    </row>
    <row r="44" spans="3:18" ht="18" customHeight="1" x14ac:dyDescent="0.25">
      <c r="C44" s="211">
        <v>45</v>
      </c>
      <c r="D44" s="206" t="s">
        <v>288</v>
      </c>
      <c r="E44" s="207">
        <f>VLOOKUP(CavityStatus[[#This Row],[Unit '#]],IncentiveTable[],2)</f>
        <v>42732</v>
      </c>
      <c r="F44" s="213">
        <v>42720</v>
      </c>
      <c r="G44" s="216">
        <f>IF(CavityStatus[[#This Row],[Actual Ship Date]]&lt;&gt;0,($F44-$E44)/7,0)</f>
        <v>-1.7142857142857142</v>
      </c>
      <c r="H44" s="208">
        <f>VLOOKUP(CavityStatus[[#This Row],[Unit '#]],IncentiveTable[],3)</f>
        <v>2270</v>
      </c>
      <c r="I44" s="214">
        <f t="shared" si="1"/>
        <v>2270</v>
      </c>
      <c r="J44" s="215">
        <v>42746</v>
      </c>
      <c r="K44" s="217">
        <v>4283.18</v>
      </c>
      <c r="L44" s="214">
        <v>490</v>
      </c>
      <c r="M44" s="219">
        <f t="shared" si="3"/>
        <v>40187.5</v>
      </c>
      <c r="N44" s="217">
        <f>RICavMilestoneVal+CavityStatus[[#This Row],[Incentive Earned]]+CavityStatus[[#This Row],[Recipe Modification (Mod 9)]]+L44</f>
        <v>47230.68</v>
      </c>
      <c r="O44" s="215">
        <v>42788</v>
      </c>
      <c r="R44" s="109">
        <f t="shared" si="2"/>
        <v>490</v>
      </c>
    </row>
    <row r="45" spans="3:18" ht="18" customHeight="1" x14ac:dyDescent="0.25">
      <c r="C45" s="211">
        <v>46</v>
      </c>
      <c r="D45" s="206" t="s">
        <v>289</v>
      </c>
      <c r="E45" s="207">
        <f>VLOOKUP(CavityStatus[[#This Row],[Unit '#]],IncentiveTable[],2)</f>
        <v>42732</v>
      </c>
      <c r="F45" s="213">
        <v>42720</v>
      </c>
      <c r="G45" s="216">
        <f>IF(CavityStatus[[#This Row],[Actual Ship Date]]&lt;&gt;0,($F45-$E45)/7,0)</f>
        <v>-1.7142857142857142</v>
      </c>
      <c r="H45" s="208">
        <f>VLOOKUP(CavityStatus[[#This Row],[Unit '#]],IncentiveTable[],3)</f>
        <v>2270</v>
      </c>
      <c r="I45" s="214">
        <f t="shared" si="1"/>
        <v>2270</v>
      </c>
      <c r="J45" s="215">
        <v>42746</v>
      </c>
      <c r="K45" s="217">
        <v>4283.18</v>
      </c>
      <c r="L45" s="214">
        <v>490</v>
      </c>
      <c r="M45" s="219">
        <f t="shared" si="3"/>
        <v>40187.5</v>
      </c>
      <c r="N45" s="217">
        <f>RICavMilestoneVal+CavityStatus[[#This Row],[Incentive Earned]]+CavityStatus[[#This Row],[Recipe Modification (Mod 9)]]+L45</f>
        <v>47230.68</v>
      </c>
      <c r="O45" s="215">
        <v>42788</v>
      </c>
      <c r="R45" s="109">
        <f t="shared" si="2"/>
        <v>490</v>
      </c>
    </row>
    <row r="46" spans="3:18" ht="18" customHeight="1" x14ac:dyDescent="0.25">
      <c r="C46" s="211">
        <v>39</v>
      </c>
      <c r="D46" s="206" t="s">
        <v>290</v>
      </c>
      <c r="E46" s="207">
        <f>VLOOKUP(CavityStatus[[#This Row],[Unit '#]],IncentiveTable[],2)</f>
        <v>42704</v>
      </c>
      <c r="F46" s="213">
        <v>42702</v>
      </c>
      <c r="G46" s="216">
        <f>IF(CavityStatus[[#This Row],[Actual Ship Date]]&lt;&gt;0,($F46-$E46)/7,0)</f>
        <v>-0.2857142857142857</v>
      </c>
      <c r="H46" s="208">
        <f>VLOOKUP(CavityStatus[[#This Row],[Unit '#]],IncentiveTable[],3)</f>
        <v>5750</v>
      </c>
      <c r="I46" s="214">
        <f t="shared" si="1"/>
        <v>5750</v>
      </c>
      <c r="J46" s="215">
        <v>42709</v>
      </c>
      <c r="K46" s="217">
        <v>4283.18</v>
      </c>
      <c r="L46" s="214">
        <v>490</v>
      </c>
      <c r="M46" s="214">
        <f t="shared" si="3"/>
        <v>40187.5</v>
      </c>
      <c r="N46" s="220">
        <f>RICavMilestoneVal+CavityStatus[[#This Row],[Incentive Earned]]+CavityStatus[[#This Row],[Recipe Modification (Mod 9)]]+L46</f>
        <v>50710.68</v>
      </c>
      <c r="O46" s="215">
        <v>42705</v>
      </c>
      <c r="R46" s="109">
        <f t="shared" si="2"/>
        <v>490</v>
      </c>
    </row>
    <row r="47" spans="3:18" ht="18" customHeight="1" x14ac:dyDescent="0.25">
      <c r="C47" s="211">
        <v>49</v>
      </c>
      <c r="D47" s="206" t="s">
        <v>291</v>
      </c>
      <c r="E47" s="207">
        <f>VLOOKUP(CavityStatus[[#This Row],[Unit '#]],IncentiveTable[],2)</f>
        <v>42732</v>
      </c>
      <c r="F47" s="213">
        <v>42746</v>
      </c>
      <c r="G47" s="216">
        <f>IF(CavityStatus[[#This Row],[Actual Ship Date]]&lt;&gt;0,($F47-$E47)/7,0)</f>
        <v>2</v>
      </c>
      <c r="H47" s="208">
        <f>VLOOKUP(CavityStatus[[#This Row],[Unit '#]],IncentiveTable[],3)</f>
        <v>2270</v>
      </c>
      <c r="I47" s="214">
        <v>2270</v>
      </c>
      <c r="J47" s="215">
        <v>42754</v>
      </c>
      <c r="K47" s="217">
        <v>4283.18</v>
      </c>
      <c r="L47" s="214">
        <v>490</v>
      </c>
      <c r="M47" s="219">
        <f t="shared" si="3"/>
        <v>40187.5</v>
      </c>
      <c r="N47" s="217">
        <f>RICavMilestoneVal+CavityStatus[[#This Row],[Incentive Earned]]+CavityStatus[[#This Row],[Recipe Modification (Mod 9)]]+L47</f>
        <v>47230.68</v>
      </c>
      <c r="O47" s="215">
        <v>42788</v>
      </c>
      <c r="R47" s="109">
        <f t="shared" si="2"/>
        <v>490</v>
      </c>
    </row>
    <row r="48" spans="3:18" x14ac:dyDescent="0.25">
      <c r="C48" s="211">
        <v>47</v>
      </c>
      <c r="D48" s="206" t="s">
        <v>292</v>
      </c>
      <c r="E48" s="207">
        <f>VLOOKUP(CavityStatus[[#This Row],[Unit '#]],IncentiveTable[],2)</f>
        <v>42732</v>
      </c>
      <c r="F48" s="213">
        <v>42720</v>
      </c>
      <c r="G48" s="216">
        <f>IF(CavityStatus[[#This Row],[Actual Ship Date]]&lt;&gt;0,($F48-$E48)/7,0)</f>
        <v>-1.7142857142857142</v>
      </c>
      <c r="H48" s="208">
        <f>VLOOKUP(CavityStatus[[#This Row],[Unit '#]],IncentiveTable[],3)</f>
        <v>2270</v>
      </c>
      <c r="I48" s="214">
        <f>IF($G48&gt;0,$H48-($G48*200),$H48)</f>
        <v>2270</v>
      </c>
      <c r="J48" s="215">
        <v>42746</v>
      </c>
      <c r="K48" s="217">
        <v>4283.18</v>
      </c>
      <c r="L48" s="214">
        <v>490</v>
      </c>
      <c r="M48" s="219">
        <f t="shared" si="3"/>
        <v>40187.5</v>
      </c>
      <c r="N48" s="217">
        <f>RICavMilestoneVal+CavityStatus[[#This Row],[Incentive Earned]]+CavityStatus[[#This Row],[Recipe Modification (Mod 9)]]+L48</f>
        <v>47230.68</v>
      </c>
      <c r="O48" s="215">
        <v>42788</v>
      </c>
      <c r="R48" s="109">
        <f t="shared" si="2"/>
        <v>490</v>
      </c>
    </row>
    <row r="49" spans="3:20" x14ac:dyDescent="0.25">
      <c r="C49" s="211">
        <v>48</v>
      </c>
      <c r="D49" s="206" t="s">
        <v>293</v>
      </c>
      <c r="E49" s="207">
        <f>VLOOKUP(CavityStatus[[#This Row],[Unit '#]],IncentiveTable[],2)</f>
        <v>42732</v>
      </c>
      <c r="F49" s="213">
        <v>42720</v>
      </c>
      <c r="G49" s="216">
        <f>IF(CavityStatus[[#This Row],[Actual Ship Date]]&lt;&gt;0,($F49-$E49)/7,0)</f>
        <v>-1.7142857142857142</v>
      </c>
      <c r="H49" s="208">
        <f>VLOOKUP(CavityStatus[[#This Row],[Unit '#]],IncentiveTable[],3)</f>
        <v>2270</v>
      </c>
      <c r="I49" s="214">
        <f>IF($G49&gt;0,$H49-($G49*200),$H49)</f>
        <v>2270</v>
      </c>
      <c r="J49" s="215">
        <v>42746</v>
      </c>
      <c r="K49" s="217">
        <v>4283.18</v>
      </c>
      <c r="L49" s="214">
        <v>490</v>
      </c>
      <c r="M49" s="219">
        <f t="shared" si="3"/>
        <v>40187.5</v>
      </c>
      <c r="N49" s="217">
        <f>RICavMilestoneVal+CavityStatus[[#This Row],[Incentive Earned]]+CavityStatus[[#This Row],[Recipe Modification (Mod 9)]]+L49</f>
        <v>47230.68</v>
      </c>
      <c r="O49" s="215">
        <v>42788</v>
      </c>
      <c r="R49" s="109">
        <f t="shared" si="2"/>
        <v>490</v>
      </c>
    </row>
    <row r="50" spans="3:20" x14ac:dyDescent="0.25">
      <c r="C50" s="211">
        <v>40</v>
      </c>
      <c r="D50" s="206" t="s">
        <v>294</v>
      </c>
      <c r="E50" s="207">
        <f>VLOOKUP(CavityStatus[[#This Row],[Unit '#]],IncentiveTable[],2)</f>
        <v>42704</v>
      </c>
      <c r="F50" s="213">
        <v>42702</v>
      </c>
      <c r="G50" s="216">
        <f>IF(CavityStatus[[#This Row],[Actual Ship Date]]&lt;&gt;0,($F50-$E50)/7,0)</f>
        <v>-0.2857142857142857</v>
      </c>
      <c r="H50" s="208">
        <f>VLOOKUP(CavityStatus[[#This Row],[Unit '#]],IncentiveTable[],3)</f>
        <v>5750</v>
      </c>
      <c r="I50" s="214">
        <f>IF($G50&gt;0,$H50-($G50*200),$H50)</f>
        <v>5750</v>
      </c>
      <c r="J50" s="215">
        <v>42709</v>
      </c>
      <c r="K50" s="217">
        <v>4283.18</v>
      </c>
      <c r="L50" s="214">
        <v>490</v>
      </c>
      <c r="M50" s="214">
        <f t="shared" si="3"/>
        <v>40187.5</v>
      </c>
      <c r="N50" s="220">
        <f>RICavMilestoneVal+CavityStatus[[#This Row],[Incentive Earned]]+CavityStatus[[#This Row],[Recipe Modification (Mod 9)]]+L50</f>
        <v>50710.68</v>
      </c>
      <c r="O50" s="215">
        <v>42705</v>
      </c>
      <c r="R50" s="109">
        <f t="shared" si="2"/>
        <v>490</v>
      </c>
    </row>
    <row r="51" spans="3:20" x14ac:dyDescent="0.25">
      <c r="C51" s="211">
        <v>50</v>
      </c>
      <c r="D51" s="206" t="s">
        <v>295</v>
      </c>
      <c r="E51" s="207">
        <f>VLOOKUP(CavityStatus[[#This Row],[Unit '#]],IncentiveTable[],2)</f>
        <v>42732</v>
      </c>
      <c r="F51" s="213">
        <v>42746</v>
      </c>
      <c r="G51" s="216">
        <f>IF(CavityStatus[[#This Row],[Actual Ship Date]]&lt;&gt;0,($F51-$E51)/7,0)</f>
        <v>2</v>
      </c>
      <c r="H51" s="208">
        <f>VLOOKUP(CavityStatus[[#This Row],[Unit '#]],IncentiveTable[],3)</f>
        <v>2270</v>
      </c>
      <c r="I51" s="214">
        <v>2270</v>
      </c>
      <c r="J51" s="215">
        <v>42754</v>
      </c>
      <c r="K51" s="217">
        <v>4283.18</v>
      </c>
      <c r="L51" s="214">
        <v>490</v>
      </c>
      <c r="M51" s="219">
        <f t="shared" si="3"/>
        <v>40187.5</v>
      </c>
      <c r="N51" s="217">
        <f>RICavMilestoneVal+CavityStatus[[#This Row],[Incentive Earned]]+CavityStatus[[#This Row],[Recipe Modification (Mod 9)]]+L51</f>
        <v>47230.68</v>
      </c>
      <c r="O51" s="215">
        <v>42788</v>
      </c>
      <c r="R51" s="109">
        <f t="shared" si="2"/>
        <v>490</v>
      </c>
    </row>
    <row r="52" spans="3:20" x14ac:dyDescent="0.25">
      <c r="C52" s="211">
        <v>51</v>
      </c>
      <c r="D52" s="206" t="s">
        <v>296</v>
      </c>
      <c r="E52" s="207">
        <f>VLOOKUP(CavityStatus[[#This Row],[Unit '#]],IncentiveTable[],2)</f>
        <v>42732</v>
      </c>
      <c r="F52" s="213">
        <v>42746</v>
      </c>
      <c r="G52" s="216">
        <f>IF(CavityStatus[[#This Row],[Actual Ship Date]]&lt;&gt;0,($F52-$E52)/7,0)</f>
        <v>2</v>
      </c>
      <c r="H52" s="208">
        <f>VLOOKUP(CavityStatus[[#This Row],[Unit '#]],IncentiveTable[],3)</f>
        <v>2270</v>
      </c>
      <c r="I52" s="214">
        <v>2270</v>
      </c>
      <c r="J52" s="215">
        <v>42754</v>
      </c>
      <c r="K52" s="217">
        <v>4283.18</v>
      </c>
      <c r="L52" s="214">
        <v>490</v>
      </c>
      <c r="M52" s="219">
        <f t="shared" si="3"/>
        <v>40187.5</v>
      </c>
      <c r="N52" s="217">
        <f>RICavMilestoneVal+CavityStatus[[#This Row],[Incentive Earned]]+CavityStatus[[#This Row],[Recipe Modification (Mod 9)]]+L52</f>
        <v>47230.68</v>
      </c>
      <c r="O52" s="215">
        <v>42788</v>
      </c>
      <c r="R52" s="109">
        <f t="shared" si="2"/>
        <v>490</v>
      </c>
    </row>
    <row r="53" spans="3:20" x14ac:dyDescent="0.25">
      <c r="C53" s="211">
        <v>52</v>
      </c>
      <c r="D53" s="206" t="s">
        <v>297</v>
      </c>
      <c r="E53" s="213">
        <f>VLOOKUP(CavityStatus[[#This Row],[Unit '#]],IncentiveTable[],2)</f>
        <v>42732</v>
      </c>
      <c r="F53" s="213">
        <v>42746</v>
      </c>
      <c r="G53" s="216">
        <f>IF(CavityStatus[[#This Row],[Actual Ship Date]]&lt;&gt;0,($F53-$E53)/7,0)</f>
        <v>2</v>
      </c>
      <c r="H53" s="214">
        <f>VLOOKUP(CavityStatus[[#This Row],[Unit '#]],IncentiveTable[],3)</f>
        <v>2270</v>
      </c>
      <c r="I53" s="214">
        <v>2270</v>
      </c>
      <c r="J53" s="215">
        <v>42754</v>
      </c>
      <c r="K53" s="217">
        <v>4283.18</v>
      </c>
      <c r="L53" s="217">
        <v>490</v>
      </c>
      <c r="M53" s="219">
        <f t="shared" si="3"/>
        <v>40187.5</v>
      </c>
      <c r="N53" s="217">
        <f>RICavMilestoneVal+CavityStatus[[#This Row],[Incentive Earned]]+CavityStatus[[#This Row],[Recipe Modification (Mod 9)]]+L53</f>
        <v>47230.68</v>
      </c>
      <c r="O53" s="215">
        <v>42788</v>
      </c>
      <c r="R53" s="109">
        <f t="shared" si="2"/>
        <v>490</v>
      </c>
    </row>
    <row r="54" spans="3:20" x14ac:dyDescent="0.25">
      <c r="C54" s="211"/>
      <c r="D54" s="206" t="s">
        <v>298</v>
      </c>
      <c r="E54" s="213" t="e">
        <f>VLOOKUP(CavityStatus[[#This Row],[Unit '#]],IncentiveTable[],2)</f>
        <v>#N/A</v>
      </c>
      <c r="F54" s="213"/>
      <c r="G54" s="216">
        <f>IF(CavityStatus[[#This Row],[Actual Ship Date]]&lt;&gt;0,($F54-$E54)/7,0)</f>
        <v>0</v>
      </c>
      <c r="H54" s="214" t="e">
        <f>VLOOKUP(CavityStatus[[#This Row],[Unit '#]],IncentiveTable[],3)</f>
        <v>#N/A</v>
      </c>
      <c r="I54" s="214" t="e">
        <f>IF($G54&gt;0,$H54-($G54*200),$H54)</f>
        <v>#N/A</v>
      </c>
      <c r="J54" s="215"/>
      <c r="K54" s="217">
        <v>4283.18</v>
      </c>
      <c r="L54" s="217">
        <v>490</v>
      </c>
      <c r="M54" s="217">
        <f t="shared" si="3"/>
        <v>40187.5</v>
      </c>
      <c r="N54" s="217" t="e">
        <f>RICavMilestoneVal+CavityStatus[[#This Row],[Incentive Earned]]+CavityStatus[[#This Row],[Recipe Modification (Mod 9)]]+L54</f>
        <v>#N/A</v>
      </c>
      <c r="O54" s="215"/>
      <c r="R54" s="109">
        <f t="shared" si="2"/>
        <v>490</v>
      </c>
    </row>
    <row r="55" spans="3:20" x14ac:dyDescent="0.25">
      <c r="C55" s="211">
        <v>53</v>
      </c>
      <c r="D55" s="206" t="s">
        <v>299</v>
      </c>
      <c r="E55" s="213">
        <f>VLOOKUP(CavityStatus[[#This Row],[Unit '#]],IncentiveTable[],2)</f>
        <v>42760</v>
      </c>
      <c r="F55" s="213">
        <v>42782</v>
      </c>
      <c r="G55" s="216">
        <f>IF(CavityStatus[[#This Row],[Actual Ship Date]]&lt;&gt;0,($F55-$E55)/7,0)</f>
        <v>3.1428571428571428</v>
      </c>
      <c r="H55" s="214">
        <f>VLOOKUP(CavityStatus[[#This Row],[Unit '#]],IncentiveTable[],3)</f>
        <v>1000</v>
      </c>
      <c r="I55" s="214">
        <v>1000</v>
      </c>
      <c r="J55" s="215">
        <v>42783</v>
      </c>
      <c r="K55" s="217">
        <v>4283.18</v>
      </c>
      <c r="L55" s="217">
        <v>490</v>
      </c>
      <c r="M55" s="217">
        <f t="shared" si="3"/>
        <v>40187.5</v>
      </c>
      <c r="N55" s="217">
        <f>RICavMilestoneVal+CavityStatus[[#This Row],[Incentive Earned]]+CavityStatus[[#This Row],[Recipe Modification (Mod 9)]]+L55</f>
        <v>45960.68</v>
      </c>
      <c r="O55" s="215">
        <v>42814</v>
      </c>
      <c r="R55" s="109">
        <f t="shared" si="2"/>
        <v>490</v>
      </c>
      <c r="T55" s="253">
        <f>SUM(K54:K57)</f>
        <v>17132.72</v>
      </c>
    </row>
    <row r="56" spans="3:20" x14ac:dyDescent="0.25">
      <c r="C56" s="211">
        <v>54</v>
      </c>
      <c r="D56" s="206" t="s">
        <v>300</v>
      </c>
      <c r="E56" s="213">
        <f>VLOOKUP(CavityStatus[[#This Row],[Unit '#]],IncentiveTable[],2)</f>
        <v>42760</v>
      </c>
      <c r="F56" s="213">
        <v>42782</v>
      </c>
      <c r="G56" s="216">
        <f>IF(CavityStatus[[#This Row],[Actual Ship Date]]&lt;&gt;0,($F56-$E56)/7,0)</f>
        <v>3.1428571428571428</v>
      </c>
      <c r="H56" s="214">
        <f>VLOOKUP(CavityStatus[[#This Row],[Unit '#]],IncentiveTable[],3)</f>
        <v>1000</v>
      </c>
      <c r="I56" s="214">
        <v>1000</v>
      </c>
      <c r="J56" s="215">
        <v>42783</v>
      </c>
      <c r="K56" s="217">
        <v>4283.18</v>
      </c>
      <c r="L56" s="217">
        <v>490</v>
      </c>
      <c r="M56" s="217">
        <f t="shared" si="3"/>
        <v>40187.5</v>
      </c>
      <c r="N56" s="217">
        <f>RICavMilestoneVal+CavityStatus[[#This Row],[Incentive Earned]]+CavityStatus[[#This Row],[Recipe Modification (Mod 9)]]+L56</f>
        <v>45960.68</v>
      </c>
      <c r="O56" s="215">
        <v>42814</v>
      </c>
      <c r="R56" s="109">
        <f t="shared" si="2"/>
        <v>490</v>
      </c>
    </row>
    <row r="57" spans="3:20" x14ac:dyDescent="0.25">
      <c r="C57" s="211"/>
      <c r="D57" s="206" t="s">
        <v>301</v>
      </c>
      <c r="E57" s="213" t="e">
        <f>VLOOKUP(CavityStatus[[#This Row],[Unit '#]],IncentiveTable[],2)</f>
        <v>#N/A</v>
      </c>
      <c r="F57" s="213"/>
      <c r="G57" s="216">
        <f>IF(CavityStatus[[#This Row],[Actual Ship Date]]&lt;&gt;0,($F57-$E57)/7,0)</f>
        <v>0</v>
      </c>
      <c r="H57" s="214" t="e">
        <f>VLOOKUP(CavityStatus[[#This Row],[Unit '#]],IncentiveTable[],3)</f>
        <v>#N/A</v>
      </c>
      <c r="I57" s="214" t="e">
        <f t="shared" ref="I57:I64" si="4">IF($G57&gt;0,$H57-($G57*200),$H57)</f>
        <v>#N/A</v>
      </c>
      <c r="J57" s="215"/>
      <c r="K57" s="217">
        <v>4283.18</v>
      </c>
      <c r="L57" s="217">
        <v>490</v>
      </c>
      <c r="M57" s="217">
        <f t="shared" si="3"/>
        <v>40187.5</v>
      </c>
      <c r="N57" s="217" t="e">
        <f>RICavMilestoneVal+CavityStatus[[#This Row],[Incentive Earned]]+CavityStatus[[#This Row],[Recipe Modification (Mod 9)]]+L57</f>
        <v>#N/A</v>
      </c>
      <c r="O57" s="215"/>
      <c r="R57" s="109">
        <f t="shared" si="2"/>
        <v>490</v>
      </c>
      <c r="T57" s="253">
        <f>L56*7</f>
        <v>3430</v>
      </c>
    </row>
    <row r="58" spans="3:20" x14ac:dyDescent="0.25">
      <c r="C58" s="211"/>
      <c r="D58" s="206" t="s">
        <v>302</v>
      </c>
      <c r="E58" s="213" t="e">
        <f>VLOOKUP(CavityStatus[[#This Row],[Unit '#]],IncentiveTable[],2)</f>
        <v>#N/A</v>
      </c>
      <c r="F58" s="213"/>
      <c r="G58" s="216">
        <f>IF(CavityStatus[[#This Row],[Actual Ship Date]]&lt;&gt;0,($F58-$E58)/7,0)</f>
        <v>0</v>
      </c>
      <c r="H58" s="214" t="e">
        <f>VLOOKUP(CavityStatus[[#This Row],[Unit '#]],IncentiveTable[],3)</f>
        <v>#N/A</v>
      </c>
      <c r="I58" s="214" t="e">
        <f t="shared" si="4"/>
        <v>#N/A</v>
      </c>
      <c r="J58" s="215"/>
      <c r="K58" s="217">
        <v>4283.18</v>
      </c>
      <c r="L58" s="217">
        <v>490</v>
      </c>
      <c r="M58" s="217">
        <f t="shared" si="3"/>
        <v>40187.5</v>
      </c>
      <c r="N58" s="217" t="e">
        <f>RICavMilestoneVal+CavityStatus[[#This Row],[Incentive Earned]]+CavityStatus[[#This Row],[Recipe Modification (Mod 9)]]+L58</f>
        <v>#N/A</v>
      </c>
      <c r="O58" s="215"/>
      <c r="R58" s="109">
        <f t="shared" si="2"/>
        <v>490</v>
      </c>
      <c r="T58" s="253">
        <f>K56*7</f>
        <v>29982.260000000002</v>
      </c>
    </row>
    <row r="59" spans="3:20" x14ac:dyDescent="0.25">
      <c r="C59" s="211"/>
      <c r="D59" s="206" t="s">
        <v>303</v>
      </c>
      <c r="E59" s="213" t="e">
        <f>VLOOKUP(CavityStatus[[#This Row],[Unit '#]],IncentiveTable[],2)</f>
        <v>#N/A</v>
      </c>
      <c r="F59" s="213"/>
      <c r="G59" s="216">
        <f>IF(CavityStatus[[#This Row],[Actual Ship Date]]&lt;&gt;0,($F59-$E59)/7,0)</f>
        <v>0</v>
      </c>
      <c r="H59" s="214" t="e">
        <f>VLOOKUP(CavityStatus[[#This Row],[Unit '#]],IncentiveTable[],3)</f>
        <v>#N/A</v>
      </c>
      <c r="I59" s="214" t="e">
        <f t="shared" si="4"/>
        <v>#N/A</v>
      </c>
      <c r="J59" s="215"/>
      <c r="K59" s="217">
        <v>4283.18</v>
      </c>
      <c r="L59" s="217">
        <v>490</v>
      </c>
      <c r="M59" s="217">
        <f t="shared" si="3"/>
        <v>40187.5</v>
      </c>
      <c r="N59" s="217" t="e">
        <f>RICavMilestoneVal+CavityStatus[[#This Row],[Incentive Earned]]+CavityStatus[[#This Row],[Recipe Modification (Mod 9)]]+L59</f>
        <v>#N/A</v>
      </c>
      <c r="O59" s="215"/>
      <c r="R59" s="109">
        <f t="shared" si="2"/>
        <v>490</v>
      </c>
    </row>
    <row r="60" spans="3:20" x14ac:dyDescent="0.25">
      <c r="C60" s="211"/>
      <c r="D60" s="206" t="s">
        <v>304</v>
      </c>
      <c r="E60" s="207" t="e">
        <f>VLOOKUP(CavityStatus[[#This Row],[Unit '#]],IncentiveTable[],2)</f>
        <v>#N/A</v>
      </c>
      <c r="F60" s="207"/>
      <c r="G60" s="216">
        <f>IF(CavityStatus[[#This Row],[Actual Ship Date]]&lt;&gt;0,($F60-$E60)/7,0)</f>
        <v>0</v>
      </c>
      <c r="H60" s="208" t="e">
        <f>VLOOKUP(CavityStatus[[#This Row],[Unit '#]],IncentiveTable[],3)</f>
        <v>#N/A</v>
      </c>
      <c r="I60" s="214" t="e">
        <f t="shared" si="4"/>
        <v>#N/A</v>
      </c>
      <c r="J60" s="215"/>
      <c r="K60" s="217">
        <v>4283.18</v>
      </c>
      <c r="L60" s="217">
        <v>490</v>
      </c>
      <c r="M60" s="217">
        <f t="shared" si="3"/>
        <v>40187.5</v>
      </c>
      <c r="N60" s="217" t="e">
        <f>RICavMilestoneVal+CavityStatus[[#This Row],[Incentive Earned]]+CavityStatus[[#This Row],[Recipe Modification (Mod 9)]]+L60</f>
        <v>#N/A</v>
      </c>
      <c r="O60" s="215"/>
      <c r="R60" s="109">
        <f t="shared" si="2"/>
        <v>490</v>
      </c>
    </row>
    <row r="61" spans="3:20" x14ac:dyDescent="0.25">
      <c r="C61" s="211"/>
      <c r="D61" s="206" t="s">
        <v>305</v>
      </c>
      <c r="E61" s="207" t="e">
        <f>VLOOKUP(CavityStatus[[#This Row],[Unit '#]],IncentiveTable[],2)</f>
        <v>#N/A</v>
      </c>
      <c r="F61" s="207"/>
      <c r="G61" s="216">
        <f>IF(CavityStatus[[#This Row],[Actual Ship Date]]&lt;&gt;0,($F61-$E61)/7,0)</f>
        <v>0</v>
      </c>
      <c r="H61" s="208" t="e">
        <f>VLOOKUP(CavityStatus[[#This Row],[Unit '#]],IncentiveTable[],3)</f>
        <v>#N/A</v>
      </c>
      <c r="I61" s="214" t="e">
        <f t="shared" si="4"/>
        <v>#N/A</v>
      </c>
      <c r="J61" s="215"/>
      <c r="K61" s="217">
        <v>4283.18</v>
      </c>
      <c r="L61" s="217">
        <v>490</v>
      </c>
      <c r="M61" s="217">
        <f t="shared" si="3"/>
        <v>40187.5</v>
      </c>
      <c r="N61" s="217" t="e">
        <f>RICavMilestoneVal+CavityStatus[[#This Row],[Incentive Earned]]+CavityStatus[[#This Row],[Recipe Modification (Mod 9)]]+L61</f>
        <v>#N/A</v>
      </c>
      <c r="O61" s="215"/>
      <c r="R61" s="109">
        <f t="shared" si="2"/>
        <v>490</v>
      </c>
    </row>
    <row r="62" spans="3:20" x14ac:dyDescent="0.25">
      <c r="C62" s="211"/>
      <c r="D62" s="206" t="s">
        <v>306</v>
      </c>
      <c r="E62" s="207" t="e">
        <f>VLOOKUP(CavityStatus[[#This Row],[Unit '#]],IncentiveTable[],2)</f>
        <v>#N/A</v>
      </c>
      <c r="F62" s="207"/>
      <c r="G62" s="216">
        <f>IF(CavityStatus[[#This Row],[Actual Ship Date]]&lt;&gt;0,($F62-$E62)/7,0)</f>
        <v>0</v>
      </c>
      <c r="H62" s="208" t="e">
        <f>VLOOKUP(CavityStatus[[#This Row],[Unit '#]],IncentiveTable[],3)</f>
        <v>#N/A</v>
      </c>
      <c r="I62" s="214" t="e">
        <f t="shared" si="4"/>
        <v>#N/A</v>
      </c>
      <c r="J62" s="215"/>
      <c r="K62" s="217">
        <v>4283.18</v>
      </c>
      <c r="L62" s="217">
        <v>490</v>
      </c>
      <c r="M62" s="217">
        <f t="shared" si="3"/>
        <v>40187.5</v>
      </c>
      <c r="N62" s="217" t="e">
        <f>RICavMilestoneVal+CavityStatus[[#This Row],[Incentive Earned]]+CavityStatus[[#This Row],[Recipe Modification (Mod 9)]]+L62</f>
        <v>#N/A</v>
      </c>
      <c r="O62" s="215"/>
      <c r="R62" s="109">
        <f t="shared" si="2"/>
        <v>490</v>
      </c>
    </row>
    <row r="63" spans="3:20" x14ac:dyDescent="0.25">
      <c r="C63" s="211"/>
      <c r="D63" s="206" t="s">
        <v>307</v>
      </c>
      <c r="E63" s="207" t="e">
        <f>VLOOKUP(CavityStatus[[#This Row],[Unit '#]],IncentiveTable[],2)</f>
        <v>#N/A</v>
      </c>
      <c r="F63" s="207"/>
      <c r="G63" s="216">
        <f>IF(CavityStatus[[#This Row],[Actual Ship Date]]&lt;&gt;0,($F63-$E63)/7,0)</f>
        <v>0</v>
      </c>
      <c r="H63" s="208" t="e">
        <f>VLOOKUP(CavityStatus[[#This Row],[Unit '#]],IncentiveTable[],3)</f>
        <v>#N/A</v>
      </c>
      <c r="I63" s="214" t="e">
        <f t="shared" si="4"/>
        <v>#N/A</v>
      </c>
      <c r="J63" s="215"/>
      <c r="K63" s="217">
        <v>4283.18</v>
      </c>
      <c r="L63" s="217">
        <v>490</v>
      </c>
      <c r="M63" s="217">
        <f t="shared" si="3"/>
        <v>40187.5</v>
      </c>
      <c r="N63" s="217" t="e">
        <f>RICavMilestoneVal+CavityStatus[[#This Row],[Incentive Earned]]+CavityStatus[[#This Row],[Recipe Modification (Mod 9)]]+L63</f>
        <v>#N/A</v>
      </c>
      <c r="O63" s="215"/>
      <c r="R63" s="109">
        <f t="shared" si="2"/>
        <v>490</v>
      </c>
    </row>
    <row r="64" spans="3:20" x14ac:dyDescent="0.25">
      <c r="C64" s="211"/>
      <c r="D64" s="206" t="s">
        <v>308</v>
      </c>
      <c r="E64" s="207" t="e">
        <f>VLOOKUP(CavityStatus[[#This Row],[Unit '#]],IncentiveTable[],2)</f>
        <v>#N/A</v>
      </c>
      <c r="F64" s="207"/>
      <c r="G64" s="216">
        <f>IF(CavityStatus[[#This Row],[Actual Ship Date]]&lt;&gt;0,($F64-$E64)/7,0)</f>
        <v>0</v>
      </c>
      <c r="H64" s="208" t="e">
        <f>VLOOKUP(CavityStatus[[#This Row],[Unit '#]],IncentiveTable[],3)</f>
        <v>#N/A</v>
      </c>
      <c r="I64" s="214" t="e">
        <f t="shared" si="4"/>
        <v>#N/A</v>
      </c>
      <c r="J64" s="215"/>
      <c r="K64" s="217">
        <v>4283.18</v>
      </c>
      <c r="L64" s="217">
        <v>490</v>
      </c>
      <c r="M64" s="217">
        <f t="shared" si="3"/>
        <v>40187.5</v>
      </c>
      <c r="N64" s="217" t="e">
        <f>RICavMilestoneVal+CavityStatus[[#This Row],[Incentive Earned]]+CavityStatus[[#This Row],[Recipe Modification (Mod 9)]]+L64</f>
        <v>#N/A</v>
      </c>
      <c r="O64" s="215"/>
      <c r="R64" s="109">
        <f t="shared" si="2"/>
        <v>490</v>
      </c>
    </row>
    <row r="65" spans="1:21" x14ac:dyDescent="0.25">
      <c r="C65" s="262">
        <v>55</v>
      </c>
      <c r="D65" s="263" t="s">
        <v>309</v>
      </c>
      <c r="E65" s="207">
        <f>VLOOKUP(CavityStatus[[#This Row],[Unit '#]],IncentiveTable[],2)</f>
        <v>42760</v>
      </c>
      <c r="F65" s="207">
        <v>42793</v>
      </c>
      <c r="G65" s="216">
        <f>IF(CavityStatus[[#This Row],[Actual Ship Date]]&lt;&gt;0,($F65-$E65)/7,0)</f>
        <v>4.7142857142857144</v>
      </c>
      <c r="H65" s="208">
        <f>VLOOKUP(CavityStatus[[#This Row],[Unit '#]],IncentiveTable[],3)</f>
        <v>1000</v>
      </c>
      <c r="I65" s="264">
        <v>1000</v>
      </c>
      <c r="J65" s="265">
        <v>42793</v>
      </c>
      <c r="K65" s="266">
        <v>4283.18</v>
      </c>
      <c r="L65" s="266">
        <v>490</v>
      </c>
      <c r="M65" s="266">
        <f t="shared" si="3"/>
        <v>40187.5</v>
      </c>
      <c r="N65" s="266">
        <f>RICavMilestoneVal+CavityStatus[[#This Row],[Incentive Earned]]+CavityStatus[[#This Row],[Recipe Modification (Mod 9)]]+L65</f>
        <v>45960.68</v>
      </c>
      <c r="O65" s="265">
        <v>42814</v>
      </c>
      <c r="R65" s="109">
        <f t="shared" si="2"/>
        <v>490</v>
      </c>
    </row>
    <row r="66" spans="1:21" x14ac:dyDescent="0.25">
      <c r="A66" s="109">
        <v>1</v>
      </c>
      <c r="C66" s="211">
        <v>59</v>
      </c>
      <c r="D66" s="212" t="s">
        <v>310</v>
      </c>
      <c r="E66" s="207">
        <f>VLOOKUP(CavityStatus[[#This Row],[Unit '#]],IncentiveTable[],2)</f>
        <v>42760</v>
      </c>
      <c r="F66" s="207">
        <v>42803</v>
      </c>
      <c r="G66" s="216">
        <f>IF(CavityStatus[[#This Row],[Actual Ship Date]]&lt;&gt;0,($F66-$E66)/7,0)</f>
        <v>6.1428571428571432</v>
      </c>
      <c r="H66" s="208">
        <f>VLOOKUP(CavityStatus[[#This Row],[Unit '#]],IncentiveTable[],3)</f>
        <v>1000</v>
      </c>
      <c r="I66" s="214">
        <v>1000</v>
      </c>
      <c r="J66" s="215">
        <v>42781</v>
      </c>
      <c r="K66" s="217">
        <v>4283.18</v>
      </c>
      <c r="L66" s="217">
        <v>490</v>
      </c>
      <c r="M66" s="217">
        <f t="shared" ref="M66:M97" si="5">RICavMilestoneVal</f>
        <v>40187.5</v>
      </c>
      <c r="N66" s="277">
        <f>RICavMilestoneVal+CavityStatus[[#This Row],[Incentive Earned]]+CavityStatus[[#This Row],[Recipe Modification (Mod 9)]]+L66</f>
        <v>45960.68</v>
      </c>
      <c r="O66" s="215">
        <v>42846</v>
      </c>
      <c r="R66" s="109">
        <f t="shared" si="2"/>
        <v>490</v>
      </c>
    </row>
    <row r="67" spans="1:21" x14ac:dyDescent="0.25">
      <c r="A67" s="109">
        <v>1</v>
      </c>
      <c r="C67" s="267">
        <v>56</v>
      </c>
      <c r="D67" s="268" t="s">
        <v>311</v>
      </c>
      <c r="E67" s="207">
        <f>VLOOKUP(CavityStatus[[#This Row],[Unit '#]],IncentiveTable[],2)</f>
        <v>42760</v>
      </c>
      <c r="F67" s="207">
        <v>42793</v>
      </c>
      <c r="G67" s="216">
        <f>IF(CavityStatus[[#This Row],[Actual Ship Date]]&lt;&gt;0,($F67-$E67)/7,0)</f>
        <v>4.7142857142857144</v>
      </c>
      <c r="H67" s="208">
        <f>VLOOKUP(CavityStatus[[#This Row],[Unit '#]],IncentiveTable[],3)</f>
        <v>1000</v>
      </c>
      <c r="I67" s="269">
        <v>1000</v>
      </c>
      <c r="J67" s="270">
        <v>42793</v>
      </c>
      <c r="K67" s="271">
        <v>4283.18</v>
      </c>
      <c r="L67" s="271">
        <v>490</v>
      </c>
      <c r="M67" s="271">
        <f t="shared" si="5"/>
        <v>40187.5</v>
      </c>
      <c r="N67" s="271">
        <f>RICavMilestoneVal+CavityStatus[[#This Row],[Incentive Earned]]+CavityStatus[[#This Row],[Recipe Modification (Mod 9)]]+L67</f>
        <v>45960.68</v>
      </c>
      <c r="O67" s="270">
        <v>42814</v>
      </c>
      <c r="R67" s="109">
        <f t="shared" si="2"/>
        <v>490</v>
      </c>
    </row>
    <row r="68" spans="1:21" x14ac:dyDescent="0.25">
      <c r="A68" s="109">
        <v>1</v>
      </c>
      <c r="C68" s="211">
        <v>57</v>
      </c>
      <c r="D68" s="206" t="s">
        <v>312</v>
      </c>
      <c r="E68" s="207">
        <f>VLOOKUP(CavityStatus[[#This Row],[Unit '#]],IncentiveTable[],2)</f>
        <v>42760</v>
      </c>
      <c r="F68" s="207">
        <v>42793</v>
      </c>
      <c r="G68" s="216">
        <f>IF(CavityStatus[[#This Row],[Actual Ship Date]]&lt;&gt;0,($F68-$E68)/7,0)</f>
        <v>4.7142857142857144</v>
      </c>
      <c r="H68" s="208">
        <f>VLOOKUP(CavityStatus[[#This Row],[Unit '#]],IncentiveTable[],3)</f>
        <v>1000</v>
      </c>
      <c r="I68" s="214">
        <v>1000</v>
      </c>
      <c r="J68" s="215">
        <v>42793</v>
      </c>
      <c r="K68" s="217">
        <v>4283.18</v>
      </c>
      <c r="L68" s="217">
        <v>490</v>
      </c>
      <c r="M68" s="217">
        <f t="shared" si="5"/>
        <v>40187.5</v>
      </c>
      <c r="N68" s="217">
        <f>RICavMilestoneVal+CavityStatus[[#This Row],[Incentive Earned]]+CavityStatus[[#This Row],[Recipe Modification (Mod 9)]]+L68</f>
        <v>45960.68</v>
      </c>
      <c r="O68" s="215">
        <v>42814</v>
      </c>
      <c r="R68" s="109">
        <f t="shared" si="2"/>
        <v>490</v>
      </c>
    </row>
    <row r="69" spans="1:21" x14ac:dyDescent="0.25">
      <c r="A69" s="109">
        <v>1</v>
      </c>
      <c r="C69" s="262">
        <v>58</v>
      </c>
      <c r="D69" s="263" t="s">
        <v>313</v>
      </c>
      <c r="E69" s="207">
        <f>VLOOKUP(CavityStatus[[#This Row],[Unit '#]],IncentiveTable[],2)</f>
        <v>42760</v>
      </c>
      <c r="F69" s="207">
        <v>42793</v>
      </c>
      <c r="G69" s="216">
        <f>IF(CavityStatus[[#This Row],[Actual Ship Date]]&lt;&gt;0,($F69-$E69)/7,0)</f>
        <v>4.7142857142857144</v>
      </c>
      <c r="H69" s="208">
        <f>VLOOKUP(CavityStatus[[#This Row],[Unit '#]],IncentiveTable[],3)</f>
        <v>1000</v>
      </c>
      <c r="I69" s="264">
        <v>1000</v>
      </c>
      <c r="J69" s="265">
        <v>42793</v>
      </c>
      <c r="K69" s="266">
        <v>4283.18</v>
      </c>
      <c r="L69" s="266">
        <v>490</v>
      </c>
      <c r="M69" s="266">
        <f t="shared" si="5"/>
        <v>40187.5</v>
      </c>
      <c r="N69" s="266">
        <f>RICavMilestoneVal+CavityStatus[[#This Row],[Incentive Earned]]+CavityStatus[[#This Row],[Recipe Modification (Mod 9)]]+L69</f>
        <v>45960.68</v>
      </c>
      <c r="O69" s="265">
        <v>42814</v>
      </c>
      <c r="R69" s="109">
        <f t="shared" si="2"/>
        <v>490</v>
      </c>
    </row>
    <row r="70" spans="1:21" x14ac:dyDescent="0.25">
      <c r="A70" s="109">
        <v>1</v>
      </c>
      <c r="C70" s="211">
        <v>60</v>
      </c>
      <c r="D70" s="212" t="s">
        <v>314</v>
      </c>
      <c r="E70" s="207">
        <f>VLOOKUP(CavityStatus[[#This Row],[Unit '#]],IncentiveTable[],2)</f>
        <v>42760</v>
      </c>
      <c r="F70" s="207">
        <v>42803</v>
      </c>
      <c r="G70" s="216">
        <f>IF(CavityStatus[[#This Row],[Actual Ship Date]]&lt;&gt;0,($F70-$E70)/7,0)</f>
        <v>6.1428571428571432</v>
      </c>
      <c r="H70" s="208">
        <f>VLOOKUP(CavityStatus[[#This Row],[Unit '#]],IncentiveTable[],3)</f>
        <v>1000</v>
      </c>
      <c r="I70" s="214">
        <v>1000</v>
      </c>
      <c r="J70" s="215">
        <v>42781</v>
      </c>
      <c r="K70" s="217">
        <v>4283.18</v>
      </c>
      <c r="L70" s="217">
        <v>490</v>
      </c>
      <c r="M70" s="217">
        <f t="shared" si="5"/>
        <v>40187.5</v>
      </c>
      <c r="N70" s="277">
        <f>RICavMilestoneVal+CavityStatus[[#This Row],[Incentive Earned]]+CavityStatus[[#This Row],[Recipe Modification (Mod 9)]]+L70</f>
        <v>45960.68</v>
      </c>
      <c r="O70" s="215">
        <v>42846</v>
      </c>
      <c r="R70" s="109">
        <f t="shared" si="2"/>
        <v>490</v>
      </c>
      <c r="T70" s="253">
        <f>SUM(K66:K79)</f>
        <v>59964.520000000004</v>
      </c>
    </row>
    <row r="71" spans="1:21" x14ac:dyDescent="0.25">
      <c r="A71" s="109">
        <v>1</v>
      </c>
      <c r="C71" s="211">
        <v>62</v>
      </c>
      <c r="D71" s="212" t="s">
        <v>315</v>
      </c>
      <c r="E71" s="207">
        <f>VLOOKUP(CavityStatus[[#This Row],[Unit '#]],IncentiveTable[],2)</f>
        <v>42760</v>
      </c>
      <c r="F71" s="207">
        <v>42816</v>
      </c>
      <c r="G71" s="216">
        <f>IF(CavityStatus[[#This Row],[Actual Ship Date]]&lt;&gt;0,($F71-$E71)/7,0)</f>
        <v>8</v>
      </c>
      <c r="H71" s="208">
        <f>VLOOKUP(CavityStatus[[#This Row],[Unit '#]],IncentiveTable[],3)</f>
        <v>1000</v>
      </c>
      <c r="I71" s="214">
        <v>1000</v>
      </c>
      <c r="J71" s="215">
        <v>42829</v>
      </c>
      <c r="K71" s="217">
        <v>4283.18</v>
      </c>
      <c r="L71" s="217">
        <v>490</v>
      </c>
      <c r="M71" s="217">
        <f t="shared" si="5"/>
        <v>40187.5</v>
      </c>
      <c r="N71" s="277">
        <f>RICavMilestoneVal+CavityStatus[[#This Row],[Incentive Earned]]+CavityStatus[[#This Row],[Recipe Modification (Mod 9)]]+L71</f>
        <v>45960.68</v>
      </c>
      <c r="O71" s="215">
        <v>42846</v>
      </c>
      <c r="R71" s="109">
        <f t="shared" si="2"/>
        <v>490</v>
      </c>
    </row>
    <row r="72" spans="1:21" x14ac:dyDescent="0.25">
      <c r="A72" s="109">
        <v>1</v>
      </c>
      <c r="C72" s="211">
        <v>61</v>
      </c>
      <c r="D72" s="212" t="s">
        <v>316</v>
      </c>
      <c r="E72" s="207">
        <f>VLOOKUP(CavityStatus[[#This Row],[Unit '#]],IncentiveTable[],2)</f>
        <v>42760</v>
      </c>
      <c r="F72" s="207">
        <v>42803</v>
      </c>
      <c r="G72" s="216">
        <f>IF(CavityStatus[[#This Row],[Actual Ship Date]]&lt;&gt;0,($F72-$E72)/7,0)</f>
        <v>6.1428571428571432</v>
      </c>
      <c r="H72" s="208">
        <f>VLOOKUP(CavityStatus[[#This Row],[Unit '#]],IncentiveTable[],3)</f>
        <v>1000</v>
      </c>
      <c r="I72" s="214">
        <v>1000</v>
      </c>
      <c r="J72" s="215">
        <v>42781</v>
      </c>
      <c r="K72" s="217">
        <v>4283.18</v>
      </c>
      <c r="L72" s="217">
        <v>490</v>
      </c>
      <c r="M72" s="217">
        <f t="shared" si="5"/>
        <v>40187.5</v>
      </c>
      <c r="N72" s="277">
        <f>RICavMilestoneVal+CavityStatus[[#This Row],[Incentive Earned]]+CavityStatus[[#This Row],[Recipe Modification (Mod 9)]]+L72</f>
        <v>45960.68</v>
      </c>
      <c r="O72" s="215">
        <v>42846</v>
      </c>
      <c r="R72" s="109">
        <f t="shared" si="2"/>
        <v>490</v>
      </c>
    </row>
    <row r="73" spans="1:21" x14ac:dyDescent="0.25">
      <c r="A73" s="109">
        <v>1</v>
      </c>
      <c r="C73" s="211">
        <v>63</v>
      </c>
      <c r="D73" s="212" t="s">
        <v>317</v>
      </c>
      <c r="E73" s="207">
        <f>VLOOKUP(CavityStatus[[#This Row],[Unit '#]],IncentiveTable[],2)</f>
        <v>42760</v>
      </c>
      <c r="F73" s="207">
        <v>42816</v>
      </c>
      <c r="G73" s="216">
        <f>IF(CavityStatus[[#This Row],[Actual Ship Date]]&lt;&gt;0,($F73-$E73)/7,0)</f>
        <v>8</v>
      </c>
      <c r="H73" s="208">
        <f>VLOOKUP(CavityStatus[[#This Row],[Unit '#]],IncentiveTable[],3)</f>
        <v>1000</v>
      </c>
      <c r="I73" s="214">
        <v>1000</v>
      </c>
      <c r="J73" s="215">
        <v>42829</v>
      </c>
      <c r="K73" s="217">
        <v>4283.18</v>
      </c>
      <c r="L73" s="217">
        <v>490</v>
      </c>
      <c r="M73" s="217">
        <f t="shared" si="5"/>
        <v>40187.5</v>
      </c>
      <c r="N73" s="277">
        <f>RICavMilestoneVal+CavityStatus[[#This Row],[Incentive Earned]]+CavityStatus[[#This Row],[Recipe Modification (Mod 9)]]+L73</f>
        <v>45960.68</v>
      </c>
      <c r="O73" s="215">
        <v>42846</v>
      </c>
      <c r="R73" s="109">
        <f t="shared" si="2"/>
        <v>490</v>
      </c>
    </row>
    <row r="74" spans="1:21" x14ac:dyDescent="0.25">
      <c r="A74" s="109">
        <v>1</v>
      </c>
      <c r="C74" s="211">
        <v>64</v>
      </c>
      <c r="D74" s="212" t="s">
        <v>318</v>
      </c>
      <c r="E74" s="207">
        <f>VLOOKUP(CavityStatus[[#This Row],[Unit '#]],IncentiveTable[],2)</f>
        <v>42760</v>
      </c>
      <c r="F74" s="213">
        <v>42816</v>
      </c>
      <c r="G74" s="216">
        <f>IF(CavityStatus[[#This Row],[Actual Ship Date]]&lt;&gt;0,($F74-$E74)/7,0)</f>
        <v>8</v>
      </c>
      <c r="H74" s="208">
        <f>VLOOKUP(CavityStatus[[#This Row],[Unit '#]],IncentiveTable[],3)</f>
        <v>1000</v>
      </c>
      <c r="I74" s="214">
        <v>1000</v>
      </c>
      <c r="J74" s="215">
        <v>42829</v>
      </c>
      <c r="K74" s="217">
        <v>4283.18</v>
      </c>
      <c r="L74" s="217">
        <v>490</v>
      </c>
      <c r="M74" s="217">
        <f t="shared" si="5"/>
        <v>40187.5</v>
      </c>
      <c r="N74" s="277">
        <f>RICavMilestoneVal+CavityStatus[[#This Row],[Incentive Earned]]+CavityStatus[[#This Row],[Recipe Modification (Mod 9)]]+L74</f>
        <v>45960.68</v>
      </c>
      <c r="O74" s="215">
        <v>42846</v>
      </c>
      <c r="R74" s="109">
        <f t="shared" si="2"/>
        <v>490</v>
      </c>
    </row>
    <row r="75" spans="1:21" x14ac:dyDescent="0.25">
      <c r="A75" s="109">
        <v>1</v>
      </c>
      <c r="C75" s="211">
        <v>66</v>
      </c>
      <c r="D75" s="212" t="s">
        <v>319</v>
      </c>
      <c r="E75" s="207">
        <f>VLOOKUP(CavityStatus[[#This Row],[Unit '#]],IncentiveTable[],2)</f>
        <v>42788</v>
      </c>
      <c r="F75" s="213">
        <v>42818</v>
      </c>
      <c r="G75" s="216">
        <f>IF(CavityStatus[[#This Row],[Actual Ship Date]]&lt;&gt;0,($F75-$E75)/7,0)</f>
        <v>4.2857142857142856</v>
      </c>
      <c r="H75" s="208">
        <f>VLOOKUP(CavityStatus[[#This Row],[Unit '#]],IncentiveTable[],3)</f>
        <v>1000</v>
      </c>
      <c r="I75" s="214">
        <v>1000</v>
      </c>
      <c r="J75" s="215">
        <v>42832</v>
      </c>
      <c r="K75" s="217">
        <v>4283.18</v>
      </c>
      <c r="L75" s="217">
        <v>490</v>
      </c>
      <c r="M75" s="217">
        <f t="shared" si="5"/>
        <v>40187.5</v>
      </c>
      <c r="N75" s="277">
        <f>RICavMilestoneVal+CavityStatus[[#This Row],[Incentive Earned]]+CavityStatus[[#This Row],[Recipe Modification (Mod 9)]]+L75</f>
        <v>45960.68</v>
      </c>
      <c r="O75" s="215">
        <v>42846</v>
      </c>
      <c r="R75" s="109">
        <f t="shared" si="2"/>
        <v>490</v>
      </c>
    </row>
    <row r="76" spans="1:21" x14ac:dyDescent="0.25">
      <c r="A76" s="109">
        <v>1</v>
      </c>
      <c r="C76" s="211">
        <v>65</v>
      </c>
      <c r="D76" s="212" t="s">
        <v>320</v>
      </c>
      <c r="E76" s="207">
        <f>VLOOKUP(CavityStatus[[#This Row],[Unit '#]],IncentiveTable[],2)</f>
        <v>42788</v>
      </c>
      <c r="F76" s="213">
        <v>42816</v>
      </c>
      <c r="G76" s="216">
        <f>IF(CavityStatus[[#This Row],[Actual Ship Date]]&lt;&gt;0,($F76-$E76)/7,0)</f>
        <v>4</v>
      </c>
      <c r="H76" s="208">
        <f>VLOOKUP(CavityStatus[[#This Row],[Unit '#]],IncentiveTable[],3)</f>
        <v>1000</v>
      </c>
      <c r="I76" s="214">
        <v>1000</v>
      </c>
      <c r="J76" s="215">
        <v>42829</v>
      </c>
      <c r="K76" s="217">
        <v>4283.18</v>
      </c>
      <c r="L76" s="217">
        <v>490</v>
      </c>
      <c r="M76" s="217">
        <f t="shared" si="5"/>
        <v>40187.5</v>
      </c>
      <c r="N76" s="277">
        <f>RICavMilestoneVal+CavityStatus[[#This Row],[Incentive Earned]]+CavityStatus[[#This Row],[Recipe Modification (Mod 9)]]+L76</f>
        <v>45960.68</v>
      </c>
      <c r="O76" s="215">
        <v>42846</v>
      </c>
      <c r="R76" s="109">
        <f t="shared" si="2"/>
        <v>490</v>
      </c>
    </row>
    <row r="77" spans="1:21" x14ac:dyDescent="0.25">
      <c r="A77" s="109">
        <v>1</v>
      </c>
      <c r="C77" s="211">
        <v>67</v>
      </c>
      <c r="D77" s="212" t="s">
        <v>321</v>
      </c>
      <c r="E77" s="207">
        <f>VLOOKUP(CavityStatus[[#This Row],[Unit '#]],IncentiveTable[],2)</f>
        <v>42788</v>
      </c>
      <c r="F77" s="213">
        <v>42818</v>
      </c>
      <c r="G77" s="216">
        <f>IF(CavityStatus[[#This Row],[Actual Ship Date]]&lt;&gt;0,($F77-$E77)/7,0)</f>
        <v>4.2857142857142856</v>
      </c>
      <c r="H77" s="208">
        <f>VLOOKUP(CavityStatus[[#This Row],[Unit '#]],IncentiveTable[],3)</f>
        <v>1000</v>
      </c>
      <c r="I77" s="214">
        <v>1000</v>
      </c>
      <c r="J77" s="215">
        <v>42832</v>
      </c>
      <c r="K77" s="217">
        <v>4283.18</v>
      </c>
      <c r="L77" s="217">
        <v>490</v>
      </c>
      <c r="M77" s="217">
        <f t="shared" si="5"/>
        <v>40187.5</v>
      </c>
      <c r="N77" s="277">
        <f>RICavMilestoneVal+CavityStatus[[#This Row],[Incentive Earned]]+CavityStatus[[#This Row],[Recipe Modification (Mod 9)]]+L77</f>
        <v>45960.68</v>
      </c>
      <c r="O77" s="215">
        <v>42846</v>
      </c>
      <c r="R77" s="109">
        <f t="shared" si="2"/>
        <v>490</v>
      </c>
    </row>
    <row r="78" spans="1:21" x14ac:dyDescent="0.25">
      <c r="A78" s="109">
        <v>1</v>
      </c>
      <c r="C78" s="211">
        <v>68</v>
      </c>
      <c r="D78" s="212" t="s">
        <v>322</v>
      </c>
      <c r="E78" s="207">
        <f>VLOOKUP(CavityStatus[[#This Row],[Unit '#]],IncentiveTable[],2)</f>
        <v>42788</v>
      </c>
      <c r="F78" s="213">
        <v>42818</v>
      </c>
      <c r="G78" s="216">
        <f>IF(CavityStatus[[#This Row],[Actual Ship Date]]&lt;&gt;0,($F78-$E78)/7,0)</f>
        <v>4.2857142857142856</v>
      </c>
      <c r="H78" s="208">
        <f>VLOOKUP(CavityStatus[[#This Row],[Unit '#]],IncentiveTable[],3)</f>
        <v>1000</v>
      </c>
      <c r="I78" s="214">
        <v>1000</v>
      </c>
      <c r="J78" s="215">
        <v>42832</v>
      </c>
      <c r="K78" s="217">
        <v>4283.18</v>
      </c>
      <c r="L78" s="217">
        <v>490</v>
      </c>
      <c r="M78" s="217">
        <f t="shared" si="5"/>
        <v>40187.5</v>
      </c>
      <c r="N78" s="277">
        <f>RICavMilestoneVal+CavityStatus[[#This Row],[Incentive Earned]]+CavityStatus[[#This Row],[Recipe Modification (Mod 9)]]+L78</f>
        <v>45960.68</v>
      </c>
      <c r="O78" s="215">
        <v>42846</v>
      </c>
      <c r="R78" s="109">
        <f t="shared" si="2"/>
        <v>490</v>
      </c>
    </row>
    <row r="79" spans="1:21" x14ac:dyDescent="0.25">
      <c r="A79" s="109">
        <v>1</v>
      </c>
      <c r="C79" s="211">
        <v>69</v>
      </c>
      <c r="D79" s="212" t="s">
        <v>323</v>
      </c>
      <c r="E79" s="207">
        <f>VLOOKUP(CavityStatus[[#This Row],[Unit '#]],IncentiveTable[],2)</f>
        <v>42788</v>
      </c>
      <c r="F79" s="213">
        <v>42818</v>
      </c>
      <c r="G79" s="216">
        <f>IF(CavityStatus[[#This Row],[Actual Ship Date]]&lt;&gt;0,($F79-$E79)/7,0)</f>
        <v>4.2857142857142856</v>
      </c>
      <c r="H79" s="208">
        <f>VLOOKUP(CavityStatus[[#This Row],[Unit '#]],IncentiveTable[],3)</f>
        <v>1000</v>
      </c>
      <c r="I79" s="214">
        <v>1000</v>
      </c>
      <c r="J79" s="215">
        <v>42832</v>
      </c>
      <c r="K79" s="217">
        <v>4283.18</v>
      </c>
      <c r="L79" s="217">
        <v>490</v>
      </c>
      <c r="M79" s="217">
        <f t="shared" si="5"/>
        <v>40187.5</v>
      </c>
      <c r="N79" s="277">
        <f>RICavMilestoneVal+CavityStatus[[#This Row],[Incentive Earned]]+CavityStatus[[#This Row],[Recipe Modification (Mod 9)]]+L79</f>
        <v>45960.68</v>
      </c>
      <c r="O79" s="215">
        <v>42846</v>
      </c>
      <c r="R79" s="109">
        <f t="shared" si="2"/>
        <v>490</v>
      </c>
      <c r="U79" s="253">
        <f>K70*11</f>
        <v>47114.98</v>
      </c>
    </row>
    <row r="80" spans="1:21" x14ac:dyDescent="0.25">
      <c r="C80" s="211">
        <v>70</v>
      </c>
      <c r="D80" s="212" t="s">
        <v>324</v>
      </c>
      <c r="E80" s="207">
        <f>VLOOKUP(CavityStatus[[#This Row],[Unit '#]],IncentiveTable[],2)</f>
        <v>42788</v>
      </c>
      <c r="F80" s="213">
        <v>42825</v>
      </c>
      <c r="G80" s="216">
        <f>IF(CavityStatus[[#This Row],[Actual Ship Date]]&lt;&gt;0,($F80-$E80)/7,0)</f>
        <v>5.2857142857142856</v>
      </c>
      <c r="H80" s="208">
        <f>VLOOKUP(CavityStatus[[#This Row],[Unit '#]],IncentiveTable[],3)</f>
        <v>1000</v>
      </c>
      <c r="I80" s="214">
        <v>1000</v>
      </c>
      <c r="J80" s="215">
        <v>42838</v>
      </c>
      <c r="K80" s="217">
        <v>4283.18</v>
      </c>
      <c r="L80" s="217">
        <v>490</v>
      </c>
      <c r="M80" s="217">
        <f t="shared" si="5"/>
        <v>40187.5</v>
      </c>
      <c r="N80" s="277">
        <f>RICavMilestoneVal+CavityStatus[[#This Row],[Incentive Earned]]+CavityStatus[[#This Row],[Recipe Modification (Mod 9)]]+L80</f>
        <v>45960.68</v>
      </c>
      <c r="O80" s="215">
        <v>42846</v>
      </c>
      <c r="R80" s="109">
        <f t="shared" si="2"/>
        <v>490</v>
      </c>
    </row>
    <row r="81" spans="3:18" x14ac:dyDescent="0.25">
      <c r="C81" s="211">
        <v>71</v>
      </c>
      <c r="D81" s="212" t="s">
        <v>325</v>
      </c>
      <c r="E81" s="207">
        <f>VLOOKUP(CavityStatus[[#This Row],[Unit '#]],IncentiveTable[],2)</f>
        <v>42788</v>
      </c>
      <c r="F81" s="213">
        <v>42825</v>
      </c>
      <c r="G81" s="216">
        <f>IF(CavityStatus[[#This Row],[Actual Ship Date]]&lt;&gt;0,($F81-$E81)/7,0)</f>
        <v>5.2857142857142856</v>
      </c>
      <c r="H81" s="208">
        <f>VLOOKUP(CavityStatus[[#This Row],[Unit '#]],IncentiveTable[],3)</f>
        <v>1000</v>
      </c>
      <c r="I81" s="214">
        <v>1000</v>
      </c>
      <c r="J81" s="215">
        <v>42838</v>
      </c>
      <c r="K81" s="217">
        <v>4283.18</v>
      </c>
      <c r="L81" s="217">
        <v>490</v>
      </c>
      <c r="M81" s="217">
        <f t="shared" si="5"/>
        <v>40187.5</v>
      </c>
      <c r="N81" s="277">
        <f>RICavMilestoneVal+CavityStatus[[#This Row],[Incentive Earned]]+CavityStatus[[#This Row],[Recipe Modification (Mod 9)]]+L81</f>
        <v>45960.68</v>
      </c>
      <c r="O81" s="215">
        <v>42846</v>
      </c>
      <c r="R81" s="109">
        <f t="shared" si="2"/>
        <v>490</v>
      </c>
    </row>
    <row r="82" spans="3:18" x14ac:dyDescent="0.25">
      <c r="C82" s="272"/>
      <c r="D82" s="273" t="s">
        <v>326</v>
      </c>
      <c r="E82" s="207" t="e">
        <f>VLOOKUP(CavityStatus[[#This Row],[Unit '#]],IncentiveTable[],2)</f>
        <v>#N/A</v>
      </c>
      <c r="F82" s="213"/>
      <c r="G82" s="216">
        <f>IF(CavityStatus[[#This Row],[Actual Ship Date]]&lt;&gt;0,($F82-$E82)/7,0)</f>
        <v>0</v>
      </c>
      <c r="H82" s="208" t="e">
        <f>VLOOKUP(CavityStatus[[#This Row],[Unit '#]],IncentiveTable[],3)</f>
        <v>#N/A</v>
      </c>
      <c r="I82" s="274" t="e">
        <f>IF($G82&gt;0,$H82-($G82*200),$H82)</f>
        <v>#N/A</v>
      </c>
      <c r="J82" s="275"/>
      <c r="K82" s="276">
        <v>4283.18</v>
      </c>
      <c r="L82" s="276">
        <v>490</v>
      </c>
      <c r="M82" s="276">
        <f t="shared" si="5"/>
        <v>40187.5</v>
      </c>
      <c r="N82" s="276" t="e">
        <f>RICavMilestoneVal+CavityStatus[[#This Row],[Incentive Earned]]+CavityStatus[[#This Row],[Recipe Modification (Mod 9)]]+L82</f>
        <v>#N/A</v>
      </c>
      <c r="O82" s="275"/>
      <c r="R82" s="109">
        <f t="shared" si="2"/>
        <v>490</v>
      </c>
    </row>
    <row r="83" spans="3:18" x14ac:dyDescent="0.25">
      <c r="C83" s="211">
        <v>72</v>
      </c>
      <c r="D83" s="212" t="s">
        <v>327</v>
      </c>
      <c r="E83" s="207">
        <f>VLOOKUP(CavityStatus[[#This Row],[Unit '#]],IncentiveTable[],2)</f>
        <v>42788</v>
      </c>
      <c r="F83" s="213">
        <v>42825</v>
      </c>
      <c r="G83" s="216">
        <f>IF(CavityStatus[[#This Row],[Actual Ship Date]]&lt;&gt;0,($F83-$E83)/7,0)</f>
        <v>5.2857142857142856</v>
      </c>
      <c r="H83" s="208">
        <f>VLOOKUP(CavityStatus[[#This Row],[Unit '#]],IncentiveTable[],3)</f>
        <v>1000</v>
      </c>
      <c r="I83" s="214">
        <v>1000</v>
      </c>
      <c r="J83" s="215">
        <v>42838</v>
      </c>
      <c r="K83" s="217">
        <v>4283.18</v>
      </c>
      <c r="L83" s="217">
        <v>490</v>
      </c>
      <c r="M83" s="217">
        <f t="shared" si="5"/>
        <v>40187.5</v>
      </c>
      <c r="N83" s="277">
        <f>RICavMilestoneVal+CavityStatus[[#This Row],[Incentive Earned]]+CavityStatus[[#This Row],[Recipe Modification (Mod 9)]]+L83</f>
        <v>45960.68</v>
      </c>
      <c r="O83" s="215">
        <v>42846</v>
      </c>
      <c r="R83" s="109">
        <f t="shared" si="2"/>
        <v>490</v>
      </c>
    </row>
    <row r="84" spans="3:18" x14ac:dyDescent="0.25">
      <c r="C84" s="211">
        <v>73</v>
      </c>
      <c r="D84" s="212" t="s">
        <v>328</v>
      </c>
      <c r="E84" s="207">
        <f>VLOOKUP(CavityStatus[[#This Row],[Unit '#]],IncentiveTable[],2)</f>
        <v>42788</v>
      </c>
      <c r="F84" s="213">
        <v>42825</v>
      </c>
      <c r="G84" s="216">
        <f>IF(CavityStatus[[#This Row],[Actual Ship Date]]&lt;&gt;0,($F84-$E84)/7,0)</f>
        <v>5.2857142857142856</v>
      </c>
      <c r="H84" s="208">
        <f>VLOOKUP(CavityStatus[[#This Row],[Unit '#]],IncentiveTable[],3)</f>
        <v>1000</v>
      </c>
      <c r="I84" s="214">
        <v>1000</v>
      </c>
      <c r="J84" s="215">
        <v>42838</v>
      </c>
      <c r="K84" s="217">
        <v>4283.18</v>
      </c>
      <c r="L84" s="217">
        <v>490</v>
      </c>
      <c r="M84" s="217">
        <f t="shared" si="5"/>
        <v>40187.5</v>
      </c>
      <c r="N84" s="277">
        <f>RICavMilestoneVal+CavityStatus[[#This Row],[Incentive Earned]]+CavityStatus[[#This Row],[Recipe Modification (Mod 9)]]+L84</f>
        <v>45960.68</v>
      </c>
      <c r="O84" s="215">
        <v>42846</v>
      </c>
      <c r="R84" s="109">
        <f t="shared" ref="R84:R134" si="6">R83</f>
        <v>490</v>
      </c>
    </row>
    <row r="85" spans="3:18" x14ac:dyDescent="0.25">
      <c r="C85" s="267"/>
      <c r="D85" s="268" t="s">
        <v>329</v>
      </c>
      <c r="E85" s="207" t="e">
        <f>VLOOKUP(CavityStatus[[#This Row],[Unit '#]],IncentiveTable[],2)</f>
        <v>#N/A</v>
      </c>
      <c r="F85" s="213"/>
      <c r="G85" s="216">
        <f>IF(CavityStatus[[#This Row],[Actual Ship Date]]&lt;&gt;0,($F85-$E85)/7,0)</f>
        <v>0</v>
      </c>
      <c r="H85" s="208" t="e">
        <f>VLOOKUP(CavityStatus[[#This Row],[Unit '#]],IncentiveTable[],3)</f>
        <v>#N/A</v>
      </c>
      <c r="I85" s="269" t="e">
        <f t="shared" ref="I85:I116" si="7">IF($G85&gt;0,$H85-($G85*200),$H85)</f>
        <v>#N/A</v>
      </c>
      <c r="J85" s="270"/>
      <c r="K85" s="271">
        <v>4283.18</v>
      </c>
      <c r="L85" s="271">
        <v>490</v>
      </c>
      <c r="M85" s="271">
        <f t="shared" si="5"/>
        <v>40187.5</v>
      </c>
      <c r="N85" s="271" t="e">
        <f>RICavMilestoneVal+CavityStatus[[#This Row],[Incentive Earned]]+CavityStatus[[#This Row],[Recipe Modification (Mod 9)]]+L85</f>
        <v>#N/A</v>
      </c>
      <c r="O85" s="270"/>
      <c r="R85" s="109">
        <f t="shared" si="6"/>
        <v>490</v>
      </c>
    </row>
    <row r="86" spans="3:18" x14ac:dyDescent="0.25">
      <c r="C86" s="211"/>
      <c r="D86" s="206" t="s">
        <v>330</v>
      </c>
      <c r="E86" s="207" t="e">
        <f>VLOOKUP(CavityStatus[[#This Row],[Unit '#]],IncentiveTable[],2)</f>
        <v>#N/A</v>
      </c>
      <c r="F86" s="213"/>
      <c r="G86" s="216">
        <f>IF(CavityStatus[[#This Row],[Actual Ship Date]]&lt;&gt;0,($F86-$E86)/7,0)</f>
        <v>0</v>
      </c>
      <c r="H86" s="208" t="e">
        <f>VLOOKUP(CavityStatus[[#This Row],[Unit '#]],IncentiveTable[],3)</f>
        <v>#N/A</v>
      </c>
      <c r="I86" s="214" t="e">
        <f t="shared" si="7"/>
        <v>#N/A</v>
      </c>
      <c r="J86" s="215"/>
      <c r="K86" s="217">
        <v>4283.18</v>
      </c>
      <c r="L86" s="217">
        <v>490</v>
      </c>
      <c r="M86" s="217">
        <f t="shared" si="5"/>
        <v>40187.5</v>
      </c>
      <c r="N86" s="217" t="e">
        <f>RICavMilestoneVal+CavityStatus[[#This Row],[Incentive Earned]]+CavityStatus[[#This Row],[Recipe Modification (Mod 9)]]+L86</f>
        <v>#N/A</v>
      </c>
      <c r="O86" s="215"/>
      <c r="R86" s="109">
        <f t="shared" si="6"/>
        <v>490</v>
      </c>
    </row>
    <row r="87" spans="3:18" x14ac:dyDescent="0.25">
      <c r="C87" s="211"/>
      <c r="D87" s="206" t="s">
        <v>331</v>
      </c>
      <c r="E87" s="207" t="e">
        <f>VLOOKUP(CavityStatus[[#This Row],[Unit '#]],IncentiveTable[],2)</f>
        <v>#N/A</v>
      </c>
      <c r="F87" s="213"/>
      <c r="G87" s="216">
        <f>IF(CavityStatus[[#This Row],[Actual Ship Date]]&lt;&gt;0,($F87-$E87)/7,0)</f>
        <v>0</v>
      </c>
      <c r="H87" s="208" t="e">
        <f>VLOOKUP(CavityStatus[[#This Row],[Unit '#]],IncentiveTable[],3)</f>
        <v>#N/A</v>
      </c>
      <c r="I87" s="214" t="e">
        <f t="shared" si="7"/>
        <v>#N/A</v>
      </c>
      <c r="J87" s="215"/>
      <c r="K87" s="217">
        <v>4283.18</v>
      </c>
      <c r="L87" s="217">
        <v>490</v>
      </c>
      <c r="M87" s="217">
        <f t="shared" si="5"/>
        <v>40187.5</v>
      </c>
      <c r="N87" s="217" t="e">
        <f>RICavMilestoneVal+CavityStatus[[#This Row],[Incentive Earned]]+CavityStatus[[#This Row],[Recipe Modification (Mod 9)]]+L87</f>
        <v>#N/A</v>
      </c>
      <c r="O87" s="215"/>
      <c r="R87" s="109">
        <f t="shared" si="6"/>
        <v>490</v>
      </c>
    </row>
    <row r="88" spans="3:18" x14ac:dyDescent="0.25">
      <c r="C88" s="211"/>
      <c r="D88" s="206" t="s">
        <v>332</v>
      </c>
      <c r="E88" s="207" t="e">
        <f>VLOOKUP(CavityStatus[[#This Row],[Unit '#]],IncentiveTable[],2)</f>
        <v>#N/A</v>
      </c>
      <c r="F88" s="213"/>
      <c r="G88" s="216">
        <f>IF(CavityStatus[[#This Row],[Actual Ship Date]]&lt;&gt;0,($F88-$E88)/7,0)</f>
        <v>0</v>
      </c>
      <c r="H88" s="208" t="e">
        <f>VLOOKUP(CavityStatus[[#This Row],[Unit '#]],IncentiveTable[],3)</f>
        <v>#N/A</v>
      </c>
      <c r="I88" s="214" t="e">
        <f t="shared" si="7"/>
        <v>#N/A</v>
      </c>
      <c r="J88" s="215"/>
      <c r="K88" s="217">
        <v>4283.18</v>
      </c>
      <c r="L88" s="217">
        <v>490</v>
      </c>
      <c r="M88" s="217">
        <f t="shared" si="5"/>
        <v>40187.5</v>
      </c>
      <c r="N88" s="217" t="e">
        <f>RICavMilestoneVal+CavityStatus[[#This Row],[Incentive Earned]]+CavityStatus[[#This Row],[Recipe Modification (Mod 9)]]+L88</f>
        <v>#N/A</v>
      </c>
      <c r="O88" s="215"/>
      <c r="R88" s="109">
        <f t="shared" si="6"/>
        <v>490</v>
      </c>
    </row>
    <row r="89" spans="3:18" x14ac:dyDescent="0.25">
      <c r="C89" s="211"/>
      <c r="D89" s="206" t="s">
        <v>333</v>
      </c>
      <c r="E89" s="207" t="e">
        <f>VLOOKUP(CavityStatus[[#This Row],[Unit '#]],IncentiveTable[],2)</f>
        <v>#N/A</v>
      </c>
      <c r="F89" s="213"/>
      <c r="G89" s="216">
        <f>IF(CavityStatus[[#This Row],[Actual Ship Date]]&lt;&gt;0,($F89-$E89)/7,0)</f>
        <v>0</v>
      </c>
      <c r="H89" s="208" t="e">
        <f>VLOOKUP(CavityStatus[[#This Row],[Unit '#]],IncentiveTable[],3)</f>
        <v>#N/A</v>
      </c>
      <c r="I89" s="214" t="e">
        <f t="shared" si="7"/>
        <v>#N/A</v>
      </c>
      <c r="J89" s="215"/>
      <c r="K89" s="217">
        <v>4283.18</v>
      </c>
      <c r="L89" s="217">
        <v>490</v>
      </c>
      <c r="M89" s="217">
        <f t="shared" si="5"/>
        <v>40187.5</v>
      </c>
      <c r="N89" s="217" t="e">
        <f>RICavMilestoneVal+CavityStatus[[#This Row],[Incentive Earned]]+CavityStatus[[#This Row],[Recipe Modification (Mod 9)]]+L89</f>
        <v>#N/A</v>
      </c>
      <c r="O89" s="215"/>
      <c r="R89" s="109">
        <f t="shared" si="6"/>
        <v>490</v>
      </c>
    </row>
    <row r="90" spans="3:18" x14ac:dyDescent="0.25">
      <c r="C90" s="211"/>
      <c r="D90" s="206" t="s">
        <v>334</v>
      </c>
      <c r="E90" s="207" t="e">
        <f>VLOOKUP(CavityStatus[[#This Row],[Unit '#]],IncentiveTable[],2)</f>
        <v>#N/A</v>
      </c>
      <c r="F90" s="213"/>
      <c r="G90" s="216">
        <f>IF(CavityStatus[[#This Row],[Actual Ship Date]]&lt;&gt;0,($F90-$E90)/7,0)</f>
        <v>0</v>
      </c>
      <c r="H90" s="208" t="e">
        <f>VLOOKUP(CavityStatus[[#This Row],[Unit '#]],IncentiveTable[],3)</f>
        <v>#N/A</v>
      </c>
      <c r="I90" s="214" t="e">
        <f t="shared" si="7"/>
        <v>#N/A</v>
      </c>
      <c r="J90" s="215"/>
      <c r="K90" s="217">
        <v>4283.18</v>
      </c>
      <c r="L90" s="217">
        <v>490</v>
      </c>
      <c r="M90" s="217">
        <f t="shared" si="5"/>
        <v>40187.5</v>
      </c>
      <c r="N90" s="217" t="e">
        <f>RICavMilestoneVal+CavityStatus[[#This Row],[Incentive Earned]]+CavityStatus[[#This Row],[Recipe Modification (Mod 9)]]+L90</f>
        <v>#N/A</v>
      </c>
      <c r="O90" s="215"/>
      <c r="R90" s="109">
        <f t="shared" si="6"/>
        <v>490</v>
      </c>
    </row>
    <row r="91" spans="3:18" x14ac:dyDescent="0.25">
      <c r="C91" s="211"/>
      <c r="D91" s="206" t="s">
        <v>335</v>
      </c>
      <c r="E91" s="207" t="e">
        <f>VLOOKUP(CavityStatus[[#This Row],[Unit '#]],IncentiveTable[],2)</f>
        <v>#N/A</v>
      </c>
      <c r="F91" s="213"/>
      <c r="G91" s="216">
        <f>IF(CavityStatus[[#This Row],[Actual Ship Date]]&lt;&gt;0,($F91-$E91)/7,0)</f>
        <v>0</v>
      </c>
      <c r="H91" s="208" t="e">
        <f>VLOOKUP(CavityStatus[[#This Row],[Unit '#]],IncentiveTable[],3)</f>
        <v>#N/A</v>
      </c>
      <c r="I91" s="214" t="e">
        <f t="shared" si="7"/>
        <v>#N/A</v>
      </c>
      <c r="J91" s="215"/>
      <c r="K91" s="217">
        <v>4283.18</v>
      </c>
      <c r="L91" s="217">
        <v>490</v>
      </c>
      <c r="M91" s="217">
        <f t="shared" si="5"/>
        <v>40187.5</v>
      </c>
      <c r="N91" s="217" t="e">
        <f>RICavMilestoneVal+CavityStatus[[#This Row],[Incentive Earned]]+CavityStatus[[#This Row],[Recipe Modification (Mod 9)]]+L91</f>
        <v>#N/A</v>
      </c>
      <c r="O91" s="215"/>
      <c r="R91" s="109">
        <f t="shared" si="6"/>
        <v>490</v>
      </c>
    </row>
    <row r="92" spans="3:18" x14ac:dyDescent="0.25">
      <c r="C92" s="211"/>
      <c r="D92" s="206" t="s">
        <v>336</v>
      </c>
      <c r="E92" s="207" t="e">
        <f>VLOOKUP(CavityStatus[[#This Row],[Unit '#]],IncentiveTable[],2)</f>
        <v>#N/A</v>
      </c>
      <c r="F92" s="213"/>
      <c r="G92" s="216">
        <f>IF(CavityStatus[[#This Row],[Actual Ship Date]]&lt;&gt;0,($F92-$E92)/7,0)</f>
        <v>0</v>
      </c>
      <c r="H92" s="208" t="e">
        <f>VLOOKUP(CavityStatus[[#This Row],[Unit '#]],IncentiveTable[],3)</f>
        <v>#N/A</v>
      </c>
      <c r="I92" s="214" t="e">
        <f t="shared" si="7"/>
        <v>#N/A</v>
      </c>
      <c r="J92" s="215"/>
      <c r="K92" s="217">
        <v>4283.18</v>
      </c>
      <c r="L92" s="217">
        <v>490</v>
      </c>
      <c r="M92" s="217">
        <f t="shared" si="5"/>
        <v>40187.5</v>
      </c>
      <c r="N92" s="217" t="e">
        <f>RICavMilestoneVal+CavityStatus[[#This Row],[Incentive Earned]]+CavityStatus[[#This Row],[Recipe Modification (Mod 9)]]+L92</f>
        <v>#N/A</v>
      </c>
      <c r="O92" s="215"/>
      <c r="R92" s="109">
        <f t="shared" si="6"/>
        <v>490</v>
      </c>
    </row>
    <row r="93" spans="3:18" x14ac:dyDescent="0.25">
      <c r="C93" s="211"/>
      <c r="D93" s="206" t="s">
        <v>337</v>
      </c>
      <c r="E93" s="207" t="e">
        <f>VLOOKUP(CavityStatus[[#This Row],[Unit '#]],IncentiveTable[],2)</f>
        <v>#N/A</v>
      </c>
      <c r="F93" s="213"/>
      <c r="G93" s="216">
        <f>IF(CavityStatus[[#This Row],[Actual Ship Date]]&lt;&gt;0,($F93-$E93)/7,0)</f>
        <v>0</v>
      </c>
      <c r="H93" s="208" t="e">
        <f>VLOOKUP(CavityStatus[[#This Row],[Unit '#]],IncentiveTable[],3)</f>
        <v>#N/A</v>
      </c>
      <c r="I93" s="214" t="e">
        <f t="shared" si="7"/>
        <v>#N/A</v>
      </c>
      <c r="J93" s="215"/>
      <c r="K93" s="217">
        <v>4283.18</v>
      </c>
      <c r="L93" s="217">
        <v>490</v>
      </c>
      <c r="M93" s="217">
        <f t="shared" si="5"/>
        <v>40187.5</v>
      </c>
      <c r="N93" s="217" t="e">
        <f>RICavMilestoneVal+CavityStatus[[#This Row],[Incentive Earned]]+CavityStatus[[#This Row],[Recipe Modification (Mod 9)]]+L93</f>
        <v>#N/A</v>
      </c>
      <c r="O93" s="215"/>
      <c r="R93" s="109">
        <f t="shared" si="6"/>
        <v>490</v>
      </c>
    </row>
    <row r="94" spans="3:18" x14ac:dyDescent="0.25">
      <c r="C94" s="211"/>
      <c r="D94" s="206" t="s">
        <v>338</v>
      </c>
      <c r="E94" s="207" t="e">
        <f>VLOOKUP(CavityStatus[[#This Row],[Unit '#]],IncentiveTable[],2)</f>
        <v>#N/A</v>
      </c>
      <c r="F94" s="213"/>
      <c r="G94" s="216">
        <f>IF(CavityStatus[[#This Row],[Actual Ship Date]]&lt;&gt;0,($F94-$E94)/7,0)</f>
        <v>0</v>
      </c>
      <c r="H94" s="208" t="e">
        <f>VLOOKUP(CavityStatus[[#This Row],[Unit '#]],IncentiveTable[],3)</f>
        <v>#N/A</v>
      </c>
      <c r="I94" s="214" t="e">
        <f t="shared" si="7"/>
        <v>#N/A</v>
      </c>
      <c r="J94" s="215"/>
      <c r="K94" s="217">
        <v>4283.18</v>
      </c>
      <c r="L94" s="217">
        <v>490</v>
      </c>
      <c r="M94" s="217">
        <f t="shared" si="5"/>
        <v>40187.5</v>
      </c>
      <c r="N94" s="217" t="e">
        <f>RICavMilestoneVal+CavityStatus[[#This Row],[Incentive Earned]]+CavityStatus[[#This Row],[Recipe Modification (Mod 9)]]+L94</f>
        <v>#N/A</v>
      </c>
      <c r="O94" s="215"/>
      <c r="R94" s="109">
        <f t="shared" si="6"/>
        <v>490</v>
      </c>
    </row>
    <row r="95" spans="3:18" x14ac:dyDescent="0.25">
      <c r="C95" s="211"/>
      <c r="D95" s="206" t="s">
        <v>339</v>
      </c>
      <c r="E95" s="207" t="e">
        <f>VLOOKUP(CavityStatus[[#This Row],[Unit '#]],IncentiveTable[],2)</f>
        <v>#N/A</v>
      </c>
      <c r="F95" s="213"/>
      <c r="G95" s="216">
        <f>IF(CavityStatus[[#This Row],[Actual Ship Date]]&lt;&gt;0,($F95-$E95)/7,0)</f>
        <v>0</v>
      </c>
      <c r="H95" s="208" t="e">
        <f>VLOOKUP(CavityStatus[[#This Row],[Unit '#]],IncentiveTable[],3)</f>
        <v>#N/A</v>
      </c>
      <c r="I95" s="214" t="e">
        <f t="shared" si="7"/>
        <v>#N/A</v>
      </c>
      <c r="J95" s="215"/>
      <c r="K95" s="217">
        <v>4283.18</v>
      </c>
      <c r="L95" s="217">
        <v>490</v>
      </c>
      <c r="M95" s="217">
        <f t="shared" si="5"/>
        <v>40187.5</v>
      </c>
      <c r="N95" s="217" t="e">
        <f>RICavMilestoneVal+CavityStatus[[#This Row],[Incentive Earned]]+CavityStatus[[#This Row],[Recipe Modification (Mod 9)]]+L95</f>
        <v>#N/A</v>
      </c>
      <c r="O95" s="215"/>
      <c r="R95" s="109">
        <f t="shared" si="6"/>
        <v>490</v>
      </c>
    </row>
    <row r="96" spans="3:18" x14ac:dyDescent="0.25">
      <c r="C96" s="211"/>
      <c r="D96" s="206" t="s">
        <v>340</v>
      </c>
      <c r="E96" s="207" t="e">
        <f>VLOOKUP(CavityStatus[[#This Row],[Unit '#]],IncentiveTable[],2)</f>
        <v>#N/A</v>
      </c>
      <c r="F96" s="213"/>
      <c r="G96" s="216">
        <f>IF(CavityStatus[[#This Row],[Actual Ship Date]]&lt;&gt;0,($F96-$E96)/7,0)</f>
        <v>0</v>
      </c>
      <c r="H96" s="208" t="e">
        <f>VLOOKUP(CavityStatus[[#This Row],[Unit '#]],IncentiveTable[],3)</f>
        <v>#N/A</v>
      </c>
      <c r="I96" s="214" t="e">
        <f t="shared" si="7"/>
        <v>#N/A</v>
      </c>
      <c r="J96" s="215"/>
      <c r="K96" s="217">
        <v>4283.18</v>
      </c>
      <c r="L96" s="217">
        <v>490</v>
      </c>
      <c r="M96" s="217">
        <f t="shared" si="5"/>
        <v>40187.5</v>
      </c>
      <c r="N96" s="217" t="e">
        <f>RICavMilestoneVal+CavityStatus[[#This Row],[Incentive Earned]]+CavityStatus[[#This Row],[Recipe Modification (Mod 9)]]+L96</f>
        <v>#N/A</v>
      </c>
      <c r="O96" s="215"/>
      <c r="R96" s="109">
        <f t="shared" si="6"/>
        <v>490</v>
      </c>
    </row>
    <row r="97" spans="3:18" x14ac:dyDescent="0.25">
      <c r="C97" s="211"/>
      <c r="D97" s="206" t="s">
        <v>341</v>
      </c>
      <c r="E97" s="207" t="e">
        <f>VLOOKUP(CavityStatus[[#This Row],[Unit '#]],IncentiveTable[],2)</f>
        <v>#N/A</v>
      </c>
      <c r="F97" s="213"/>
      <c r="G97" s="216">
        <f>IF(CavityStatus[[#This Row],[Actual Ship Date]]&lt;&gt;0,($F97-$E97)/7,0)</f>
        <v>0</v>
      </c>
      <c r="H97" s="208" t="e">
        <f>VLOOKUP(CavityStatus[[#This Row],[Unit '#]],IncentiveTable[],3)</f>
        <v>#N/A</v>
      </c>
      <c r="I97" s="214" t="e">
        <f t="shared" si="7"/>
        <v>#N/A</v>
      </c>
      <c r="J97" s="215"/>
      <c r="K97" s="217">
        <v>4283.18</v>
      </c>
      <c r="L97" s="217">
        <v>490</v>
      </c>
      <c r="M97" s="217">
        <f t="shared" si="5"/>
        <v>40187.5</v>
      </c>
      <c r="N97" s="217" t="e">
        <f>RICavMilestoneVal+CavityStatus[[#This Row],[Incentive Earned]]+CavityStatus[[#This Row],[Recipe Modification (Mod 9)]]+L97</f>
        <v>#N/A</v>
      </c>
      <c r="O97" s="215"/>
      <c r="R97" s="109">
        <f t="shared" si="6"/>
        <v>490</v>
      </c>
    </row>
    <row r="98" spans="3:18" x14ac:dyDescent="0.25">
      <c r="C98" s="211"/>
      <c r="D98" s="206" t="s">
        <v>342</v>
      </c>
      <c r="E98" s="207" t="e">
        <f>VLOOKUP(CavityStatus[[#This Row],[Unit '#]],IncentiveTable[],2)</f>
        <v>#N/A</v>
      </c>
      <c r="F98" s="213"/>
      <c r="G98" s="216">
        <f>IF(CavityStatus[[#This Row],[Actual Ship Date]]&lt;&gt;0,($F98-$E98)/7,0)</f>
        <v>0</v>
      </c>
      <c r="H98" s="208" t="e">
        <f>VLOOKUP(CavityStatus[[#This Row],[Unit '#]],IncentiveTable[],3)</f>
        <v>#N/A</v>
      </c>
      <c r="I98" s="214" t="e">
        <f t="shared" si="7"/>
        <v>#N/A</v>
      </c>
      <c r="J98" s="215"/>
      <c r="K98" s="217">
        <v>4283.18</v>
      </c>
      <c r="L98" s="217">
        <v>490</v>
      </c>
      <c r="M98" s="217">
        <f t="shared" ref="M98:M129" si="8">RICavMilestoneVal</f>
        <v>40187.5</v>
      </c>
      <c r="N98" s="217" t="e">
        <f>RICavMilestoneVal+CavityStatus[[#This Row],[Incentive Earned]]+CavityStatus[[#This Row],[Recipe Modification (Mod 9)]]+L98</f>
        <v>#N/A</v>
      </c>
      <c r="O98" s="215"/>
      <c r="R98" s="109">
        <f t="shared" si="6"/>
        <v>490</v>
      </c>
    </row>
    <row r="99" spans="3:18" x14ac:dyDescent="0.25">
      <c r="C99" s="211"/>
      <c r="D99" s="206" t="s">
        <v>343</v>
      </c>
      <c r="E99" s="207" t="e">
        <f>VLOOKUP(CavityStatus[[#This Row],[Unit '#]],IncentiveTable[],2)</f>
        <v>#N/A</v>
      </c>
      <c r="F99" s="213"/>
      <c r="G99" s="216">
        <f>IF(CavityStatus[[#This Row],[Actual Ship Date]]&lt;&gt;0,($F99-$E99)/7,0)</f>
        <v>0</v>
      </c>
      <c r="H99" s="208" t="e">
        <f>VLOOKUP(CavityStatus[[#This Row],[Unit '#]],IncentiveTable[],3)</f>
        <v>#N/A</v>
      </c>
      <c r="I99" s="214" t="e">
        <f t="shared" si="7"/>
        <v>#N/A</v>
      </c>
      <c r="J99" s="215"/>
      <c r="K99" s="217">
        <v>4283.18</v>
      </c>
      <c r="L99" s="217">
        <v>490</v>
      </c>
      <c r="M99" s="217">
        <f t="shared" si="8"/>
        <v>40187.5</v>
      </c>
      <c r="N99" s="217" t="e">
        <f>RICavMilestoneVal+CavityStatus[[#This Row],[Incentive Earned]]+CavityStatus[[#This Row],[Recipe Modification (Mod 9)]]+L99</f>
        <v>#N/A</v>
      </c>
      <c r="O99" s="215"/>
      <c r="R99" s="109">
        <f t="shared" si="6"/>
        <v>490</v>
      </c>
    </row>
    <row r="100" spans="3:18" x14ac:dyDescent="0.25">
      <c r="C100" s="211"/>
      <c r="D100" s="206" t="s">
        <v>344</v>
      </c>
      <c r="E100" s="207" t="e">
        <f>VLOOKUP(CavityStatus[[#This Row],[Unit '#]],IncentiveTable[],2)</f>
        <v>#N/A</v>
      </c>
      <c r="F100" s="213"/>
      <c r="G100" s="216">
        <f>IF(CavityStatus[[#This Row],[Actual Ship Date]]&lt;&gt;0,($F100-$E100)/7,0)</f>
        <v>0</v>
      </c>
      <c r="H100" s="208" t="e">
        <f>VLOOKUP(CavityStatus[[#This Row],[Unit '#]],IncentiveTable[],3)</f>
        <v>#N/A</v>
      </c>
      <c r="I100" s="214" t="e">
        <f t="shared" si="7"/>
        <v>#N/A</v>
      </c>
      <c r="J100" s="215"/>
      <c r="K100" s="217">
        <v>4283.18</v>
      </c>
      <c r="L100" s="217">
        <v>490</v>
      </c>
      <c r="M100" s="217">
        <f t="shared" si="8"/>
        <v>40187.5</v>
      </c>
      <c r="N100" s="217" t="e">
        <f>RICavMilestoneVal+CavityStatus[[#This Row],[Incentive Earned]]+CavityStatus[[#This Row],[Recipe Modification (Mod 9)]]+L100</f>
        <v>#N/A</v>
      </c>
      <c r="O100" s="215"/>
      <c r="R100" s="109">
        <f t="shared" si="6"/>
        <v>490</v>
      </c>
    </row>
    <row r="101" spans="3:18" x14ac:dyDescent="0.25">
      <c r="C101" s="211"/>
      <c r="D101" s="206" t="s">
        <v>345</v>
      </c>
      <c r="E101" s="207" t="e">
        <f>VLOOKUP(CavityStatus[[#This Row],[Unit '#]],IncentiveTable[],2)</f>
        <v>#N/A</v>
      </c>
      <c r="F101" s="213"/>
      <c r="G101" s="216">
        <f>IF(CavityStatus[[#This Row],[Actual Ship Date]]&lt;&gt;0,($F101-$E101)/7,0)</f>
        <v>0</v>
      </c>
      <c r="H101" s="208" t="e">
        <f>VLOOKUP(CavityStatus[[#This Row],[Unit '#]],IncentiveTable[],3)</f>
        <v>#N/A</v>
      </c>
      <c r="I101" s="214" t="e">
        <f t="shared" si="7"/>
        <v>#N/A</v>
      </c>
      <c r="J101" s="215"/>
      <c r="K101" s="217">
        <v>4283.18</v>
      </c>
      <c r="L101" s="217">
        <v>490</v>
      </c>
      <c r="M101" s="217">
        <f t="shared" si="8"/>
        <v>40187.5</v>
      </c>
      <c r="N101" s="217" t="e">
        <f>RICavMilestoneVal+CavityStatus[[#This Row],[Incentive Earned]]+CavityStatus[[#This Row],[Recipe Modification (Mod 9)]]+L101</f>
        <v>#N/A</v>
      </c>
      <c r="O101" s="215"/>
      <c r="R101" s="109">
        <f t="shared" si="6"/>
        <v>490</v>
      </c>
    </row>
    <row r="102" spans="3:18" x14ac:dyDescent="0.25">
      <c r="C102" s="211"/>
      <c r="D102" s="206" t="s">
        <v>346</v>
      </c>
      <c r="E102" s="207" t="e">
        <f>VLOOKUP(CavityStatus[[#This Row],[Unit '#]],IncentiveTable[],2)</f>
        <v>#N/A</v>
      </c>
      <c r="F102" s="213"/>
      <c r="G102" s="216">
        <f>IF(CavityStatus[[#This Row],[Actual Ship Date]]&lt;&gt;0,($F102-$E102)/7,0)</f>
        <v>0</v>
      </c>
      <c r="H102" s="208" t="e">
        <f>VLOOKUP(CavityStatus[[#This Row],[Unit '#]],IncentiveTable[],3)</f>
        <v>#N/A</v>
      </c>
      <c r="I102" s="214" t="e">
        <f t="shared" si="7"/>
        <v>#N/A</v>
      </c>
      <c r="J102" s="215"/>
      <c r="K102" s="217">
        <v>4283.18</v>
      </c>
      <c r="L102" s="217">
        <v>490</v>
      </c>
      <c r="M102" s="217">
        <f t="shared" si="8"/>
        <v>40187.5</v>
      </c>
      <c r="N102" s="217" t="e">
        <f>RICavMilestoneVal+CavityStatus[[#This Row],[Incentive Earned]]+CavityStatus[[#This Row],[Recipe Modification (Mod 9)]]+L102</f>
        <v>#N/A</v>
      </c>
      <c r="O102" s="215"/>
      <c r="R102" s="109">
        <f t="shared" si="6"/>
        <v>490</v>
      </c>
    </row>
    <row r="103" spans="3:18" x14ac:dyDescent="0.25">
      <c r="C103" s="211"/>
      <c r="D103" s="206" t="s">
        <v>347</v>
      </c>
      <c r="E103" s="207" t="e">
        <f>VLOOKUP(CavityStatus[[#This Row],[Unit '#]],IncentiveTable[],2)</f>
        <v>#N/A</v>
      </c>
      <c r="F103" s="213"/>
      <c r="G103" s="216">
        <f>IF(CavityStatus[[#This Row],[Actual Ship Date]]&lt;&gt;0,($F103-$E103)/7,0)</f>
        <v>0</v>
      </c>
      <c r="H103" s="208" t="e">
        <f>VLOOKUP(CavityStatus[[#This Row],[Unit '#]],IncentiveTable[],3)</f>
        <v>#N/A</v>
      </c>
      <c r="I103" s="214" t="e">
        <f t="shared" si="7"/>
        <v>#N/A</v>
      </c>
      <c r="J103" s="215"/>
      <c r="K103" s="217">
        <v>4283.18</v>
      </c>
      <c r="L103" s="217">
        <v>490</v>
      </c>
      <c r="M103" s="217">
        <f t="shared" si="8"/>
        <v>40187.5</v>
      </c>
      <c r="N103" s="217" t="e">
        <f>RICavMilestoneVal+CavityStatus[[#This Row],[Incentive Earned]]+CavityStatus[[#This Row],[Recipe Modification (Mod 9)]]+L103</f>
        <v>#N/A</v>
      </c>
      <c r="O103" s="215"/>
      <c r="R103" s="109">
        <f t="shared" si="6"/>
        <v>490</v>
      </c>
    </row>
    <row r="104" spans="3:18" x14ac:dyDescent="0.25">
      <c r="C104" s="211"/>
      <c r="D104" s="206" t="s">
        <v>348</v>
      </c>
      <c r="E104" s="207" t="e">
        <f>VLOOKUP(CavityStatus[[#This Row],[Unit '#]],IncentiveTable[],2)</f>
        <v>#N/A</v>
      </c>
      <c r="F104" s="213"/>
      <c r="G104" s="216">
        <f>IF(CavityStatus[[#This Row],[Actual Ship Date]]&lt;&gt;0,($F104-$E104)/7,0)</f>
        <v>0</v>
      </c>
      <c r="H104" s="208" t="e">
        <f>VLOOKUP(CavityStatus[[#This Row],[Unit '#]],IncentiveTable[],3)</f>
        <v>#N/A</v>
      </c>
      <c r="I104" s="214" t="e">
        <f t="shared" si="7"/>
        <v>#N/A</v>
      </c>
      <c r="J104" s="215"/>
      <c r="K104" s="217">
        <v>4283.18</v>
      </c>
      <c r="L104" s="217">
        <v>490</v>
      </c>
      <c r="M104" s="217">
        <f t="shared" si="8"/>
        <v>40187.5</v>
      </c>
      <c r="N104" s="217" t="e">
        <f>RICavMilestoneVal+CavityStatus[[#This Row],[Incentive Earned]]+CavityStatus[[#This Row],[Recipe Modification (Mod 9)]]+L104</f>
        <v>#N/A</v>
      </c>
      <c r="O104" s="215"/>
      <c r="R104" s="109">
        <f t="shared" si="6"/>
        <v>490</v>
      </c>
    </row>
    <row r="105" spans="3:18" x14ac:dyDescent="0.25">
      <c r="C105" s="211"/>
      <c r="D105" s="206" t="s">
        <v>349</v>
      </c>
      <c r="E105" s="207" t="e">
        <f>VLOOKUP(CavityStatus[[#This Row],[Unit '#]],IncentiveTable[],2)</f>
        <v>#N/A</v>
      </c>
      <c r="F105" s="213"/>
      <c r="G105" s="216">
        <f>IF(CavityStatus[[#This Row],[Actual Ship Date]]&lt;&gt;0,($F105-$E105)/7,0)</f>
        <v>0</v>
      </c>
      <c r="H105" s="208" t="e">
        <f>VLOOKUP(CavityStatus[[#This Row],[Unit '#]],IncentiveTable[],3)</f>
        <v>#N/A</v>
      </c>
      <c r="I105" s="214" t="e">
        <f t="shared" si="7"/>
        <v>#N/A</v>
      </c>
      <c r="J105" s="215"/>
      <c r="K105" s="217">
        <v>4283.18</v>
      </c>
      <c r="L105" s="217">
        <v>490</v>
      </c>
      <c r="M105" s="217">
        <f t="shared" si="8"/>
        <v>40187.5</v>
      </c>
      <c r="N105" s="217" t="e">
        <f>RICavMilestoneVal+CavityStatus[[#This Row],[Incentive Earned]]+CavityStatus[[#This Row],[Recipe Modification (Mod 9)]]+L105</f>
        <v>#N/A</v>
      </c>
      <c r="O105" s="215"/>
      <c r="R105" s="109">
        <f t="shared" si="6"/>
        <v>490</v>
      </c>
    </row>
    <row r="106" spans="3:18" x14ac:dyDescent="0.25">
      <c r="C106" s="211"/>
      <c r="D106" s="206" t="s">
        <v>350</v>
      </c>
      <c r="E106" s="207" t="e">
        <f>VLOOKUP(CavityStatus[[#This Row],[Unit '#]],IncentiveTable[],2)</f>
        <v>#N/A</v>
      </c>
      <c r="F106" s="213"/>
      <c r="G106" s="216">
        <f>IF(CavityStatus[[#This Row],[Actual Ship Date]]&lt;&gt;0,($F106-$E106)/7,0)</f>
        <v>0</v>
      </c>
      <c r="H106" s="208" t="e">
        <f>VLOOKUP(CavityStatus[[#This Row],[Unit '#]],IncentiveTable[],3)</f>
        <v>#N/A</v>
      </c>
      <c r="I106" s="214" t="e">
        <f t="shared" si="7"/>
        <v>#N/A</v>
      </c>
      <c r="J106" s="215"/>
      <c r="K106" s="217">
        <v>4283.18</v>
      </c>
      <c r="L106" s="217">
        <v>490</v>
      </c>
      <c r="M106" s="217">
        <f t="shared" si="8"/>
        <v>40187.5</v>
      </c>
      <c r="N106" s="217" t="e">
        <f>RICavMilestoneVal+CavityStatus[[#This Row],[Incentive Earned]]+CavityStatus[[#This Row],[Recipe Modification (Mod 9)]]+L106</f>
        <v>#N/A</v>
      </c>
      <c r="O106" s="215"/>
      <c r="R106" s="109">
        <f t="shared" si="6"/>
        <v>490</v>
      </c>
    </row>
    <row r="107" spans="3:18" x14ac:dyDescent="0.25">
      <c r="C107" s="211"/>
      <c r="D107" s="206" t="s">
        <v>351</v>
      </c>
      <c r="E107" s="207" t="e">
        <f>VLOOKUP(CavityStatus[[#This Row],[Unit '#]],IncentiveTable[],2)</f>
        <v>#N/A</v>
      </c>
      <c r="F107" s="213"/>
      <c r="G107" s="216">
        <f>IF(CavityStatus[[#This Row],[Actual Ship Date]]&lt;&gt;0,($F107-$E107)/7,0)</f>
        <v>0</v>
      </c>
      <c r="H107" s="208" t="e">
        <f>VLOOKUP(CavityStatus[[#This Row],[Unit '#]],IncentiveTable[],3)</f>
        <v>#N/A</v>
      </c>
      <c r="I107" s="214" t="e">
        <f t="shared" si="7"/>
        <v>#N/A</v>
      </c>
      <c r="J107" s="215"/>
      <c r="K107" s="217">
        <v>4283.18</v>
      </c>
      <c r="L107" s="217">
        <v>490</v>
      </c>
      <c r="M107" s="217">
        <f t="shared" si="8"/>
        <v>40187.5</v>
      </c>
      <c r="N107" s="217" t="e">
        <f>RICavMilestoneVal+CavityStatus[[#This Row],[Incentive Earned]]+CavityStatus[[#This Row],[Recipe Modification (Mod 9)]]+L107</f>
        <v>#N/A</v>
      </c>
      <c r="O107" s="215"/>
      <c r="R107" s="109">
        <f t="shared" si="6"/>
        <v>490</v>
      </c>
    </row>
    <row r="108" spans="3:18" x14ac:dyDescent="0.25">
      <c r="C108" s="211"/>
      <c r="D108" s="206" t="s">
        <v>352</v>
      </c>
      <c r="E108" s="207" t="e">
        <f>VLOOKUP(CavityStatus[[#This Row],[Unit '#]],IncentiveTable[],2)</f>
        <v>#N/A</v>
      </c>
      <c r="F108" s="213"/>
      <c r="G108" s="216">
        <f>IF(CavityStatus[[#This Row],[Actual Ship Date]]&lt;&gt;0,($F108-$E108)/7,0)</f>
        <v>0</v>
      </c>
      <c r="H108" s="208" t="e">
        <f>VLOOKUP(CavityStatus[[#This Row],[Unit '#]],IncentiveTable[],3)</f>
        <v>#N/A</v>
      </c>
      <c r="I108" s="214" t="e">
        <f t="shared" si="7"/>
        <v>#N/A</v>
      </c>
      <c r="J108" s="215"/>
      <c r="K108" s="217">
        <v>4283.18</v>
      </c>
      <c r="L108" s="217">
        <v>490</v>
      </c>
      <c r="M108" s="217">
        <f t="shared" si="8"/>
        <v>40187.5</v>
      </c>
      <c r="N108" s="217" t="e">
        <f>RICavMilestoneVal+CavityStatus[[#This Row],[Incentive Earned]]+CavityStatus[[#This Row],[Recipe Modification (Mod 9)]]+L108</f>
        <v>#N/A</v>
      </c>
      <c r="O108" s="215"/>
      <c r="R108" s="109">
        <f t="shared" si="6"/>
        <v>490</v>
      </c>
    </row>
    <row r="109" spans="3:18" x14ac:dyDescent="0.25">
      <c r="C109" s="211"/>
      <c r="D109" s="206" t="s">
        <v>353</v>
      </c>
      <c r="E109" s="207" t="e">
        <f>VLOOKUP(CavityStatus[[#This Row],[Unit '#]],IncentiveTable[],2)</f>
        <v>#N/A</v>
      </c>
      <c r="F109" s="213"/>
      <c r="G109" s="216">
        <f>IF(CavityStatus[[#This Row],[Actual Ship Date]]&lt;&gt;0,($F109-$E109)/7,0)</f>
        <v>0</v>
      </c>
      <c r="H109" s="208" t="e">
        <f>VLOOKUP(CavityStatus[[#This Row],[Unit '#]],IncentiveTable[],3)</f>
        <v>#N/A</v>
      </c>
      <c r="I109" s="214" t="e">
        <f t="shared" si="7"/>
        <v>#N/A</v>
      </c>
      <c r="J109" s="215"/>
      <c r="K109" s="217">
        <v>4283.18</v>
      </c>
      <c r="L109" s="217">
        <v>490</v>
      </c>
      <c r="M109" s="217">
        <f t="shared" si="8"/>
        <v>40187.5</v>
      </c>
      <c r="N109" s="217" t="e">
        <f>RICavMilestoneVal+CavityStatus[[#This Row],[Incentive Earned]]+CavityStatus[[#This Row],[Recipe Modification (Mod 9)]]+L109</f>
        <v>#N/A</v>
      </c>
      <c r="O109" s="215"/>
      <c r="R109" s="109">
        <f t="shared" si="6"/>
        <v>490</v>
      </c>
    </row>
    <row r="110" spans="3:18" x14ac:dyDescent="0.25">
      <c r="C110" s="211"/>
      <c r="D110" s="206" t="s">
        <v>354</v>
      </c>
      <c r="E110" s="207" t="e">
        <f>VLOOKUP(CavityStatus[[#This Row],[Unit '#]],IncentiveTable[],2)</f>
        <v>#N/A</v>
      </c>
      <c r="F110" s="213"/>
      <c r="G110" s="216">
        <f>IF(CavityStatus[[#This Row],[Actual Ship Date]]&lt;&gt;0,($F110-$E110)/7,0)</f>
        <v>0</v>
      </c>
      <c r="H110" s="208" t="e">
        <f>VLOOKUP(CavityStatus[[#This Row],[Unit '#]],IncentiveTable[],3)</f>
        <v>#N/A</v>
      </c>
      <c r="I110" s="214" t="e">
        <f t="shared" si="7"/>
        <v>#N/A</v>
      </c>
      <c r="J110" s="215"/>
      <c r="K110" s="217">
        <v>4283.18</v>
      </c>
      <c r="L110" s="217">
        <v>490</v>
      </c>
      <c r="M110" s="217">
        <f t="shared" si="8"/>
        <v>40187.5</v>
      </c>
      <c r="N110" s="217" t="e">
        <f>RICavMilestoneVal+CavityStatus[[#This Row],[Incentive Earned]]+CavityStatus[[#This Row],[Recipe Modification (Mod 9)]]+L110</f>
        <v>#N/A</v>
      </c>
      <c r="O110" s="215"/>
      <c r="R110" s="109">
        <f t="shared" si="6"/>
        <v>490</v>
      </c>
    </row>
    <row r="111" spans="3:18" x14ac:dyDescent="0.25">
      <c r="C111" s="211"/>
      <c r="D111" s="206" t="s">
        <v>355</v>
      </c>
      <c r="E111" s="207" t="e">
        <f>VLOOKUP(CavityStatus[[#This Row],[Unit '#]],IncentiveTable[],2)</f>
        <v>#N/A</v>
      </c>
      <c r="F111" s="213"/>
      <c r="G111" s="216">
        <f>IF(CavityStatus[[#This Row],[Actual Ship Date]]&lt;&gt;0,($F111-$E111)/7,0)</f>
        <v>0</v>
      </c>
      <c r="H111" s="208" t="e">
        <f>VLOOKUP(CavityStatus[[#This Row],[Unit '#]],IncentiveTable[],3)</f>
        <v>#N/A</v>
      </c>
      <c r="I111" s="214" t="e">
        <f t="shared" si="7"/>
        <v>#N/A</v>
      </c>
      <c r="J111" s="215"/>
      <c r="K111" s="217">
        <v>4283.18</v>
      </c>
      <c r="L111" s="217">
        <v>490</v>
      </c>
      <c r="M111" s="217">
        <f t="shared" si="8"/>
        <v>40187.5</v>
      </c>
      <c r="N111" s="217" t="e">
        <f>RICavMilestoneVal+CavityStatus[[#This Row],[Incentive Earned]]+CavityStatus[[#This Row],[Recipe Modification (Mod 9)]]+L111</f>
        <v>#N/A</v>
      </c>
      <c r="O111" s="215"/>
      <c r="R111" s="109">
        <f t="shared" si="6"/>
        <v>490</v>
      </c>
    </row>
    <row r="112" spans="3:18" x14ac:dyDescent="0.25">
      <c r="C112" s="211"/>
      <c r="D112" s="206" t="s">
        <v>356</v>
      </c>
      <c r="E112" s="207" t="e">
        <f>VLOOKUP(CavityStatus[[#This Row],[Unit '#]],IncentiveTable[],2)</f>
        <v>#N/A</v>
      </c>
      <c r="F112" s="213"/>
      <c r="G112" s="216">
        <f>IF(CavityStatus[[#This Row],[Actual Ship Date]]&lt;&gt;0,($F112-$E112)/7,0)</f>
        <v>0</v>
      </c>
      <c r="H112" s="208" t="e">
        <f>VLOOKUP(CavityStatus[[#This Row],[Unit '#]],IncentiveTable[],3)</f>
        <v>#N/A</v>
      </c>
      <c r="I112" s="214" t="e">
        <f t="shared" si="7"/>
        <v>#N/A</v>
      </c>
      <c r="J112" s="215"/>
      <c r="K112" s="217">
        <v>4283.18</v>
      </c>
      <c r="L112" s="217">
        <v>490</v>
      </c>
      <c r="M112" s="217">
        <f t="shared" si="8"/>
        <v>40187.5</v>
      </c>
      <c r="N112" s="217" t="e">
        <f>RICavMilestoneVal+CavityStatus[[#This Row],[Incentive Earned]]+CavityStatus[[#This Row],[Recipe Modification (Mod 9)]]+L112</f>
        <v>#N/A</v>
      </c>
      <c r="O112" s="215"/>
      <c r="R112" s="109">
        <f t="shared" si="6"/>
        <v>490</v>
      </c>
    </row>
    <row r="113" spans="3:18" x14ac:dyDescent="0.25">
      <c r="C113" s="211"/>
      <c r="D113" s="206" t="s">
        <v>357</v>
      </c>
      <c r="E113" s="207" t="e">
        <f>VLOOKUP(CavityStatus[[#This Row],[Unit '#]],IncentiveTable[],2)</f>
        <v>#N/A</v>
      </c>
      <c r="F113" s="213"/>
      <c r="G113" s="216">
        <f>IF(CavityStatus[[#This Row],[Actual Ship Date]]&lt;&gt;0,($F113-$E113)/7,0)</f>
        <v>0</v>
      </c>
      <c r="H113" s="208" t="e">
        <f>VLOOKUP(CavityStatus[[#This Row],[Unit '#]],IncentiveTable[],3)</f>
        <v>#N/A</v>
      </c>
      <c r="I113" s="214" t="e">
        <f t="shared" si="7"/>
        <v>#N/A</v>
      </c>
      <c r="J113" s="215"/>
      <c r="K113" s="217">
        <v>4283.18</v>
      </c>
      <c r="L113" s="217">
        <v>490</v>
      </c>
      <c r="M113" s="217">
        <f t="shared" si="8"/>
        <v>40187.5</v>
      </c>
      <c r="N113" s="217" t="e">
        <f>RICavMilestoneVal+CavityStatus[[#This Row],[Incentive Earned]]+CavityStatus[[#This Row],[Recipe Modification (Mod 9)]]+L113</f>
        <v>#N/A</v>
      </c>
      <c r="O113" s="215"/>
      <c r="R113" s="109">
        <f t="shared" si="6"/>
        <v>490</v>
      </c>
    </row>
    <row r="114" spans="3:18" x14ac:dyDescent="0.25">
      <c r="C114" s="211"/>
      <c r="D114" s="206" t="s">
        <v>358</v>
      </c>
      <c r="E114" s="207" t="e">
        <f>VLOOKUP(CavityStatus[[#This Row],[Unit '#]],IncentiveTable[],2)</f>
        <v>#N/A</v>
      </c>
      <c r="F114" s="213"/>
      <c r="G114" s="216">
        <f>IF(CavityStatus[[#This Row],[Actual Ship Date]]&lt;&gt;0,($F114-$E114)/7,0)</f>
        <v>0</v>
      </c>
      <c r="H114" s="208" t="e">
        <f>VLOOKUP(CavityStatus[[#This Row],[Unit '#]],IncentiveTable[],3)</f>
        <v>#N/A</v>
      </c>
      <c r="I114" s="214" t="e">
        <f t="shared" si="7"/>
        <v>#N/A</v>
      </c>
      <c r="J114" s="215"/>
      <c r="K114" s="217">
        <v>4283.18</v>
      </c>
      <c r="L114" s="217">
        <v>490</v>
      </c>
      <c r="M114" s="217">
        <f t="shared" si="8"/>
        <v>40187.5</v>
      </c>
      <c r="N114" s="217" t="e">
        <f>RICavMilestoneVal+CavityStatus[[#This Row],[Incentive Earned]]+CavityStatus[[#This Row],[Recipe Modification (Mod 9)]]+L114</f>
        <v>#N/A</v>
      </c>
      <c r="O114" s="215"/>
      <c r="R114" s="109">
        <f t="shared" si="6"/>
        <v>490</v>
      </c>
    </row>
    <row r="115" spans="3:18" x14ac:dyDescent="0.25">
      <c r="C115" s="211"/>
      <c r="D115" s="206" t="s">
        <v>359</v>
      </c>
      <c r="E115" s="207" t="e">
        <f>VLOOKUP(CavityStatus[[#This Row],[Unit '#]],IncentiveTable[],2)</f>
        <v>#N/A</v>
      </c>
      <c r="F115" s="213"/>
      <c r="G115" s="216">
        <f>IF(CavityStatus[[#This Row],[Actual Ship Date]]&lt;&gt;0,($F115-$E115)/7,0)</f>
        <v>0</v>
      </c>
      <c r="H115" s="208" t="e">
        <f>VLOOKUP(CavityStatus[[#This Row],[Unit '#]],IncentiveTable[],3)</f>
        <v>#N/A</v>
      </c>
      <c r="I115" s="214" t="e">
        <f t="shared" si="7"/>
        <v>#N/A</v>
      </c>
      <c r="J115" s="215"/>
      <c r="K115" s="217">
        <v>4283.18</v>
      </c>
      <c r="L115" s="217">
        <v>490</v>
      </c>
      <c r="M115" s="217">
        <f t="shared" si="8"/>
        <v>40187.5</v>
      </c>
      <c r="N115" s="217" t="e">
        <f>RICavMilestoneVal+CavityStatus[[#This Row],[Incentive Earned]]+CavityStatus[[#This Row],[Recipe Modification (Mod 9)]]+L115</f>
        <v>#N/A</v>
      </c>
      <c r="O115" s="215"/>
      <c r="R115" s="109">
        <f t="shared" si="6"/>
        <v>490</v>
      </c>
    </row>
    <row r="116" spans="3:18" x14ac:dyDescent="0.25">
      <c r="C116" s="211"/>
      <c r="D116" s="206" t="s">
        <v>360</v>
      </c>
      <c r="E116" s="207" t="e">
        <f>VLOOKUP(CavityStatus[[#This Row],[Unit '#]],IncentiveTable[],2)</f>
        <v>#N/A</v>
      </c>
      <c r="F116" s="213"/>
      <c r="G116" s="216">
        <f>IF(CavityStatus[[#This Row],[Actual Ship Date]]&lt;&gt;0,($F116-$E116)/7,0)</f>
        <v>0</v>
      </c>
      <c r="H116" s="208" t="e">
        <f>VLOOKUP(CavityStatus[[#This Row],[Unit '#]],IncentiveTable[],3)</f>
        <v>#N/A</v>
      </c>
      <c r="I116" s="214" t="e">
        <f t="shared" si="7"/>
        <v>#N/A</v>
      </c>
      <c r="J116" s="215"/>
      <c r="K116" s="217">
        <v>4283.18</v>
      </c>
      <c r="L116" s="217">
        <v>490</v>
      </c>
      <c r="M116" s="217">
        <f t="shared" si="8"/>
        <v>40187.5</v>
      </c>
      <c r="N116" s="217" t="e">
        <f>RICavMilestoneVal+CavityStatus[[#This Row],[Incentive Earned]]+CavityStatus[[#This Row],[Recipe Modification (Mod 9)]]+L116</f>
        <v>#N/A</v>
      </c>
      <c r="O116" s="215"/>
      <c r="R116" s="109">
        <f t="shared" si="6"/>
        <v>490</v>
      </c>
    </row>
    <row r="117" spans="3:18" x14ac:dyDescent="0.25">
      <c r="C117" s="211"/>
      <c r="D117" s="206" t="s">
        <v>361</v>
      </c>
      <c r="E117" s="207" t="e">
        <f>VLOOKUP(CavityStatus[[#This Row],[Unit '#]],IncentiveTable[],2)</f>
        <v>#N/A</v>
      </c>
      <c r="F117" s="213"/>
      <c r="G117" s="216">
        <f>IF(CavityStatus[[#This Row],[Actual Ship Date]]&lt;&gt;0,($F117-$E117)/7,0)</f>
        <v>0</v>
      </c>
      <c r="H117" s="208" t="e">
        <f>VLOOKUP(CavityStatus[[#This Row],[Unit '#]],IncentiveTable[],3)</f>
        <v>#N/A</v>
      </c>
      <c r="I117" s="214" t="e">
        <f t="shared" ref="I117:I150" si="9">IF($G117&gt;0,$H117-($G117*200),$H117)</f>
        <v>#N/A</v>
      </c>
      <c r="J117" s="215"/>
      <c r="K117" s="217">
        <v>4283.18</v>
      </c>
      <c r="L117" s="217">
        <v>490</v>
      </c>
      <c r="M117" s="217">
        <f t="shared" si="8"/>
        <v>40187.5</v>
      </c>
      <c r="N117" s="217" t="e">
        <f>RICavMilestoneVal+CavityStatus[[#This Row],[Incentive Earned]]+CavityStatus[[#This Row],[Recipe Modification (Mod 9)]]+L117</f>
        <v>#N/A</v>
      </c>
      <c r="O117" s="215"/>
      <c r="R117" s="109">
        <f t="shared" si="6"/>
        <v>490</v>
      </c>
    </row>
    <row r="118" spans="3:18" x14ac:dyDescent="0.25">
      <c r="C118" s="211"/>
      <c r="D118" s="206" t="s">
        <v>362</v>
      </c>
      <c r="E118" s="207" t="e">
        <f>VLOOKUP(CavityStatus[[#This Row],[Unit '#]],IncentiveTable[],2)</f>
        <v>#N/A</v>
      </c>
      <c r="F118" s="213"/>
      <c r="G118" s="216">
        <f>IF(CavityStatus[[#This Row],[Actual Ship Date]]&lt;&gt;0,($F118-$E118)/7,0)</f>
        <v>0</v>
      </c>
      <c r="H118" s="208" t="e">
        <f>VLOOKUP(CavityStatus[[#This Row],[Unit '#]],IncentiveTable[],3)</f>
        <v>#N/A</v>
      </c>
      <c r="I118" s="214" t="e">
        <f t="shared" si="9"/>
        <v>#N/A</v>
      </c>
      <c r="J118" s="215"/>
      <c r="K118" s="217">
        <v>4283.18</v>
      </c>
      <c r="L118" s="217">
        <v>490</v>
      </c>
      <c r="M118" s="217">
        <f t="shared" si="8"/>
        <v>40187.5</v>
      </c>
      <c r="N118" s="217" t="e">
        <f>RICavMilestoneVal+CavityStatus[[#This Row],[Incentive Earned]]+CavityStatus[[#This Row],[Recipe Modification (Mod 9)]]+L118</f>
        <v>#N/A</v>
      </c>
      <c r="O118" s="215"/>
      <c r="R118" s="109">
        <f t="shared" si="6"/>
        <v>490</v>
      </c>
    </row>
    <row r="119" spans="3:18" x14ac:dyDescent="0.25">
      <c r="C119" s="211"/>
      <c r="D119" s="206" t="s">
        <v>363</v>
      </c>
      <c r="E119" s="207" t="e">
        <f>VLOOKUP(CavityStatus[[#This Row],[Unit '#]],IncentiveTable[],2)</f>
        <v>#N/A</v>
      </c>
      <c r="F119" s="213"/>
      <c r="G119" s="216">
        <f>IF(CavityStatus[[#This Row],[Actual Ship Date]]&lt;&gt;0,($F119-$E119)/7,0)</f>
        <v>0</v>
      </c>
      <c r="H119" s="208" t="e">
        <f>VLOOKUP(CavityStatus[[#This Row],[Unit '#]],IncentiveTable[],3)</f>
        <v>#N/A</v>
      </c>
      <c r="I119" s="214" t="e">
        <f t="shared" si="9"/>
        <v>#N/A</v>
      </c>
      <c r="J119" s="215"/>
      <c r="K119" s="217">
        <v>4283.18</v>
      </c>
      <c r="L119" s="217">
        <v>490</v>
      </c>
      <c r="M119" s="217">
        <f t="shared" si="8"/>
        <v>40187.5</v>
      </c>
      <c r="N119" s="217" t="e">
        <f>RICavMilestoneVal+CavityStatus[[#This Row],[Incentive Earned]]+CavityStatus[[#This Row],[Recipe Modification (Mod 9)]]+L119</f>
        <v>#N/A</v>
      </c>
      <c r="O119" s="215"/>
      <c r="R119" s="109">
        <f t="shared" si="6"/>
        <v>490</v>
      </c>
    </row>
    <row r="120" spans="3:18" x14ac:dyDescent="0.25">
      <c r="C120" s="211"/>
      <c r="D120" s="206" t="s">
        <v>364</v>
      </c>
      <c r="E120" s="207" t="e">
        <f>VLOOKUP(CavityStatus[[#This Row],[Unit '#]],IncentiveTable[],2)</f>
        <v>#N/A</v>
      </c>
      <c r="F120" s="213"/>
      <c r="G120" s="216">
        <f>IF(CavityStatus[[#This Row],[Actual Ship Date]]&lt;&gt;0,($F120-$E120)/7,0)</f>
        <v>0</v>
      </c>
      <c r="H120" s="208" t="e">
        <f>VLOOKUP(CavityStatus[[#This Row],[Unit '#]],IncentiveTable[],3)</f>
        <v>#N/A</v>
      </c>
      <c r="I120" s="214" t="e">
        <f t="shared" si="9"/>
        <v>#N/A</v>
      </c>
      <c r="J120" s="215"/>
      <c r="K120" s="217">
        <v>4283.18</v>
      </c>
      <c r="L120" s="217">
        <v>490</v>
      </c>
      <c r="M120" s="217">
        <f t="shared" si="8"/>
        <v>40187.5</v>
      </c>
      <c r="N120" s="217" t="e">
        <f>RICavMilestoneVal+CavityStatus[[#This Row],[Incentive Earned]]+CavityStatus[[#This Row],[Recipe Modification (Mod 9)]]+L120</f>
        <v>#N/A</v>
      </c>
      <c r="O120" s="215"/>
      <c r="R120" s="109">
        <f t="shared" si="6"/>
        <v>490</v>
      </c>
    </row>
    <row r="121" spans="3:18" x14ac:dyDescent="0.25">
      <c r="C121" s="211"/>
      <c r="D121" s="206" t="s">
        <v>365</v>
      </c>
      <c r="E121" s="207" t="e">
        <f>VLOOKUP(CavityStatus[[#This Row],[Unit '#]],IncentiveTable[],2)</f>
        <v>#N/A</v>
      </c>
      <c r="F121" s="213"/>
      <c r="G121" s="216">
        <f>IF(CavityStatus[[#This Row],[Actual Ship Date]]&lt;&gt;0,($F121-$E121)/7,0)</f>
        <v>0</v>
      </c>
      <c r="H121" s="208" t="e">
        <f>VLOOKUP(CavityStatus[[#This Row],[Unit '#]],IncentiveTable[],3)</f>
        <v>#N/A</v>
      </c>
      <c r="I121" s="214" t="e">
        <f t="shared" si="9"/>
        <v>#N/A</v>
      </c>
      <c r="J121" s="215"/>
      <c r="K121" s="217">
        <v>4283.18</v>
      </c>
      <c r="L121" s="217">
        <v>490</v>
      </c>
      <c r="M121" s="217">
        <f t="shared" si="8"/>
        <v>40187.5</v>
      </c>
      <c r="N121" s="217" t="e">
        <f>RICavMilestoneVal+CavityStatus[[#This Row],[Incentive Earned]]+CavityStatus[[#This Row],[Recipe Modification (Mod 9)]]+L121</f>
        <v>#N/A</v>
      </c>
      <c r="O121" s="215"/>
      <c r="R121" s="109">
        <f t="shared" si="6"/>
        <v>490</v>
      </c>
    </row>
    <row r="122" spans="3:18" x14ac:dyDescent="0.25">
      <c r="C122" s="211"/>
      <c r="D122" s="206" t="s">
        <v>366</v>
      </c>
      <c r="E122" s="207" t="e">
        <f>VLOOKUP(CavityStatus[[#This Row],[Unit '#]],IncentiveTable[],2)</f>
        <v>#N/A</v>
      </c>
      <c r="F122" s="213"/>
      <c r="G122" s="216">
        <f>IF(CavityStatus[[#This Row],[Actual Ship Date]]&lt;&gt;0,($F122-$E122)/7,0)</f>
        <v>0</v>
      </c>
      <c r="H122" s="208" t="e">
        <f>VLOOKUP(CavityStatus[[#This Row],[Unit '#]],IncentiveTable[],3)</f>
        <v>#N/A</v>
      </c>
      <c r="I122" s="214" t="e">
        <f t="shared" si="9"/>
        <v>#N/A</v>
      </c>
      <c r="J122" s="215"/>
      <c r="K122" s="217">
        <v>4283.18</v>
      </c>
      <c r="L122" s="217">
        <v>490</v>
      </c>
      <c r="M122" s="217">
        <f t="shared" si="8"/>
        <v>40187.5</v>
      </c>
      <c r="N122" s="217" t="e">
        <f>RICavMilestoneVal+CavityStatus[[#This Row],[Incentive Earned]]+CavityStatus[[#This Row],[Recipe Modification (Mod 9)]]+L122</f>
        <v>#N/A</v>
      </c>
      <c r="O122" s="215"/>
      <c r="R122" s="109">
        <f t="shared" si="6"/>
        <v>490</v>
      </c>
    </row>
    <row r="123" spans="3:18" x14ac:dyDescent="0.25">
      <c r="C123" s="211"/>
      <c r="D123" s="206" t="s">
        <v>367</v>
      </c>
      <c r="E123" s="207" t="e">
        <f>VLOOKUP(CavityStatus[[#This Row],[Unit '#]],IncentiveTable[],2)</f>
        <v>#N/A</v>
      </c>
      <c r="F123" s="213"/>
      <c r="G123" s="216">
        <f>IF(CavityStatus[[#This Row],[Actual Ship Date]]&lt;&gt;0,($F123-$E123)/7,0)</f>
        <v>0</v>
      </c>
      <c r="H123" s="208" t="e">
        <f>VLOOKUP(CavityStatus[[#This Row],[Unit '#]],IncentiveTable[],3)</f>
        <v>#N/A</v>
      </c>
      <c r="I123" s="214" t="e">
        <f t="shared" si="9"/>
        <v>#N/A</v>
      </c>
      <c r="J123" s="215"/>
      <c r="K123" s="217">
        <v>4283.18</v>
      </c>
      <c r="L123" s="217">
        <v>490</v>
      </c>
      <c r="M123" s="217">
        <f t="shared" si="8"/>
        <v>40187.5</v>
      </c>
      <c r="N123" s="217" t="e">
        <f>RICavMilestoneVal+CavityStatus[[#This Row],[Incentive Earned]]+CavityStatus[[#This Row],[Recipe Modification (Mod 9)]]+L123</f>
        <v>#N/A</v>
      </c>
      <c r="O123" s="215"/>
      <c r="R123" s="109">
        <f t="shared" si="6"/>
        <v>490</v>
      </c>
    </row>
    <row r="124" spans="3:18" x14ac:dyDescent="0.25">
      <c r="C124" s="211"/>
      <c r="D124" s="206" t="s">
        <v>368</v>
      </c>
      <c r="E124" s="207" t="e">
        <f>VLOOKUP(CavityStatus[[#This Row],[Unit '#]],IncentiveTable[],2)</f>
        <v>#N/A</v>
      </c>
      <c r="F124" s="213"/>
      <c r="G124" s="216">
        <f>IF(CavityStatus[[#This Row],[Actual Ship Date]]&lt;&gt;0,($F124-$E124)/7,0)</f>
        <v>0</v>
      </c>
      <c r="H124" s="208" t="e">
        <f>VLOOKUP(CavityStatus[[#This Row],[Unit '#]],IncentiveTable[],3)</f>
        <v>#N/A</v>
      </c>
      <c r="I124" s="214" t="e">
        <f t="shared" si="9"/>
        <v>#N/A</v>
      </c>
      <c r="J124" s="215"/>
      <c r="K124" s="217">
        <v>4283.18</v>
      </c>
      <c r="L124" s="217">
        <v>490</v>
      </c>
      <c r="M124" s="217">
        <f t="shared" si="8"/>
        <v>40187.5</v>
      </c>
      <c r="N124" s="217" t="e">
        <f>RICavMilestoneVal+CavityStatus[[#This Row],[Incentive Earned]]+CavityStatus[[#This Row],[Recipe Modification (Mod 9)]]+L124</f>
        <v>#N/A</v>
      </c>
      <c r="O124" s="215"/>
      <c r="R124" s="109">
        <f t="shared" si="6"/>
        <v>490</v>
      </c>
    </row>
    <row r="125" spans="3:18" x14ac:dyDescent="0.25">
      <c r="C125" s="211"/>
      <c r="D125" s="206" t="s">
        <v>369</v>
      </c>
      <c r="E125" s="207" t="e">
        <f>VLOOKUP(CavityStatus[[#This Row],[Unit '#]],IncentiveTable[],2)</f>
        <v>#N/A</v>
      </c>
      <c r="F125" s="213"/>
      <c r="G125" s="216">
        <f>IF(CavityStatus[[#This Row],[Actual Ship Date]]&lt;&gt;0,($F125-$E125)/7,0)</f>
        <v>0</v>
      </c>
      <c r="H125" s="208" t="e">
        <f>VLOOKUP(CavityStatus[[#This Row],[Unit '#]],IncentiveTable[],3)</f>
        <v>#N/A</v>
      </c>
      <c r="I125" s="214" t="e">
        <f t="shared" si="9"/>
        <v>#N/A</v>
      </c>
      <c r="J125" s="215"/>
      <c r="K125" s="217">
        <v>4283.18</v>
      </c>
      <c r="L125" s="217">
        <v>490</v>
      </c>
      <c r="M125" s="217">
        <f t="shared" si="8"/>
        <v>40187.5</v>
      </c>
      <c r="N125" s="217" t="e">
        <f>RICavMilestoneVal+CavityStatus[[#This Row],[Incentive Earned]]+CavityStatus[[#This Row],[Recipe Modification (Mod 9)]]+L125</f>
        <v>#N/A</v>
      </c>
      <c r="O125" s="215"/>
      <c r="R125" s="109">
        <f t="shared" si="6"/>
        <v>490</v>
      </c>
    </row>
    <row r="126" spans="3:18" x14ac:dyDescent="0.25">
      <c r="C126" s="211"/>
      <c r="D126" s="206" t="s">
        <v>370</v>
      </c>
      <c r="E126" s="207" t="e">
        <f>VLOOKUP(CavityStatus[[#This Row],[Unit '#]],IncentiveTable[],2)</f>
        <v>#N/A</v>
      </c>
      <c r="F126" s="213"/>
      <c r="G126" s="216">
        <f>IF(CavityStatus[[#This Row],[Actual Ship Date]]&lt;&gt;0,($F126-$E126)/7,0)</f>
        <v>0</v>
      </c>
      <c r="H126" s="208" t="e">
        <f>VLOOKUP(CavityStatus[[#This Row],[Unit '#]],IncentiveTable[],3)</f>
        <v>#N/A</v>
      </c>
      <c r="I126" s="214" t="e">
        <f t="shared" si="9"/>
        <v>#N/A</v>
      </c>
      <c r="J126" s="215"/>
      <c r="K126" s="217">
        <v>4283.18</v>
      </c>
      <c r="L126" s="217">
        <v>490</v>
      </c>
      <c r="M126" s="217">
        <f t="shared" si="8"/>
        <v>40187.5</v>
      </c>
      <c r="N126" s="217" t="e">
        <f>RICavMilestoneVal+CavityStatus[[#This Row],[Incentive Earned]]+CavityStatus[[#This Row],[Recipe Modification (Mod 9)]]+L126</f>
        <v>#N/A</v>
      </c>
      <c r="O126" s="215"/>
      <c r="R126" s="109">
        <f t="shared" si="6"/>
        <v>490</v>
      </c>
    </row>
    <row r="127" spans="3:18" x14ac:dyDescent="0.25">
      <c r="C127" s="211"/>
      <c r="D127" s="206" t="s">
        <v>371</v>
      </c>
      <c r="E127" s="207" t="e">
        <f>VLOOKUP(CavityStatus[[#This Row],[Unit '#]],IncentiveTable[],2)</f>
        <v>#N/A</v>
      </c>
      <c r="F127" s="213"/>
      <c r="G127" s="216">
        <f>IF(CavityStatus[[#This Row],[Actual Ship Date]]&lt;&gt;0,($F127-$E127)/7,0)</f>
        <v>0</v>
      </c>
      <c r="H127" s="208" t="e">
        <f>VLOOKUP(CavityStatus[[#This Row],[Unit '#]],IncentiveTable[],3)</f>
        <v>#N/A</v>
      </c>
      <c r="I127" s="214" t="e">
        <f t="shared" si="9"/>
        <v>#N/A</v>
      </c>
      <c r="J127" s="215"/>
      <c r="K127" s="217">
        <v>4283.18</v>
      </c>
      <c r="L127" s="217">
        <v>490</v>
      </c>
      <c r="M127" s="217">
        <f t="shared" si="8"/>
        <v>40187.5</v>
      </c>
      <c r="N127" s="217" t="e">
        <f>RICavMilestoneVal+CavityStatus[[#This Row],[Incentive Earned]]+CavityStatus[[#This Row],[Recipe Modification (Mod 9)]]+L127</f>
        <v>#N/A</v>
      </c>
      <c r="O127" s="215"/>
      <c r="R127" s="109">
        <f t="shared" si="6"/>
        <v>490</v>
      </c>
    </row>
    <row r="128" spans="3:18" x14ac:dyDescent="0.25">
      <c r="C128" s="211"/>
      <c r="D128" s="206" t="s">
        <v>372</v>
      </c>
      <c r="E128" s="207" t="e">
        <f>VLOOKUP(CavityStatus[[#This Row],[Unit '#]],IncentiveTable[],2)</f>
        <v>#N/A</v>
      </c>
      <c r="F128" s="213"/>
      <c r="G128" s="216">
        <f>IF(CavityStatus[[#This Row],[Actual Ship Date]]&lt;&gt;0,($F128-$E128)/7,0)</f>
        <v>0</v>
      </c>
      <c r="H128" s="208" t="e">
        <f>VLOOKUP(CavityStatus[[#This Row],[Unit '#]],IncentiveTable[],3)</f>
        <v>#N/A</v>
      </c>
      <c r="I128" s="214" t="e">
        <f t="shared" si="9"/>
        <v>#N/A</v>
      </c>
      <c r="J128" s="215"/>
      <c r="K128" s="217">
        <v>4283.18</v>
      </c>
      <c r="L128" s="217">
        <v>490</v>
      </c>
      <c r="M128" s="217">
        <f t="shared" si="8"/>
        <v>40187.5</v>
      </c>
      <c r="N128" s="217" t="e">
        <f>RICavMilestoneVal+CavityStatus[[#This Row],[Incentive Earned]]+CavityStatus[[#This Row],[Recipe Modification (Mod 9)]]+L128</f>
        <v>#N/A</v>
      </c>
      <c r="O128" s="215"/>
      <c r="R128" s="109">
        <f t="shared" si="6"/>
        <v>490</v>
      </c>
    </row>
    <row r="129" spans="3:18" x14ac:dyDescent="0.25">
      <c r="C129" s="211"/>
      <c r="D129" s="206" t="s">
        <v>373</v>
      </c>
      <c r="E129" s="207" t="e">
        <f>VLOOKUP(CavityStatus[[#This Row],[Unit '#]],IncentiveTable[],2)</f>
        <v>#N/A</v>
      </c>
      <c r="F129" s="213"/>
      <c r="G129" s="216">
        <f>IF(CavityStatus[[#This Row],[Actual Ship Date]]&lt;&gt;0,($F129-$E129)/7,0)</f>
        <v>0</v>
      </c>
      <c r="H129" s="208" t="e">
        <f>VLOOKUP(CavityStatus[[#This Row],[Unit '#]],IncentiveTable[],3)</f>
        <v>#N/A</v>
      </c>
      <c r="I129" s="214" t="e">
        <f t="shared" si="9"/>
        <v>#N/A</v>
      </c>
      <c r="J129" s="215"/>
      <c r="K129" s="217">
        <v>4283.18</v>
      </c>
      <c r="L129" s="217">
        <v>490</v>
      </c>
      <c r="M129" s="217">
        <f t="shared" si="8"/>
        <v>40187.5</v>
      </c>
      <c r="N129" s="217" t="e">
        <f>RICavMilestoneVal+CavityStatus[[#This Row],[Incentive Earned]]+CavityStatus[[#This Row],[Recipe Modification (Mod 9)]]+L129</f>
        <v>#N/A</v>
      </c>
      <c r="O129" s="215"/>
      <c r="R129" s="109">
        <f t="shared" si="6"/>
        <v>490</v>
      </c>
    </row>
    <row r="130" spans="3:18" x14ac:dyDescent="0.25">
      <c r="C130" s="211"/>
      <c r="D130" s="206" t="s">
        <v>374</v>
      </c>
      <c r="E130" s="207" t="e">
        <f>VLOOKUP(CavityStatus[[#This Row],[Unit '#]],IncentiveTable[],2)</f>
        <v>#N/A</v>
      </c>
      <c r="F130" s="213"/>
      <c r="G130" s="216">
        <f>IF(CavityStatus[[#This Row],[Actual Ship Date]]&lt;&gt;0,($F130-$E130)/7,0)</f>
        <v>0</v>
      </c>
      <c r="H130" s="208" t="e">
        <f>VLOOKUP(CavityStatus[[#This Row],[Unit '#]],IncentiveTable[],3)</f>
        <v>#N/A</v>
      </c>
      <c r="I130" s="214" t="e">
        <f t="shared" si="9"/>
        <v>#N/A</v>
      </c>
      <c r="J130" s="215"/>
      <c r="K130" s="217">
        <v>4283.18</v>
      </c>
      <c r="L130" s="217">
        <v>490</v>
      </c>
      <c r="M130" s="217">
        <f t="shared" ref="M130:M150" si="10">RICavMilestoneVal</f>
        <v>40187.5</v>
      </c>
      <c r="N130" s="217" t="e">
        <f>RICavMilestoneVal+CavityStatus[[#This Row],[Incentive Earned]]+CavityStatus[[#This Row],[Recipe Modification (Mod 9)]]+L130</f>
        <v>#N/A</v>
      </c>
      <c r="O130" s="215"/>
      <c r="R130" s="109">
        <f t="shared" si="6"/>
        <v>490</v>
      </c>
    </row>
    <row r="131" spans="3:18" x14ac:dyDescent="0.25">
      <c r="C131" s="211"/>
      <c r="D131" s="206" t="s">
        <v>375</v>
      </c>
      <c r="E131" s="207" t="e">
        <f>VLOOKUP(CavityStatus[[#This Row],[Unit '#]],IncentiveTable[],2)</f>
        <v>#N/A</v>
      </c>
      <c r="F131" s="213"/>
      <c r="G131" s="216">
        <f>IF(CavityStatus[[#This Row],[Actual Ship Date]]&lt;&gt;0,($F131-$E131)/7,0)</f>
        <v>0</v>
      </c>
      <c r="H131" s="208" t="e">
        <f>VLOOKUP(CavityStatus[[#This Row],[Unit '#]],IncentiveTable[],3)</f>
        <v>#N/A</v>
      </c>
      <c r="I131" s="214" t="e">
        <f t="shared" si="9"/>
        <v>#N/A</v>
      </c>
      <c r="J131" s="215"/>
      <c r="K131" s="217">
        <v>4283.18</v>
      </c>
      <c r="L131" s="217">
        <v>490</v>
      </c>
      <c r="M131" s="217">
        <f t="shared" si="10"/>
        <v>40187.5</v>
      </c>
      <c r="N131" s="217" t="e">
        <f>RICavMilestoneVal+CavityStatus[[#This Row],[Incentive Earned]]+CavityStatus[[#This Row],[Recipe Modification (Mod 9)]]+L131</f>
        <v>#N/A</v>
      </c>
      <c r="O131" s="215"/>
      <c r="R131" s="109">
        <f t="shared" si="6"/>
        <v>490</v>
      </c>
    </row>
    <row r="132" spans="3:18" x14ac:dyDescent="0.25">
      <c r="C132" s="211"/>
      <c r="D132" s="206" t="s">
        <v>376</v>
      </c>
      <c r="E132" s="207" t="e">
        <f>VLOOKUP(CavityStatus[[#This Row],[Unit '#]],IncentiveTable[],2)</f>
        <v>#N/A</v>
      </c>
      <c r="F132" s="213"/>
      <c r="G132" s="216">
        <f>IF(CavityStatus[[#This Row],[Actual Ship Date]]&lt;&gt;0,($F132-$E132)/7,0)</f>
        <v>0</v>
      </c>
      <c r="H132" s="208" t="e">
        <f>VLOOKUP(CavityStatus[[#This Row],[Unit '#]],IncentiveTable[],3)</f>
        <v>#N/A</v>
      </c>
      <c r="I132" s="214" t="e">
        <f t="shared" si="9"/>
        <v>#N/A</v>
      </c>
      <c r="J132" s="215"/>
      <c r="K132" s="217">
        <v>4283.18</v>
      </c>
      <c r="L132" s="217">
        <v>490</v>
      </c>
      <c r="M132" s="217">
        <f t="shared" si="10"/>
        <v>40187.5</v>
      </c>
      <c r="N132" s="217" t="e">
        <f>RICavMilestoneVal+CavityStatus[[#This Row],[Incentive Earned]]+CavityStatus[[#This Row],[Recipe Modification (Mod 9)]]+L132</f>
        <v>#N/A</v>
      </c>
      <c r="O132" s="215"/>
      <c r="R132" s="109">
        <f t="shared" si="6"/>
        <v>490</v>
      </c>
    </row>
    <row r="133" spans="3:18" x14ac:dyDescent="0.25">
      <c r="C133" s="211"/>
      <c r="D133" s="206" t="s">
        <v>377</v>
      </c>
      <c r="E133" s="207" t="e">
        <f>VLOOKUP(CavityStatus[[#This Row],[Unit '#]],IncentiveTable[],2)</f>
        <v>#N/A</v>
      </c>
      <c r="F133" s="213"/>
      <c r="G133" s="216">
        <f>IF(CavityStatus[[#This Row],[Actual Ship Date]]&lt;&gt;0,($F133-$E133)/7,0)</f>
        <v>0</v>
      </c>
      <c r="H133" s="208" t="e">
        <f>VLOOKUP(CavityStatus[[#This Row],[Unit '#]],IncentiveTable[],3)</f>
        <v>#N/A</v>
      </c>
      <c r="I133" s="214" t="e">
        <f t="shared" si="9"/>
        <v>#N/A</v>
      </c>
      <c r="J133" s="215"/>
      <c r="K133" s="217">
        <v>4283.18</v>
      </c>
      <c r="L133" s="217">
        <v>490</v>
      </c>
      <c r="M133" s="217">
        <f t="shared" si="10"/>
        <v>40187.5</v>
      </c>
      <c r="N133" s="217" t="e">
        <f>RICavMilestoneVal+CavityStatus[[#This Row],[Incentive Earned]]+CavityStatus[[#This Row],[Recipe Modification (Mod 9)]]+L133</f>
        <v>#N/A</v>
      </c>
      <c r="O133" s="215"/>
      <c r="R133" s="109">
        <f t="shared" si="6"/>
        <v>490</v>
      </c>
    </row>
    <row r="134" spans="3:18" x14ac:dyDescent="0.25">
      <c r="C134" s="211"/>
      <c r="D134" s="206" t="s">
        <v>378</v>
      </c>
      <c r="E134" s="207" t="e">
        <f>VLOOKUP(CavityStatus[[#This Row],[Unit '#]],IncentiveTable[],2)</f>
        <v>#N/A</v>
      </c>
      <c r="F134" s="213"/>
      <c r="G134" s="216">
        <f>IF(CavityStatus[[#This Row],[Actual Ship Date]]&lt;&gt;0,($F134-$E134)/7,0)</f>
        <v>0</v>
      </c>
      <c r="H134" s="208" t="e">
        <f>VLOOKUP(CavityStatus[[#This Row],[Unit '#]],IncentiveTable[],3)</f>
        <v>#N/A</v>
      </c>
      <c r="I134" s="214" t="e">
        <f t="shared" si="9"/>
        <v>#N/A</v>
      </c>
      <c r="J134" s="215"/>
      <c r="K134" s="217">
        <v>4283.8400000006659</v>
      </c>
      <c r="L134" s="217">
        <v>470</v>
      </c>
      <c r="M134" s="217">
        <f t="shared" si="10"/>
        <v>40187.5</v>
      </c>
      <c r="N134" s="217" t="e">
        <f>RICavMilestoneVal+CavityStatus[[#This Row],[Incentive Earned]]+CavityStatus[[#This Row],[Recipe Modification (Mod 9)]]+L134</f>
        <v>#N/A</v>
      </c>
      <c r="O134" s="215"/>
      <c r="R134" s="109">
        <f t="shared" si="6"/>
        <v>490</v>
      </c>
    </row>
    <row r="135" spans="3:18" x14ac:dyDescent="0.25">
      <c r="C135" s="211"/>
      <c r="D135" s="212"/>
      <c r="E135" s="207" t="e">
        <f>VLOOKUP(CavityStatus[[#This Row],[Unit '#]],IncentiveTable[],2)</f>
        <v>#N/A</v>
      </c>
      <c r="F135" s="213"/>
      <c r="G135" s="216">
        <f>IF(CavityStatus[[#This Row],[Actual Ship Date]]&lt;&gt;0,($F135-$E135)/7,0)</f>
        <v>0</v>
      </c>
      <c r="H135" s="214"/>
      <c r="I135" s="214">
        <f t="shared" si="9"/>
        <v>0</v>
      </c>
      <c r="J135" s="215"/>
      <c r="K135" s="217"/>
      <c r="L135" s="217"/>
      <c r="M135" s="217">
        <f t="shared" si="10"/>
        <v>40187.5</v>
      </c>
      <c r="N135" s="217">
        <f>RICavMilestoneVal+CavityStatus[[#This Row],[Incentive Earned]]+CavityStatus[[#This Row],[Recipe Modification (Mod 9)]]+L135</f>
        <v>40187.5</v>
      </c>
      <c r="O135" s="215"/>
      <c r="Q135" s="109">
        <v>57800</v>
      </c>
      <c r="R135" s="109">
        <f>SUM(R18:R134)</f>
        <v>57330</v>
      </c>
    </row>
    <row r="136" spans="3:18" x14ac:dyDescent="0.25">
      <c r="C136" s="211"/>
      <c r="D136" s="212"/>
      <c r="E136" s="207" t="e">
        <f>VLOOKUP(CavityStatus[[#This Row],[Unit '#]],IncentiveTable[],2)</f>
        <v>#N/A</v>
      </c>
      <c r="F136" s="213"/>
      <c r="G136" s="216">
        <f>IF(CavityStatus[[#This Row],[Actual Ship Date]]&lt;&gt;0,($F136-$E136)/7,0)</f>
        <v>0</v>
      </c>
      <c r="H136" s="214"/>
      <c r="I136" s="214">
        <f t="shared" si="9"/>
        <v>0</v>
      </c>
      <c r="J136" s="215"/>
      <c r="K136" s="217"/>
      <c r="L136" s="217"/>
      <c r="M136" s="217">
        <f t="shared" si="10"/>
        <v>40187.5</v>
      </c>
      <c r="N136" s="217">
        <f>RICavMilestoneVal+CavityStatus[[#This Row],[Incentive Earned]]+CavityStatus[[#This Row],[Recipe Modification (Mod 9)]]+L136</f>
        <v>40187.5</v>
      </c>
      <c r="O136" s="215"/>
      <c r="R136" s="109">
        <f>Q135-R135</f>
        <v>470</v>
      </c>
    </row>
    <row r="137" spans="3:18" x14ac:dyDescent="0.25">
      <c r="C137" s="211"/>
      <c r="D137" s="212"/>
      <c r="E137" s="207" t="e">
        <f>VLOOKUP(CavityStatus[[#This Row],[Unit '#]],IncentiveTable[],2)</f>
        <v>#N/A</v>
      </c>
      <c r="F137" s="213"/>
      <c r="G137" s="216">
        <f>IF(CavityStatus[[#This Row],[Actual Ship Date]]&lt;&gt;0,($F137-$E137)/7,0)</f>
        <v>0</v>
      </c>
      <c r="H137" s="214"/>
      <c r="I137" s="214">
        <f t="shared" si="9"/>
        <v>0</v>
      </c>
      <c r="J137" s="215"/>
      <c r="K137" s="217"/>
      <c r="L137" s="217"/>
      <c r="M137" s="217">
        <f t="shared" si="10"/>
        <v>40187.5</v>
      </c>
      <c r="N137" s="217">
        <f>RICavMilestoneVal+CavityStatus[[#This Row],[Incentive Earned]]+CavityStatus[[#This Row],[Recipe Modification (Mod 9)]]+L137</f>
        <v>40187.5</v>
      </c>
      <c r="O137" s="215"/>
    </row>
    <row r="138" spans="3:18" x14ac:dyDescent="0.25">
      <c r="C138" s="211"/>
      <c r="D138" s="212"/>
      <c r="E138" s="207" t="e">
        <f>VLOOKUP(CavityStatus[[#This Row],[Unit '#]],IncentiveTable[],2)</f>
        <v>#N/A</v>
      </c>
      <c r="F138" s="213"/>
      <c r="G138" s="216">
        <f>IF(CavityStatus[[#This Row],[Actual Ship Date]]&lt;&gt;0,($F138-$E138)/7,0)</f>
        <v>0</v>
      </c>
      <c r="H138" s="214"/>
      <c r="I138" s="214">
        <f t="shared" si="9"/>
        <v>0</v>
      </c>
      <c r="J138" s="215"/>
      <c r="K138" s="217"/>
      <c r="L138" s="217"/>
      <c r="M138" s="217">
        <f t="shared" si="10"/>
        <v>40187.5</v>
      </c>
      <c r="N138" s="217">
        <f>RICavMilestoneVal+CavityStatus[[#This Row],[Incentive Earned]]+CavityStatus[[#This Row],[Recipe Modification (Mod 9)]]+L138</f>
        <v>40187.5</v>
      </c>
      <c r="O138" s="215"/>
    </row>
    <row r="139" spans="3:18" x14ac:dyDescent="0.25">
      <c r="C139" s="211"/>
      <c r="D139" s="212"/>
      <c r="E139" s="207" t="e">
        <f>VLOOKUP(CavityStatus[[#This Row],[Unit '#]],IncentiveTable[],2)</f>
        <v>#N/A</v>
      </c>
      <c r="F139" s="213"/>
      <c r="G139" s="216">
        <f>IF(CavityStatus[[#This Row],[Actual Ship Date]]&lt;&gt;0,($F139-$E139)/7,0)</f>
        <v>0</v>
      </c>
      <c r="H139" s="214"/>
      <c r="I139" s="214">
        <f t="shared" si="9"/>
        <v>0</v>
      </c>
      <c r="J139" s="215"/>
      <c r="K139" s="217"/>
      <c r="L139" s="217"/>
      <c r="M139" s="217">
        <f t="shared" si="10"/>
        <v>40187.5</v>
      </c>
      <c r="N139" s="217">
        <f>RICavMilestoneVal+CavityStatus[[#This Row],[Incentive Earned]]+CavityStatus[[#This Row],[Recipe Modification (Mod 9)]]+L139</f>
        <v>40187.5</v>
      </c>
      <c r="O139" s="215"/>
    </row>
    <row r="140" spans="3:18" x14ac:dyDescent="0.25">
      <c r="C140" s="211"/>
      <c r="D140" s="212"/>
      <c r="E140" s="207" t="e">
        <f>VLOOKUP(CavityStatus[[#This Row],[Unit '#]],IncentiveTable[],2)</f>
        <v>#N/A</v>
      </c>
      <c r="F140" s="213"/>
      <c r="G140" s="216">
        <f>IF(CavityStatus[[#This Row],[Actual Ship Date]]&lt;&gt;0,($F140-$E140)/7,0)</f>
        <v>0</v>
      </c>
      <c r="H140" s="214"/>
      <c r="I140" s="214">
        <f t="shared" si="9"/>
        <v>0</v>
      </c>
      <c r="J140" s="215"/>
      <c r="K140" s="217"/>
      <c r="L140" s="217"/>
      <c r="M140" s="217">
        <f t="shared" si="10"/>
        <v>40187.5</v>
      </c>
      <c r="N140" s="217">
        <f>RICavMilestoneVal+CavityStatus[[#This Row],[Incentive Earned]]+CavityStatus[[#This Row],[Recipe Modification (Mod 9)]]+L140</f>
        <v>40187.5</v>
      </c>
      <c r="O140" s="215"/>
    </row>
    <row r="141" spans="3:18" x14ac:dyDescent="0.25">
      <c r="C141" s="211"/>
      <c r="D141" s="212"/>
      <c r="E141" s="207" t="e">
        <f>VLOOKUP(CavityStatus[[#This Row],[Unit '#]],IncentiveTable[],2)</f>
        <v>#N/A</v>
      </c>
      <c r="F141" s="213"/>
      <c r="G141" s="216">
        <f>IF(CavityStatus[[#This Row],[Actual Ship Date]]&lt;&gt;0,($F141-$E141)/7,0)</f>
        <v>0</v>
      </c>
      <c r="H141" s="214"/>
      <c r="I141" s="214">
        <f t="shared" si="9"/>
        <v>0</v>
      </c>
      <c r="J141" s="215"/>
      <c r="K141" s="217"/>
      <c r="L141" s="217"/>
      <c r="M141" s="217">
        <f t="shared" si="10"/>
        <v>40187.5</v>
      </c>
      <c r="N141" s="217">
        <f>RICavMilestoneVal+CavityStatus[[#This Row],[Incentive Earned]]+CavityStatus[[#This Row],[Recipe Modification (Mod 9)]]+L141</f>
        <v>40187.5</v>
      </c>
      <c r="O141" s="215"/>
    </row>
    <row r="142" spans="3:18" x14ac:dyDescent="0.25">
      <c r="C142" s="211"/>
      <c r="D142" s="212"/>
      <c r="E142" s="207" t="e">
        <f>VLOOKUP(CavityStatus[[#This Row],[Unit '#]],IncentiveTable[],2)</f>
        <v>#N/A</v>
      </c>
      <c r="F142" s="213"/>
      <c r="G142" s="216">
        <f>IF(CavityStatus[[#This Row],[Actual Ship Date]]&lt;&gt;0,($F142-$E142)/7,0)</f>
        <v>0</v>
      </c>
      <c r="H142" s="214"/>
      <c r="I142" s="214">
        <f t="shared" si="9"/>
        <v>0</v>
      </c>
      <c r="J142" s="215"/>
      <c r="K142" s="217"/>
      <c r="L142" s="217"/>
      <c r="M142" s="217">
        <f t="shared" si="10"/>
        <v>40187.5</v>
      </c>
      <c r="N142" s="217">
        <f>RICavMilestoneVal+CavityStatus[[#This Row],[Incentive Earned]]+CavityStatus[[#This Row],[Recipe Modification (Mod 9)]]+L142</f>
        <v>40187.5</v>
      </c>
      <c r="O142" s="215"/>
    </row>
    <row r="143" spans="3:18" x14ac:dyDescent="0.25">
      <c r="C143" s="211"/>
      <c r="D143" s="212"/>
      <c r="E143" s="207" t="e">
        <f>VLOOKUP(CavityStatus[[#This Row],[Unit '#]],IncentiveTable[],2)</f>
        <v>#N/A</v>
      </c>
      <c r="F143" s="213"/>
      <c r="G143" s="216">
        <f>IF(CavityStatus[[#This Row],[Actual Ship Date]]&lt;&gt;0,($F143-$E143)/7,0)</f>
        <v>0</v>
      </c>
      <c r="H143" s="214"/>
      <c r="I143" s="214">
        <f t="shared" si="9"/>
        <v>0</v>
      </c>
      <c r="J143" s="215"/>
      <c r="K143" s="217"/>
      <c r="L143" s="217"/>
      <c r="M143" s="217">
        <f t="shared" si="10"/>
        <v>40187.5</v>
      </c>
      <c r="N143" s="217">
        <f>RICavMilestoneVal+CavityStatus[[#This Row],[Incentive Earned]]+CavityStatus[[#This Row],[Recipe Modification (Mod 9)]]+L143</f>
        <v>40187.5</v>
      </c>
      <c r="O143" s="215"/>
    </row>
    <row r="144" spans="3:18" x14ac:dyDescent="0.25">
      <c r="C144" s="211"/>
      <c r="D144" s="212"/>
      <c r="E144" s="207" t="e">
        <f>VLOOKUP(CavityStatus[[#This Row],[Unit '#]],IncentiveTable[],2)</f>
        <v>#N/A</v>
      </c>
      <c r="F144" s="213"/>
      <c r="G144" s="216">
        <f>IF(CavityStatus[[#This Row],[Actual Ship Date]]&lt;&gt;0,($F144-$E144)/7,0)</f>
        <v>0</v>
      </c>
      <c r="H144" s="214"/>
      <c r="I144" s="214">
        <f t="shared" si="9"/>
        <v>0</v>
      </c>
      <c r="J144" s="215"/>
      <c r="K144" s="217"/>
      <c r="L144" s="217"/>
      <c r="M144" s="217">
        <f t="shared" si="10"/>
        <v>40187.5</v>
      </c>
      <c r="N144" s="217">
        <f>RICavMilestoneVal+CavityStatus[[#This Row],[Incentive Earned]]+CavityStatus[[#This Row],[Recipe Modification (Mod 9)]]+L144</f>
        <v>40187.5</v>
      </c>
      <c r="O144" s="215"/>
    </row>
    <row r="145" spans="3:15" x14ac:dyDescent="0.25">
      <c r="C145" s="211"/>
      <c r="D145" s="212"/>
      <c r="E145" s="207" t="e">
        <f>VLOOKUP(CavityStatus[[#This Row],[Unit '#]],IncentiveTable[],2)</f>
        <v>#N/A</v>
      </c>
      <c r="F145" s="213"/>
      <c r="G145" s="216">
        <f>IF(CavityStatus[[#This Row],[Actual Ship Date]]&lt;&gt;0,($F145-$E145)/7,0)</f>
        <v>0</v>
      </c>
      <c r="H145" s="214"/>
      <c r="I145" s="214">
        <f t="shared" si="9"/>
        <v>0</v>
      </c>
      <c r="J145" s="215"/>
      <c r="K145" s="217"/>
      <c r="L145" s="217"/>
      <c r="M145" s="217">
        <f t="shared" si="10"/>
        <v>40187.5</v>
      </c>
      <c r="N145" s="217">
        <f>RICavMilestoneVal+CavityStatus[[#This Row],[Incentive Earned]]+CavityStatus[[#This Row],[Recipe Modification (Mod 9)]]+L145</f>
        <v>40187.5</v>
      </c>
      <c r="O145" s="215"/>
    </row>
    <row r="146" spans="3:15" x14ac:dyDescent="0.25">
      <c r="C146" s="211"/>
      <c r="D146" s="212"/>
      <c r="E146" s="207" t="e">
        <f>VLOOKUP(CavityStatus[[#This Row],[Unit '#]],IncentiveTable[],2)</f>
        <v>#N/A</v>
      </c>
      <c r="F146" s="213"/>
      <c r="G146" s="216">
        <f>IF(CavityStatus[[#This Row],[Actual Ship Date]]&lt;&gt;0,($F146-$E146)/7,0)</f>
        <v>0</v>
      </c>
      <c r="H146" s="214"/>
      <c r="I146" s="214">
        <f t="shared" si="9"/>
        <v>0</v>
      </c>
      <c r="J146" s="215"/>
      <c r="K146" s="217"/>
      <c r="L146" s="217"/>
      <c r="M146" s="217">
        <f t="shared" si="10"/>
        <v>40187.5</v>
      </c>
      <c r="N146" s="217">
        <f>RICavMilestoneVal+CavityStatus[[#This Row],[Incentive Earned]]+CavityStatus[[#This Row],[Recipe Modification (Mod 9)]]+L146</f>
        <v>40187.5</v>
      </c>
      <c r="O146" s="215"/>
    </row>
    <row r="147" spans="3:15" x14ac:dyDescent="0.25">
      <c r="C147" s="211"/>
      <c r="D147" s="212"/>
      <c r="E147" s="207" t="e">
        <f>VLOOKUP(CavityStatus[[#This Row],[Unit '#]],IncentiveTable[],2)</f>
        <v>#N/A</v>
      </c>
      <c r="F147" s="213"/>
      <c r="G147" s="216">
        <f>IF(CavityStatus[[#This Row],[Actual Ship Date]]&lt;&gt;0,($F147-$E147)/7,0)</f>
        <v>0</v>
      </c>
      <c r="H147" s="214"/>
      <c r="I147" s="214">
        <f t="shared" si="9"/>
        <v>0</v>
      </c>
      <c r="J147" s="215"/>
      <c r="K147" s="217"/>
      <c r="L147" s="217"/>
      <c r="M147" s="217">
        <f t="shared" si="10"/>
        <v>40187.5</v>
      </c>
      <c r="N147" s="217">
        <f>RICavMilestoneVal+CavityStatus[[#This Row],[Incentive Earned]]+CavityStatus[[#This Row],[Recipe Modification (Mod 9)]]+L147</f>
        <v>40187.5</v>
      </c>
      <c r="O147" s="215"/>
    </row>
    <row r="148" spans="3:15" x14ac:dyDescent="0.25">
      <c r="C148" s="211"/>
      <c r="D148" s="212"/>
      <c r="E148" s="207" t="e">
        <f>VLOOKUP(CavityStatus[[#This Row],[Unit '#]],IncentiveTable[],2)</f>
        <v>#N/A</v>
      </c>
      <c r="F148" s="213"/>
      <c r="G148" s="216">
        <f>IF(CavityStatus[[#This Row],[Actual Ship Date]]&lt;&gt;0,($F148-$E148)/7,0)</f>
        <v>0</v>
      </c>
      <c r="H148" s="214"/>
      <c r="I148" s="214">
        <f t="shared" si="9"/>
        <v>0</v>
      </c>
      <c r="J148" s="215"/>
      <c r="K148" s="217"/>
      <c r="L148" s="217"/>
      <c r="M148" s="217">
        <f t="shared" si="10"/>
        <v>40187.5</v>
      </c>
      <c r="N148" s="217">
        <f>RICavMilestoneVal+CavityStatus[[#This Row],[Incentive Earned]]+CavityStatus[[#This Row],[Recipe Modification (Mod 9)]]+L148</f>
        <v>40187.5</v>
      </c>
      <c r="O148" s="215"/>
    </row>
    <row r="149" spans="3:15" x14ac:dyDescent="0.25">
      <c r="C149" s="211"/>
      <c r="D149" s="212"/>
      <c r="E149" s="207" t="e">
        <f>VLOOKUP(CavityStatus[[#This Row],[Unit '#]],IncentiveTable[],2)</f>
        <v>#N/A</v>
      </c>
      <c r="F149" s="213"/>
      <c r="G149" s="216">
        <f>IF(CavityStatus[[#This Row],[Actual Ship Date]]&lt;&gt;0,($F149-$E149)/7,0)</f>
        <v>0</v>
      </c>
      <c r="H149" s="214"/>
      <c r="I149" s="214">
        <f t="shared" si="9"/>
        <v>0</v>
      </c>
      <c r="J149" s="215"/>
      <c r="K149" s="217"/>
      <c r="L149" s="217"/>
      <c r="M149" s="217">
        <f t="shared" si="10"/>
        <v>40187.5</v>
      </c>
      <c r="N149" s="217">
        <f>RICavMilestoneVal+CavityStatus[[#This Row],[Incentive Earned]]+CavityStatus[[#This Row],[Recipe Modification (Mod 9)]]+L149</f>
        <v>40187.5</v>
      </c>
      <c r="O149" s="215"/>
    </row>
    <row r="150" spans="3:15" x14ac:dyDescent="0.25">
      <c r="C150" s="221"/>
      <c r="D150" s="222"/>
      <c r="E150" s="207" t="e">
        <f>VLOOKUP(CavityStatus[[#This Row],[Unit '#]],IncentiveTable[],2)</f>
        <v>#N/A</v>
      </c>
      <c r="F150" s="223"/>
      <c r="G150" s="216">
        <f>IF(CavityStatus[[#This Row],[Actual Ship Date]]&lt;&gt;0,($F150-$E150)/7,0)</f>
        <v>0</v>
      </c>
      <c r="H150" s="224"/>
      <c r="I150" s="224">
        <f t="shared" si="9"/>
        <v>0</v>
      </c>
      <c r="J150" s="225"/>
      <c r="K150" s="226"/>
      <c r="L150" s="226"/>
      <c r="M150" s="226">
        <f t="shared" si="10"/>
        <v>40187.5</v>
      </c>
      <c r="N150" s="226">
        <f>RICavMilestoneVal+CavityStatus[[#This Row],[Incentive Earned]]+CavityStatus[[#This Row],[Recipe Modification (Mod 9)]]+L150</f>
        <v>40187.5</v>
      </c>
      <c r="O150" s="215"/>
    </row>
    <row r="151" spans="3:15" x14ac:dyDescent="0.25">
      <c r="C151" s="256" t="s">
        <v>108</v>
      </c>
      <c r="D151" s="256">
        <f>SUBTOTAL(103,CavityStatus[Serial '#])</f>
        <v>133</v>
      </c>
      <c r="E151" s="256"/>
      <c r="F151" s="256"/>
      <c r="G151" s="256"/>
      <c r="H151" s="257" t="e">
        <f>SUBTOTAL(109,CavityStatus[Incentive Available])</f>
        <v>#N/A</v>
      </c>
      <c r="I151" s="257" t="e">
        <f>SUBTOTAL(109,CavityStatus[Incentive Earned])</f>
        <v>#N/A</v>
      </c>
      <c r="J151" s="258"/>
      <c r="K151" s="259">
        <f>SUBTOTAL(109,CavityStatus[Recipe Modification (Mod 9)])</f>
        <v>484000</v>
      </c>
      <c r="L151" s="257">
        <f>SUBTOTAL(109,CavityStatus[Caps            
 (Mod 10)])</f>
        <v>57310</v>
      </c>
      <c r="M151" s="259">
        <f>SUBTOTAL(109,CavityStatus[Milestone])</f>
        <v>5987937.5</v>
      </c>
      <c r="N151" s="278" t="e">
        <f>SUBTOTAL(109,CavityStatus[Total])</f>
        <v>#N/A</v>
      </c>
      <c r="O151" s="259"/>
    </row>
  </sheetData>
  <dataValidations count="1">
    <dataValidation allowBlank="1" sqref="K2:N150 G2:G53 H2:I134"/>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H135:I150 G54:G150 F74:F150 J2:J150 F2:F59</xm:sqref>
        </x14:dataValidation>
        <x14:dataValidation type="list" allowBlank="1">
          <x14:formula1>
            <xm:f>List!$O$3:$O$4</xm:f>
          </x14:formula1>
          <xm:sqref>F60:F73 E3:E150</xm:sqref>
        </x14:dataValidation>
        <x14:dataValidation type="list" allowBlank="1">
          <x14:formula1>
            <xm:f>List!$W$2:$W$24</xm:f>
          </x14:formula1>
          <xm:sqref>O2:O150</xm:sqref>
        </x14:dataValidation>
        <x14:dataValidation type="list" allowBlank="1">
          <x14:formula1>
            <xm:f>List!$S$3:$S$10</xm:f>
          </x14:formula1>
          <xm:sqref>K152:O1048576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topLeftCell="A109" workbookViewId="0">
      <selection activeCell="M125" sqref="M125"/>
    </sheetView>
  </sheetViews>
  <sheetFormatPr defaultRowHeight="13.2" x14ac:dyDescent="0.25"/>
  <cols>
    <col min="2" max="2" width="15.21875" customWidth="1"/>
    <col min="3" max="3" width="14.5546875" customWidth="1"/>
  </cols>
  <sheetData>
    <row r="1" spans="1:3" x14ac:dyDescent="0.25">
      <c r="A1" s="51" t="s">
        <v>240</v>
      </c>
      <c r="B1" s="51" t="s">
        <v>241</v>
      </c>
      <c r="C1" s="51" t="s">
        <v>242</v>
      </c>
    </row>
    <row r="2" spans="1:3" x14ac:dyDescent="0.25">
      <c r="A2">
        <v>1</v>
      </c>
      <c r="B2" s="250">
        <v>42552</v>
      </c>
      <c r="C2" s="203">
        <v>20196</v>
      </c>
    </row>
    <row r="3" spans="1:3" x14ac:dyDescent="0.25">
      <c r="A3">
        <v>2</v>
      </c>
      <c r="B3" s="250">
        <v>42552</v>
      </c>
      <c r="C3" s="203">
        <v>20196</v>
      </c>
    </row>
    <row r="4" spans="1:3" x14ac:dyDescent="0.25">
      <c r="A4">
        <v>3</v>
      </c>
      <c r="B4" s="250">
        <v>42552</v>
      </c>
      <c r="C4" s="203">
        <v>20196</v>
      </c>
    </row>
    <row r="5" spans="1:3" x14ac:dyDescent="0.25">
      <c r="A5">
        <v>4</v>
      </c>
      <c r="B5" s="250">
        <v>42552</v>
      </c>
      <c r="C5" s="203">
        <v>20196</v>
      </c>
    </row>
    <row r="6" spans="1:3" x14ac:dyDescent="0.25">
      <c r="A6">
        <v>5</v>
      </c>
      <c r="B6" s="250">
        <v>42552</v>
      </c>
      <c r="C6" s="203">
        <v>20196</v>
      </c>
    </row>
    <row r="7" spans="1:3" x14ac:dyDescent="0.25">
      <c r="A7">
        <v>6</v>
      </c>
      <c r="B7" s="250">
        <v>42552</v>
      </c>
      <c r="C7" s="203">
        <v>20196</v>
      </c>
    </row>
    <row r="8" spans="1:3" x14ac:dyDescent="0.25">
      <c r="A8">
        <v>7</v>
      </c>
      <c r="B8" s="250">
        <v>42552</v>
      </c>
      <c r="C8" s="203">
        <v>20196</v>
      </c>
    </row>
    <row r="9" spans="1:3" x14ac:dyDescent="0.25">
      <c r="A9">
        <v>8</v>
      </c>
      <c r="B9" s="250">
        <v>42552</v>
      </c>
      <c r="C9" s="203">
        <v>20196</v>
      </c>
    </row>
    <row r="10" spans="1:3" x14ac:dyDescent="0.25">
      <c r="A10">
        <v>9</v>
      </c>
      <c r="B10" s="250">
        <v>42583</v>
      </c>
      <c r="C10" s="203">
        <v>20196</v>
      </c>
    </row>
    <row r="11" spans="1:3" x14ac:dyDescent="0.25">
      <c r="A11">
        <v>10</v>
      </c>
      <c r="B11" s="250">
        <v>42583</v>
      </c>
      <c r="C11" s="203">
        <v>20196</v>
      </c>
    </row>
    <row r="12" spans="1:3" x14ac:dyDescent="0.25">
      <c r="A12">
        <v>11</v>
      </c>
      <c r="B12" s="250">
        <v>42583</v>
      </c>
      <c r="C12" s="203">
        <v>20196</v>
      </c>
    </row>
    <row r="13" spans="1:3" x14ac:dyDescent="0.25">
      <c r="A13">
        <v>12</v>
      </c>
      <c r="B13" s="250">
        <v>42583</v>
      </c>
      <c r="C13" s="203">
        <v>20196</v>
      </c>
    </row>
    <row r="14" spans="1:3" x14ac:dyDescent="0.25">
      <c r="A14">
        <v>13</v>
      </c>
      <c r="B14" s="250">
        <v>42583</v>
      </c>
      <c r="C14" s="203">
        <v>20196</v>
      </c>
    </row>
    <row r="15" spans="1:3" x14ac:dyDescent="0.25">
      <c r="A15">
        <v>14</v>
      </c>
      <c r="B15" s="250">
        <v>42583</v>
      </c>
      <c r="C15" s="203">
        <v>20196</v>
      </c>
    </row>
    <row r="16" spans="1:3" x14ac:dyDescent="0.25">
      <c r="A16">
        <v>15</v>
      </c>
      <c r="B16" s="250">
        <v>42583</v>
      </c>
      <c r="C16" s="203">
        <v>20196</v>
      </c>
    </row>
    <row r="17" spans="1:3" x14ac:dyDescent="0.25">
      <c r="A17">
        <v>16</v>
      </c>
      <c r="B17" s="250">
        <v>42583</v>
      </c>
      <c r="C17" s="203">
        <v>20196</v>
      </c>
    </row>
    <row r="18" spans="1:3" x14ac:dyDescent="0.25">
      <c r="A18">
        <v>17</v>
      </c>
      <c r="B18" s="250">
        <v>42676</v>
      </c>
      <c r="C18" s="202">
        <v>5750</v>
      </c>
    </row>
    <row r="19" spans="1:3" x14ac:dyDescent="0.25">
      <c r="A19">
        <v>18</v>
      </c>
      <c r="B19" s="250">
        <v>42676</v>
      </c>
      <c r="C19" s="202">
        <v>5750</v>
      </c>
    </row>
    <row r="20" spans="1:3" x14ac:dyDescent="0.25">
      <c r="A20">
        <v>19</v>
      </c>
      <c r="B20" s="250">
        <v>42676</v>
      </c>
      <c r="C20" s="202">
        <v>5750</v>
      </c>
    </row>
    <row r="21" spans="1:3" x14ac:dyDescent="0.25">
      <c r="A21">
        <v>20</v>
      </c>
      <c r="B21" s="250">
        <v>42676</v>
      </c>
      <c r="C21" s="202">
        <v>5750</v>
      </c>
    </row>
    <row r="22" spans="1:3" x14ac:dyDescent="0.25">
      <c r="A22">
        <v>21</v>
      </c>
      <c r="B22" s="250">
        <v>42676</v>
      </c>
      <c r="C22" s="202">
        <v>5750</v>
      </c>
    </row>
    <row r="23" spans="1:3" x14ac:dyDescent="0.25">
      <c r="A23">
        <v>22</v>
      </c>
      <c r="B23" s="250">
        <v>42676</v>
      </c>
      <c r="C23" s="202">
        <v>5750</v>
      </c>
    </row>
    <row r="24" spans="1:3" x14ac:dyDescent="0.25">
      <c r="A24">
        <v>23</v>
      </c>
      <c r="B24" s="250">
        <v>42676</v>
      </c>
      <c r="C24" s="202">
        <v>5750</v>
      </c>
    </row>
    <row r="25" spans="1:3" x14ac:dyDescent="0.25">
      <c r="A25">
        <v>24</v>
      </c>
      <c r="B25" s="250">
        <v>42676</v>
      </c>
      <c r="C25" s="202">
        <v>5750</v>
      </c>
    </row>
    <row r="26" spans="1:3" x14ac:dyDescent="0.25">
      <c r="A26">
        <v>25</v>
      </c>
      <c r="B26" s="250">
        <v>42676</v>
      </c>
      <c r="C26" s="202">
        <v>5750</v>
      </c>
    </row>
    <row r="27" spans="1:3" x14ac:dyDescent="0.25">
      <c r="A27">
        <v>26</v>
      </c>
      <c r="B27" s="250">
        <v>42676</v>
      </c>
      <c r="C27" s="202">
        <v>5750</v>
      </c>
    </row>
    <row r="28" spans="1:3" x14ac:dyDescent="0.25">
      <c r="A28">
        <v>27</v>
      </c>
      <c r="B28" s="250">
        <v>42676</v>
      </c>
      <c r="C28" s="202">
        <v>5750</v>
      </c>
    </row>
    <row r="29" spans="1:3" x14ac:dyDescent="0.25">
      <c r="A29">
        <v>28</v>
      </c>
      <c r="B29" s="250">
        <v>42676</v>
      </c>
      <c r="C29" s="202">
        <v>5750</v>
      </c>
    </row>
    <row r="30" spans="1:3" x14ac:dyDescent="0.25">
      <c r="A30">
        <v>29</v>
      </c>
      <c r="B30" s="250">
        <v>42704</v>
      </c>
      <c r="C30" s="202">
        <v>5750</v>
      </c>
    </row>
    <row r="31" spans="1:3" x14ac:dyDescent="0.25">
      <c r="A31">
        <v>30</v>
      </c>
      <c r="B31" s="250">
        <v>42704</v>
      </c>
      <c r="C31" s="202">
        <v>5750</v>
      </c>
    </row>
    <row r="32" spans="1:3" x14ac:dyDescent="0.25">
      <c r="A32">
        <v>31</v>
      </c>
      <c r="B32" s="250">
        <v>42704</v>
      </c>
      <c r="C32" s="202">
        <v>5750</v>
      </c>
    </row>
    <row r="33" spans="1:3" x14ac:dyDescent="0.25">
      <c r="A33">
        <v>32</v>
      </c>
      <c r="B33" s="250">
        <v>42704</v>
      </c>
      <c r="C33" s="202">
        <v>5750</v>
      </c>
    </row>
    <row r="34" spans="1:3" x14ac:dyDescent="0.25">
      <c r="A34">
        <v>33</v>
      </c>
      <c r="B34" s="250">
        <v>42704</v>
      </c>
      <c r="C34" s="202">
        <v>5750</v>
      </c>
    </row>
    <row r="35" spans="1:3" x14ac:dyDescent="0.25">
      <c r="A35">
        <v>34</v>
      </c>
      <c r="B35" s="250">
        <v>42704</v>
      </c>
      <c r="C35" s="202">
        <v>5750</v>
      </c>
    </row>
    <row r="36" spans="1:3" x14ac:dyDescent="0.25">
      <c r="A36">
        <v>35</v>
      </c>
      <c r="B36" s="250">
        <v>42704</v>
      </c>
      <c r="C36" s="202">
        <v>5750</v>
      </c>
    </row>
    <row r="37" spans="1:3" x14ac:dyDescent="0.25">
      <c r="A37">
        <v>36</v>
      </c>
      <c r="B37" s="250">
        <v>42704</v>
      </c>
      <c r="C37" s="202">
        <v>5750</v>
      </c>
    </row>
    <row r="38" spans="1:3" x14ac:dyDescent="0.25">
      <c r="A38">
        <v>37</v>
      </c>
      <c r="B38" s="250">
        <v>42704</v>
      </c>
      <c r="C38" s="202">
        <v>5750</v>
      </c>
    </row>
    <row r="39" spans="1:3" x14ac:dyDescent="0.25">
      <c r="A39">
        <v>38</v>
      </c>
      <c r="B39" s="250">
        <v>42704</v>
      </c>
      <c r="C39" s="202">
        <v>5750</v>
      </c>
    </row>
    <row r="40" spans="1:3" x14ac:dyDescent="0.25">
      <c r="A40">
        <v>39</v>
      </c>
      <c r="B40" s="250">
        <v>42704</v>
      </c>
      <c r="C40" s="202">
        <v>5750</v>
      </c>
    </row>
    <row r="41" spans="1:3" x14ac:dyDescent="0.25">
      <c r="A41">
        <v>40</v>
      </c>
      <c r="B41" s="250">
        <v>42704</v>
      </c>
      <c r="C41" s="202">
        <v>5750</v>
      </c>
    </row>
    <row r="42" spans="1:3" x14ac:dyDescent="0.25">
      <c r="A42">
        <v>41</v>
      </c>
      <c r="B42" s="250">
        <v>42732</v>
      </c>
      <c r="C42" s="202">
        <v>2270</v>
      </c>
    </row>
    <row r="43" spans="1:3" x14ac:dyDescent="0.25">
      <c r="A43">
        <v>42</v>
      </c>
      <c r="B43" s="250">
        <v>42732</v>
      </c>
      <c r="C43" s="202">
        <v>2270</v>
      </c>
    </row>
    <row r="44" spans="1:3" x14ac:dyDescent="0.25">
      <c r="A44">
        <v>43</v>
      </c>
      <c r="B44" s="250">
        <v>42732</v>
      </c>
      <c r="C44" s="202">
        <v>2270</v>
      </c>
    </row>
    <row r="45" spans="1:3" x14ac:dyDescent="0.25">
      <c r="A45">
        <v>44</v>
      </c>
      <c r="B45" s="250">
        <v>42732</v>
      </c>
      <c r="C45" s="202">
        <v>2270</v>
      </c>
    </row>
    <row r="46" spans="1:3" x14ac:dyDescent="0.25">
      <c r="A46">
        <v>45</v>
      </c>
      <c r="B46" s="250">
        <v>42732</v>
      </c>
      <c r="C46" s="202">
        <v>2270</v>
      </c>
    </row>
    <row r="47" spans="1:3" x14ac:dyDescent="0.25">
      <c r="A47">
        <v>46</v>
      </c>
      <c r="B47" s="250">
        <v>42732</v>
      </c>
      <c r="C47" s="202">
        <v>2270</v>
      </c>
    </row>
    <row r="48" spans="1:3" x14ac:dyDescent="0.25">
      <c r="A48">
        <v>47</v>
      </c>
      <c r="B48" s="250">
        <v>42732</v>
      </c>
      <c r="C48" s="202">
        <v>2270</v>
      </c>
    </row>
    <row r="49" spans="1:3" x14ac:dyDescent="0.25">
      <c r="A49">
        <v>48</v>
      </c>
      <c r="B49" s="250">
        <v>42732</v>
      </c>
      <c r="C49" s="202">
        <v>2270</v>
      </c>
    </row>
    <row r="50" spans="1:3" x14ac:dyDescent="0.25">
      <c r="A50">
        <v>49</v>
      </c>
      <c r="B50" s="250">
        <v>42732</v>
      </c>
      <c r="C50" s="202">
        <v>2270</v>
      </c>
    </row>
    <row r="51" spans="1:3" x14ac:dyDescent="0.25">
      <c r="A51">
        <v>50</v>
      </c>
      <c r="B51" s="250">
        <v>42732</v>
      </c>
      <c r="C51" s="202">
        <v>2270</v>
      </c>
    </row>
    <row r="52" spans="1:3" x14ac:dyDescent="0.25">
      <c r="A52">
        <v>51</v>
      </c>
      <c r="B52" s="250">
        <v>42732</v>
      </c>
      <c r="C52" s="202">
        <v>2270</v>
      </c>
    </row>
    <row r="53" spans="1:3" x14ac:dyDescent="0.25">
      <c r="A53">
        <v>52</v>
      </c>
      <c r="B53" s="250">
        <v>42732</v>
      </c>
      <c r="C53" s="202">
        <v>2270</v>
      </c>
    </row>
    <row r="54" spans="1:3" x14ac:dyDescent="0.25">
      <c r="A54">
        <v>53</v>
      </c>
      <c r="B54" s="250">
        <v>42760</v>
      </c>
      <c r="C54" s="202">
        <v>1000</v>
      </c>
    </row>
    <row r="55" spans="1:3" x14ac:dyDescent="0.25">
      <c r="A55">
        <v>54</v>
      </c>
      <c r="B55" s="250">
        <v>42760</v>
      </c>
      <c r="C55" s="202">
        <v>1000</v>
      </c>
    </row>
    <row r="56" spans="1:3" x14ac:dyDescent="0.25">
      <c r="A56">
        <v>55</v>
      </c>
      <c r="B56" s="250">
        <v>42760</v>
      </c>
      <c r="C56" s="202">
        <v>1000</v>
      </c>
    </row>
    <row r="57" spans="1:3" x14ac:dyDescent="0.25">
      <c r="A57">
        <v>56</v>
      </c>
      <c r="B57" s="250">
        <v>42760</v>
      </c>
      <c r="C57" s="202">
        <v>1000</v>
      </c>
    </row>
    <row r="58" spans="1:3" x14ac:dyDescent="0.25">
      <c r="A58">
        <v>57</v>
      </c>
      <c r="B58" s="250">
        <v>42760</v>
      </c>
      <c r="C58" s="202">
        <v>1000</v>
      </c>
    </row>
    <row r="59" spans="1:3" x14ac:dyDescent="0.25">
      <c r="A59">
        <v>58</v>
      </c>
      <c r="B59" s="250">
        <v>42760</v>
      </c>
      <c r="C59" s="202">
        <v>1000</v>
      </c>
    </row>
    <row r="60" spans="1:3" x14ac:dyDescent="0.25">
      <c r="A60">
        <v>59</v>
      </c>
      <c r="B60" s="250">
        <v>42760</v>
      </c>
      <c r="C60" s="202">
        <v>1000</v>
      </c>
    </row>
    <row r="61" spans="1:3" x14ac:dyDescent="0.25">
      <c r="A61">
        <v>60</v>
      </c>
      <c r="B61" s="250">
        <v>42760</v>
      </c>
      <c r="C61" s="202">
        <v>1000</v>
      </c>
    </row>
    <row r="62" spans="1:3" x14ac:dyDescent="0.25">
      <c r="A62">
        <v>61</v>
      </c>
      <c r="B62" s="250">
        <v>42760</v>
      </c>
      <c r="C62" s="202">
        <v>1000</v>
      </c>
    </row>
    <row r="63" spans="1:3" x14ac:dyDescent="0.25">
      <c r="A63">
        <v>62</v>
      </c>
      <c r="B63" s="250">
        <v>42760</v>
      </c>
      <c r="C63" s="202">
        <v>1000</v>
      </c>
    </row>
    <row r="64" spans="1:3" x14ac:dyDescent="0.25">
      <c r="A64">
        <v>63</v>
      </c>
      <c r="B64" s="250">
        <v>42760</v>
      </c>
      <c r="C64" s="202">
        <v>1000</v>
      </c>
    </row>
    <row r="65" spans="1:3" x14ac:dyDescent="0.25">
      <c r="A65">
        <v>64</v>
      </c>
      <c r="B65" s="250">
        <v>42760</v>
      </c>
      <c r="C65" s="202">
        <v>1000</v>
      </c>
    </row>
    <row r="66" spans="1:3" x14ac:dyDescent="0.25">
      <c r="A66">
        <v>65</v>
      </c>
      <c r="B66" s="250">
        <v>42788</v>
      </c>
      <c r="C66" s="202">
        <v>1000</v>
      </c>
    </row>
    <row r="67" spans="1:3" x14ac:dyDescent="0.25">
      <c r="A67">
        <v>66</v>
      </c>
      <c r="B67" s="250">
        <v>42788</v>
      </c>
      <c r="C67" s="202">
        <v>1000</v>
      </c>
    </row>
    <row r="68" spans="1:3" x14ac:dyDescent="0.25">
      <c r="A68">
        <v>67</v>
      </c>
      <c r="B68" s="250">
        <v>42788</v>
      </c>
      <c r="C68" s="202">
        <v>1000</v>
      </c>
    </row>
    <row r="69" spans="1:3" x14ac:dyDescent="0.25">
      <c r="A69">
        <v>68</v>
      </c>
      <c r="B69" s="250">
        <v>42788</v>
      </c>
      <c r="C69" s="202">
        <v>1000</v>
      </c>
    </row>
    <row r="70" spans="1:3" x14ac:dyDescent="0.25">
      <c r="A70">
        <v>69</v>
      </c>
      <c r="B70" s="250">
        <v>42788</v>
      </c>
      <c r="C70" s="202">
        <v>1000</v>
      </c>
    </row>
    <row r="71" spans="1:3" x14ac:dyDescent="0.25">
      <c r="A71">
        <v>70</v>
      </c>
      <c r="B71" s="250">
        <v>42788</v>
      </c>
      <c r="C71" s="202">
        <v>1000</v>
      </c>
    </row>
    <row r="72" spans="1:3" x14ac:dyDescent="0.25">
      <c r="A72">
        <v>71</v>
      </c>
      <c r="B72" s="250">
        <v>42788</v>
      </c>
      <c r="C72" s="202">
        <v>1000</v>
      </c>
    </row>
    <row r="73" spans="1:3" x14ac:dyDescent="0.25">
      <c r="A73">
        <v>72</v>
      </c>
      <c r="B73" s="250">
        <v>42788</v>
      </c>
      <c r="C73" s="202">
        <v>1000</v>
      </c>
    </row>
    <row r="74" spans="1:3" x14ac:dyDescent="0.25">
      <c r="A74">
        <v>73</v>
      </c>
      <c r="B74" s="250">
        <v>42788</v>
      </c>
      <c r="C74" s="202">
        <v>1000</v>
      </c>
    </row>
    <row r="75" spans="1:3" x14ac:dyDescent="0.25">
      <c r="A75">
        <v>74</v>
      </c>
      <c r="B75" s="250">
        <v>42788</v>
      </c>
      <c r="C75" s="202">
        <v>1000</v>
      </c>
    </row>
    <row r="76" spans="1:3" x14ac:dyDescent="0.25">
      <c r="A76">
        <v>75</v>
      </c>
      <c r="B76" s="250">
        <v>42788</v>
      </c>
      <c r="C76" s="202">
        <v>1000</v>
      </c>
    </row>
    <row r="77" spans="1:3" x14ac:dyDescent="0.25">
      <c r="A77">
        <v>76</v>
      </c>
      <c r="B77" s="250">
        <v>42788</v>
      </c>
      <c r="C77" s="202">
        <v>1000</v>
      </c>
    </row>
    <row r="78" spans="1:3" x14ac:dyDescent="0.25">
      <c r="A78">
        <v>77</v>
      </c>
      <c r="B78" s="250">
        <v>42816</v>
      </c>
      <c r="C78" s="202">
        <v>1000</v>
      </c>
    </row>
    <row r="79" spans="1:3" x14ac:dyDescent="0.25">
      <c r="A79">
        <v>78</v>
      </c>
      <c r="B79" s="250">
        <v>42816</v>
      </c>
      <c r="C79" s="202">
        <v>1000</v>
      </c>
    </row>
    <row r="80" spans="1:3" x14ac:dyDescent="0.25">
      <c r="A80">
        <v>79</v>
      </c>
      <c r="B80" s="250">
        <v>42816</v>
      </c>
      <c r="C80" s="202">
        <v>1000</v>
      </c>
    </row>
    <row r="81" spans="1:3" x14ac:dyDescent="0.25">
      <c r="A81">
        <v>80</v>
      </c>
      <c r="B81" s="250">
        <v>42816</v>
      </c>
      <c r="C81" s="202">
        <v>1000</v>
      </c>
    </row>
    <row r="82" spans="1:3" x14ac:dyDescent="0.25">
      <c r="A82">
        <v>81</v>
      </c>
      <c r="B82" s="250">
        <v>42816</v>
      </c>
      <c r="C82" s="202">
        <v>1000</v>
      </c>
    </row>
    <row r="83" spans="1:3" x14ac:dyDescent="0.25">
      <c r="A83">
        <v>82</v>
      </c>
      <c r="B83" s="250">
        <v>42816</v>
      </c>
      <c r="C83" s="202">
        <v>1000</v>
      </c>
    </row>
    <row r="84" spans="1:3" x14ac:dyDescent="0.25">
      <c r="A84">
        <v>83</v>
      </c>
      <c r="B84" s="250">
        <v>42816</v>
      </c>
      <c r="C84" s="202">
        <v>1000</v>
      </c>
    </row>
    <row r="85" spans="1:3" x14ac:dyDescent="0.25">
      <c r="A85">
        <v>84</v>
      </c>
      <c r="B85" s="250">
        <v>42816</v>
      </c>
      <c r="C85" s="202">
        <v>1000</v>
      </c>
    </row>
    <row r="86" spans="1:3" x14ac:dyDescent="0.25">
      <c r="A86">
        <v>85</v>
      </c>
      <c r="B86" s="250">
        <v>42816</v>
      </c>
      <c r="C86" s="202">
        <v>1000</v>
      </c>
    </row>
    <row r="87" spans="1:3" x14ac:dyDescent="0.25">
      <c r="A87">
        <v>86</v>
      </c>
      <c r="B87" s="250">
        <v>42816</v>
      </c>
      <c r="C87" s="202">
        <v>1000</v>
      </c>
    </row>
    <row r="88" spans="1:3" x14ac:dyDescent="0.25">
      <c r="A88">
        <v>87</v>
      </c>
      <c r="B88" s="250">
        <v>42816</v>
      </c>
      <c r="C88" s="202">
        <v>1000</v>
      </c>
    </row>
    <row r="89" spans="1:3" x14ac:dyDescent="0.25">
      <c r="A89">
        <v>88</v>
      </c>
      <c r="B89" s="250">
        <v>42816</v>
      </c>
      <c r="C89" s="202">
        <v>1000</v>
      </c>
    </row>
    <row r="90" spans="1:3" x14ac:dyDescent="0.25">
      <c r="A90">
        <v>89</v>
      </c>
      <c r="B90" s="250">
        <v>42844</v>
      </c>
      <c r="C90" s="202">
        <v>1000</v>
      </c>
    </row>
    <row r="91" spans="1:3" x14ac:dyDescent="0.25">
      <c r="A91">
        <v>90</v>
      </c>
      <c r="B91" s="250">
        <v>42844</v>
      </c>
      <c r="C91" s="202">
        <v>1000</v>
      </c>
    </row>
    <row r="92" spans="1:3" x14ac:dyDescent="0.25">
      <c r="A92">
        <v>91</v>
      </c>
      <c r="B92" s="250">
        <v>42844</v>
      </c>
      <c r="C92" s="202">
        <v>1000</v>
      </c>
    </row>
    <row r="93" spans="1:3" x14ac:dyDescent="0.25">
      <c r="A93">
        <v>92</v>
      </c>
      <c r="B93" s="250">
        <v>42844</v>
      </c>
      <c r="C93" s="202">
        <v>1000</v>
      </c>
    </row>
    <row r="94" spans="1:3" x14ac:dyDescent="0.25">
      <c r="A94">
        <v>93</v>
      </c>
      <c r="B94" s="250">
        <v>42844</v>
      </c>
      <c r="C94" s="202">
        <v>1000</v>
      </c>
    </row>
    <row r="95" spans="1:3" x14ac:dyDescent="0.25">
      <c r="A95">
        <v>94</v>
      </c>
      <c r="B95" s="250">
        <v>42844</v>
      </c>
      <c r="C95" s="202">
        <v>1000</v>
      </c>
    </row>
    <row r="96" spans="1:3" x14ac:dyDescent="0.25">
      <c r="A96">
        <v>95</v>
      </c>
      <c r="B96" s="250">
        <v>42844</v>
      </c>
      <c r="C96" s="202">
        <v>1000</v>
      </c>
    </row>
    <row r="97" spans="1:3" x14ac:dyDescent="0.25">
      <c r="A97">
        <v>96</v>
      </c>
      <c r="B97" s="250">
        <v>42844</v>
      </c>
      <c r="C97" s="202">
        <v>1000</v>
      </c>
    </row>
    <row r="98" spans="1:3" x14ac:dyDescent="0.25">
      <c r="A98">
        <v>97</v>
      </c>
      <c r="B98" s="250">
        <v>42844</v>
      </c>
      <c r="C98" s="202">
        <v>1000</v>
      </c>
    </row>
    <row r="99" spans="1:3" x14ac:dyDescent="0.25">
      <c r="A99">
        <v>98</v>
      </c>
      <c r="B99" s="250">
        <v>42844</v>
      </c>
      <c r="C99" s="202">
        <v>1000</v>
      </c>
    </row>
    <row r="100" spans="1:3" x14ac:dyDescent="0.25">
      <c r="A100">
        <v>99</v>
      </c>
      <c r="B100" s="250">
        <v>42844</v>
      </c>
      <c r="C100" s="202">
        <v>1000</v>
      </c>
    </row>
    <row r="101" spans="1:3" x14ac:dyDescent="0.25">
      <c r="A101">
        <v>100</v>
      </c>
      <c r="B101" s="250">
        <v>42844</v>
      </c>
      <c r="C101" s="202">
        <v>1000</v>
      </c>
    </row>
    <row r="102" spans="1:3" x14ac:dyDescent="0.25">
      <c r="A102">
        <v>101</v>
      </c>
      <c r="B102" s="250">
        <v>42872</v>
      </c>
      <c r="C102" s="202">
        <v>1000</v>
      </c>
    </row>
    <row r="103" spans="1:3" x14ac:dyDescent="0.25">
      <c r="A103">
        <v>102</v>
      </c>
      <c r="B103" s="250">
        <v>42872</v>
      </c>
      <c r="C103" s="202">
        <v>1000</v>
      </c>
    </row>
    <row r="104" spans="1:3" x14ac:dyDescent="0.25">
      <c r="A104">
        <v>103</v>
      </c>
      <c r="B104" s="250">
        <v>42872</v>
      </c>
      <c r="C104" s="202">
        <v>1000</v>
      </c>
    </row>
    <row r="105" spans="1:3" x14ac:dyDescent="0.25">
      <c r="A105">
        <v>104</v>
      </c>
      <c r="B105" s="250">
        <v>42872</v>
      </c>
      <c r="C105" s="202">
        <v>1000</v>
      </c>
    </row>
    <row r="106" spans="1:3" x14ac:dyDescent="0.25">
      <c r="A106">
        <v>105</v>
      </c>
      <c r="B106" s="250">
        <v>42872</v>
      </c>
      <c r="C106" s="202">
        <v>1000</v>
      </c>
    </row>
    <row r="107" spans="1:3" x14ac:dyDescent="0.25">
      <c r="A107">
        <v>106</v>
      </c>
      <c r="B107" s="250">
        <v>42872</v>
      </c>
      <c r="C107" s="202">
        <v>1000</v>
      </c>
    </row>
    <row r="108" spans="1:3" x14ac:dyDescent="0.25">
      <c r="A108">
        <v>107</v>
      </c>
      <c r="B108" s="250">
        <v>42872</v>
      </c>
      <c r="C108" s="202">
        <v>1000</v>
      </c>
    </row>
    <row r="109" spans="1:3" x14ac:dyDescent="0.25">
      <c r="A109">
        <v>108</v>
      </c>
      <c r="B109" s="250">
        <v>42872</v>
      </c>
      <c r="C109" s="202">
        <v>1000</v>
      </c>
    </row>
    <row r="110" spans="1:3" x14ac:dyDescent="0.25">
      <c r="A110">
        <v>109</v>
      </c>
      <c r="B110" s="250">
        <v>42872</v>
      </c>
      <c r="C110" s="202">
        <v>1000</v>
      </c>
    </row>
    <row r="111" spans="1:3" x14ac:dyDescent="0.25">
      <c r="A111">
        <v>110</v>
      </c>
      <c r="B111" s="250">
        <v>42872</v>
      </c>
      <c r="C111" s="202">
        <v>1000</v>
      </c>
    </row>
    <row r="112" spans="1:3" x14ac:dyDescent="0.25">
      <c r="A112">
        <v>111</v>
      </c>
      <c r="B112" s="250">
        <v>42872</v>
      </c>
      <c r="C112" s="202">
        <v>1000</v>
      </c>
    </row>
    <row r="113" spans="1:3" x14ac:dyDescent="0.25">
      <c r="A113">
        <v>112</v>
      </c>
      <c r="B113" s="250">
        <v>42872</v>
      </c>
      <c r="C113" s="202">
        <v>1000</v>
      </c>
    </row>
    <row r="114" spans="1:3" x14ac:dyDescent="0.25">
      <c r="A114">
        <v>113</v>
      </c>
      <c r="B114" s="250">
        <v>42900</v>
      </c>
      <c r="C114" s="202">
        <v>1000</v>
      </c>
    </row>
    <row r="115" spans="1:3" x14ac:dyDescent="0.25">
      <c r="A115">
        <v>114</v>
      </c>
      <c r="B115" s="250">
        <v>42900</v>
      </c>
      <c r="C115" s="202">
        <v>1000</v>
      </c>
    </row>
    <row r="116" spans="1:3" x14ac:dyDescent="0.25">
      <c r="A116">
        <v>115</v>
      </c>
      <c r="B116" s="250">
        <v>42900</v>
      </c>
      <c r="C116" s="202">
        <v>1000</v>
      </c>
    </row>
    <row r="117" spans="1:3" x14ac:dyDescent="0.25">
      <c r="A117">
        <v>116</v>
      </c>
      <c r="B117" s="250">
        <v>42900</v>
      </c>
      <c r="C117" s="202">
        <v>1000</v>
      </c>
    </row>
    <row r="118" spans="1:3" x14ac:dyDescent="0.25">
      <c r="A118">
        <v>117</v>
      </c>
      <c r="B118" s="250">
        <v>42900</v>
      </c>
      <c r="C118" s="202">
        <v>1000</v>
      </c>
    </row>
    <row r="119" spans="1:3" x14ac:dyDescent="0.25">
      <c r="A119">
        <v>118</v>
      </c>
      <c r="B119" s="250">
        <v>42900</v>
      </c>
      <c r="C119" s="202">
        <v>1000</v>
      </c>
    </row>
    <row r="120" spans="1:3" x14ac:dyDescent="0.25">
      <c r="A120">
        <v>119</v>
      </c>
      <c r="B120" s="250">
        <v>42900</v>
      </c>
      <c r="C120" s="202">
        <v>1000</v>
      </c>
    </row>
    <row r="121" spans="1:3" x14ac:dyDescent="0.25">
      <c r="A121">
        <v>120</v>
      </c>
      <c r="B121" s="250">
        <v>42900</v>
      </c>
      <c r="C121" s="202">
        <v>1000</v>
      </c>
    </row>
    <row r="122" spans="1:3" x14ac:dyDescent="0.25">
      <c r="A122">
        <v>121</v>
      </c>
      <c r="B122" s="250">
        <v>42900</v>
      </c>
      <c r="C122" s="202">
        <v>1000</v>
      </c>
    </row>
    <row r="123" spans="1:3" x14ac:dyDescent="0.25">
      <c r="A123">
        <v>122</v>
      </c>
      <c r="B123" s="250">
        <v>42900</v>
      </c>
      <c r="C123" s="202">
        <v>1000</v>
      </c>
    </row>
    <row r="124" spans="1:3" x14ac:dyDescent="0.25">
      <c r="A124">
        <v>123</v>
      </c>
      <c r="B124" s="250">
        <v>42900</v>
      </c>
      <c r="C124" s="202">
        <v>1000</v>
      </c>
    </row>
    <row r="125" spans="1:3" x14ac:dyDescent="0.25">
      <c r="A125">
        <v>124</v>
      </c>
      <c r="B125" s="250">
        <v>42900</v>
      </c>
      <c r="C125" s="202">
        <v>1000</v>
      </c>
    </row>
    <row r="126" spans="1:3" x14ac:dyDescent="0.25">
      <c r="A126">
        <v>125</v>
      </c>
      <c r="B126" s="250">
        <v>42928</v>
      </c>
      <c r="C126" s="202">
        <v>1000</v>
      </c>
    </row>
    <row r="127" spans="1:3" x14ac:dyDescent="0.25">
      <c r="A127">
        <v>126</v>
      </c>
      <c r="B127" s="250">
        <v>42928</v>
      </c>
      <c r="C127" s="202">
        <v>1000</v>
      </c>
    </row>
    <row r="128" spans="1:3" x14ac:dyDescent="0.25">
      <c r="A128">
        <v>127</v>
      </c>
      <c r="B128" s="250">
        <v>42928</v>
      </c>
      <c r="C128" s="202">
        <v>1000</v>
      </c>
    </row>
    <row r="129" spans="1:3" x14ac:dyDescent="0.25">
      <c r="A129">
        <v>128</v>
      </c>
      <c r="B129" s="250">
        <v>42928</v>
      </c>
      <c r="C129" s="202">
        <v>1000</v>
      </c>
    </row>
    <row r="130" spans="1:3" x14ac:dyDescent="0.25">
      <c r="A130">
        <v>129</v>
      </c>
      <c r="B130" s="250">
        <v>42928</v>
      </c>
      <c r="C130" s="202">
        <v>1000</v>
      </c>
    </row>
    <row r="131" spans="1:3" x14ac:dyDescent="0.25">
      <c r="A131">
        <v>130</v>
      </c>
      <c r="B131" s="250">
        <v>42928</v>
      </c>
      <c r="C131" s="202">
        <v>1000</v>
      </c>
    </row>
    <row r="132" spans="1:3" x14ac:dyDescent="0.25">
      <c r="A132">
        <v>131</v>
      </c>
      <c r="B132" s="250">
        <v>42928</v>
      </c>
      <c r="C132" s="202">
        <v>1000</v>
      </c>
    </row>
    <row r="133" spans="1:3" x14ac:dyDescent="0.25">
      <c r="A133">
        <v>132</v>
      </c>
      <c r="B133" s="250">
        <v>42928</v>
      </c>
      <c r="C133" s="202">
        <v>1000</v>
      </c>
    </row>
    <row r="134" spans="1:3" x14ac:dyDescent="0.25">
      <c r="A134">
        <v>133</v>
      </c>
      <c r="B134" s="250">
        <v>42928</v>
      </c>
      <c r="C134" s="202">
        <v>1000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3.2" x14ac:dyDescent="0.25"/>
  <cols>
    <col min="5" max="5" width="53.109375" bestFit="1" customWidth="1"/>
    <col min="9" max="9" width="12.21875" customWidth="1"/>
    <col min="11" max="11" width="13.109375" customWidth="1"/>
    <col min="13" max="13" width="10.109375" bestFit="1" customWidth="1"/>
    <col min="14" max="14" width="2.88671875" customWidth="1"/>
    <col min="16" max="16" width="1.5546875" customWidth="1"/>
    <col min="17" max="17" width="12.6640625" customWidth="1"/>
    <col min="18" max="18" width="1.6640625" customWidth="1"/>
    <col min="25" max="25" width="12.44140625" bestFit="1" customWidth="1"/>
  </cols>
  <sheetData>
    <row r="2" spans="1:25" ht="18" x14ac:dyDescent="0.25">
      <c r="E2" s="105" t="s">
        <v>48</v>
      </c>
      <c r="F2" s="105" t="s">
        <v>112</v>
      </c>
      <c r="H2" s="110" t="s">
        <v>121</v>
      </c>
      <c r="I2" s="110"/>
      <c r="J2" s="110" t="s">
        <v>122</v>
      </c>
      <c r="K2" s="110"/>
      <c r="M2" s="117" t="s">
        <v>116</v>
      </c>
      <c r="O2" s="117" t="s">
        <v>193</v>
      </c>
      <c r="Q2" s="117" t="s">
        <v>115</v>
      </c>
      <c r="S2" s="117" t="s">
        <v>199</v>
      </c>
      <c r="U2" s="51" t="s">
        <v>52</v>
      </c>
      <c r="W2" s="165">
        <v>42675</v>
      </c>
      <c r="Y2" s="51" t="s">
        <v>238</v>
      </c>
    </row>
    <row r="3" spans="1:25" ht="18" x14ac:dyDescent="0.25">
      <c r="A3" s="49" t="s">
        <v>52</v>
      </c>
      <c r="E3" s="104" t="str">
        <f>IF(' Accting USE Data Entry Form'!B11&gt;0,' Accting USE Data Entry Form'!B11,"")</f>
        <v>Proof of equipment order furnace uprade</v>
      </c>
      <c r="F3" s="104">
        <f>' Accting USE Data Entry Form'!A11</f>
        <v>1</v>
      </c>
      <c r="H3" s="111" t="s">
        <v>123</v>
      </c>
      <c r="I3" s="110" t="s">
        <v>124</v>
      </c>
      <c r="J3" s="111" t="s">
        <v>123</v>
      </c>
      <c r="K3" s="110" t="s">
        <v>125</v>
      </c>
      <c r="M3" s="116">
        <f ca="1">TODAY()-7</f>
        <v>42846</v>
      </c>
      <c r="O3" s="118" t="s">
        <v>119</v>
      </c>
      <c r="Q3" s="119" t="s">
        <v>118</v>
      </c>
      <c r="S3" s="118" t="s">
        <v>200</v>
      </c>
      <c r="U3" s="151">
        <v>0</v>
      </c>
      <c r="W3" s="165">
        <v>42705</v>
      </c>
      <c r="Y3" s="202">
        <f>160750/4</f>
        <v>40187.5</v>
      </c>
    </row>
    <row r="4" spans="1:25" ht="18" x14ac:dyDescent="0.25">
      <c r="A4" s="50">
        <v>1</v>
      </c>
      <c r="E4" s="104" t="str">
        <f>IF(' Accting USE Data Entry Form'!B12&gt;0,' Accting USE Data Entry Form'!B12,"")</f>
        <v>Proof of completed furnace uprade</v>
      </c>
      <c r="F4" s="104">
        <f>' Accting USE Data Entry Form'!A12</f>
        <v>2</v>
      </c>
      <c r="H4" s="110" t="s">
        <v>126</v>
      </c>
      <c r="I4" s="110" t="s">
        <v>127</v>
      </c>
      <c r="J4" s="110" t="s">
        <v>126</v>
      </c>
      <c r="K4" s="110" t="s">
        <v>125</v>
      </c>
      <c r="M4" s="116">
        <f ca="1">WORKDAY(M3,1)</f>
        <v>42849</v>
      </c>
      <c r="O4" s="118" t="s">
        <v>120</v>
      </c>
      <c r="Q4" s="119" t="s">
        <v>192</v>
      </c>
      <c r="S4" s="118" t="s">
        <v>201</v>
      </c>
      <c r="U4" s="151">
        <v>2.5000000000000001E-2</v>
      </c>
      <c r="W4" s="165">
        <v>42736</v>
      </c>
    </row>
    <row r="5" spans="1:25" ht="18" x14ac:dyDescent="0.25">
      <c r="A5" s="50">
        <v>0.95</v>
      </c>
      <c r="E5" s="104" t="str">
        <f>IF(' Accting USE Data Entry Form'!B13&gt;0,' Accting USE Data Entry Form'!B13,"")</f>
        <v>Acceptance of Ni doping process - Cav 1 (of 2)</v>
      </c>
      <c r="F5" s="104">
        <f>' Accting USE Data Entry Form'!A13</f>
        <v>3</v>
      </c>
      <c r="H5" s="110" t="s">
        <v>128</v>
      </c>
      <c r="I5" s="110" t="s">
        <v>127</v>
      </c>
      <c r="J5" s="110" t="s">
        <v>128</v>
      </c>
      <c r="K5" s="110" t="s">
        <v>129</v>
      </c>
      <c r="M5" s="116">
        <f t="shared" ref="M5:M23" ca="1" si="0">WORKDAY(M4,1)</f>
        <v>42850</v>
      </c>
      <c r="S5" s="118" t="s">
        <v>202</v>
      </c>
      <c r="U5" s="151">
        <f t="shared" ref="U5:U43" si="1">U4+0.025</f>
        <v>0.05</v>
      </c>
      <c r="W5" s="165">
        <v>42767</v>
      </c>
    </row>
    <row r="6" spans="1:25" ht="18" x14ac:dyDescent="0.25">
      <c r="A6" s="50">
        <v>0.89999999999999991</v>
      </c>
      <c r="E6" s="104" t="str">
        <f>IF(' Accting USE Data Entry Form'!B14&gt;0,' Accting USE Data Entry Form'!B14,"")</f>
        <v>Acceptance of Ni doping process - Cav 2 (of 2)</v>
      </c>
      <c r="F6" s="104">
        <f>' Accting USE Data Entry Form'!A14</f>
        <v>4</v>
      </c>
      <c r="H6" s="110" t="s">
        <v>130</v>
      </c>
      <c r="I6" s="110" t="s">
        <v>124</v>
      </c>
      <c r="J6" s="110" t="s">
        <v>130</v>
      </c>
      <c r="K6" s="110" t="s">
        <v>129</v>
      </c>
      <c r="M6" s="116">
        <f t="shared" ca="1" si="0"/>
        <v>42851</v>
      </c>
      <c r="S6" s="118" t="s">
        <v>203</v>
      </c>
      <c r="U6" s="151">
        <f t="shared" si="1"/>
        <v>7.5000000000000011E-2</v>
      </c>
      <c r="W6" s="165">
        <v>42795</v>
      </c>
    </row>
    <row r="7" spans="1:25" ht="18" x14ac:dyDescent="0.25">
      <c r="A7" s="50">
        <v>0.84999999999999987</v>
      </c>
      <c r="E7" s="104" t="str">
        <f>IF(' Accting USE Data Entry Form'!B15&gt;0,' Accting USE Data Entry Form'!B15,"")</f>
        <v>PH II: Mfg Drawings Accepted by JLab</v>
      </c>
      <c r="F7" s="104">
        <f>' Accting USE Data Entry Form'!A15</f>
        <v>5</v>
      </c>
      <c r="H7" s="110" t="s">
        <v>131</v>
      </c>
      <c r="I7" s="110" t="s">
        <v>132</v>
      </c>
      <c r="J7" s="110" t="s">
        <v>131</v>
      </c>
      <c r="K7" s="110" t="s">
        <v>133</v>
      </c>
      <c r="M7" s="116">
        <f t="shared" ca="1" si="0"/>
        <v>42852</v>
      </c>
      <c r="S7" s="118" t="s">
        <v>204</v>
      </c>
      <c r="U7" s="151">
        <f t="shared" si="1"/>
        <v>0.1</v>
      </c>
      <c r="W7" s="165">
        <v>42826</v>
      </c>
    </row>
    <row r="8" spans="1:25" ht="18" x14ac:dyDescent="0.25">
      <c r="A8" s="50">
        <v>0.79999999999999982</v>
      </c>
      <c r="E8" s="104" t="str">
        <f>IF(' Accting USE Data Entry Form'!B16&gt;0,' Accting USE Data Entry Form'!B16,"")</f>
        <v>PH II: FAs Mech Pre-fab (Deep Draw)</v>
      </c>
      <c r="F8" s="104">
        <f>' Accting USE Data Entry Form'!A16</f>
        <v>6</v>
      </c>
      <c r="H8" s="110" t="s">
        <v>134</v>
      </c>
      <c r="I8" s="110" t="s">
        <v>132</v>
      </c>
      <c r="J8" s="110" t="s">
        <v>134</v>
      </c>
      <c r="K8" s="110" t="s">
        <v>133</v>
      </c>
      <c r="M8" s="116">
        <f t="shared" ca="1" si="0"/>
        <v>42853</v>
      </c>
      <c r="S8" s="118" t="s">
        <v>205</v>
      </c>
      <c r="U8" s="151">
        <f t="shared" si="1"/>
        <v>0.125</v>
      </c>
      <c r="W8" s="165">
        <v>42856</v>
      </c>
    </row>
    <row r="9" spans="1:25" ht="18" x14ac:dyDescent="0.25">
      <c r="A9" s="50">
        <v>0.74999999999999978</v>
      </c>
      <c r="E9" s="104" t="str">
        <f>IF(' Accting USE Data Entry Form'!B17&gt;0,' Accting USE Data Entry Form'!B17,"")</f>
        <v xml:space="preserve">PH III: Mech Pre-Fab Cavities (9-72) </v>
      </c>
      <c r="F9" s="104">
        <f>' Accting USE Data Entry Form'!A17</f>
        <v>7</v>
      </c>
      <c r="H9" s="110" t="s">
        <v>135</v>
      </c>
      <c r="I9" s="110" t="s">
        <v>136</v>
      </c>
      <c r="J9" s="110" t="s">
        <v>135</v>
      </c>
      <c r="K9" s="110" t="s">
        <v>137</v>
      </c>
      <c r="M9" s="116">
        <f t="shared" ca="1" si="0"/>
        <v>42856</v>
      </c>
      <c r="S9" s="118" t="s">
        <v>206</v>
      </c>
      <c r="U9" s="151">
        <f t="shared" si="1"/>
        <v>0.15</v>
      </c>
      <c r="W9" s="165">
        <v>42887</v>
      </c>
    </row>
    <row r="10" spans="1:25" ht="18" x14ac:dyDescent="0.25">
      <c r="A10" s="50">
        <v>0.69999999999999973</v>
      </c>
      <c r="E10" s="104" t="str">
        <f>IF(' Accting USE Data Entry Form'!B18&gt;0,' Accting USE Data Entry Form'!B18,"")</f>
        <v xml:space="preserve">PH III: Mech Pre-Fab Cavities (73-133) </v>
      </c>
      <c r="F10" s="104">
        <f>' Accting USE Data Entry Form'!A18</f>
        <v>8</v>
      </c>
      <c r="H10" s="110" t="s">
        <v>138</v>
      </c>
      <c r="I10" s="110" t="s">
        <v>136</v>
      </c>
      <c r="J10" s="110" t="s">
        <v>138</v>
      </c>
      <c r="K10" s="110" t="s">
        <v>137</v>
      </c>
      <c r="M10" s="116">
        <f t="shared" ca="1" si="0"/>
        <v>42857</v>
      </c>
      <c r="S10" s="118" t="s">
        <v>207</v>
      </c>
      <c r="U10" s="151">
        <f t="shared" si="1"/>
        <v>0.17499999999999999</v>
      </c>
      <c r="W10" s="165">
        <v>42917</v>
      </c>
    </row>
    <row r="11" spans="1:25" ht="18" x14ac:dyDescent="0.25">
      <c r="A11" s="50">
        <v>0.64999999999999969</v>
      </c>
      <c r="E11" s="104" t="str">
        <f>IF(' Accting USE Data Entry Form'!B19&gt;0,' Accting USE Data Entry Form'!B19,"")</f>
        <v xml:space="preserve">PH II: First Articles Deliver &amp; Accept (1-8) </v>
      </c>
      <c r="F11" s="104">
        <f>' Accting USE Data Entry Form'!A19</f>
        <v>9</v>
      </c>
      <c r="H11" s="110" t="s">
        <v>139</v>
      </c>
      <c r="I11" s="110" t="s">
        <v>140</v>
      </c>
      <c r="J11" s="110" t="s">
        <v>139</v>
      </c>
      <c r="K11" s="110" t="s">
        <v>141</v>
      </c>
      <c r="M11" s="116">
        <f t="shared" ca="1" si="0"/>
        <v>42858</v>
      </c>
      <c r="U11" s="151">
        <f t="shared" si="1"/>
        <v>0.19999999999999998</v>
      </c>
      <c r="W11" s="165">
        <v>42948</v>
      </c>
    </row>
    <row r="12" spans="1:25" ht="18" x14ac:dyDescent="0.25">
      <c r="A12" s="50">
        <v>0.59999999999999964</v>
      </c>
      <c r="E12" s="104" t="str">
        <f>IF(' Accting USE Data Entry Form'!B20&gt;0,' Accting USE Data Entry Form'!B20,"")</f>
        <v>PH III:  Deliver &amp; Accept  Cavities (9-12)</v>
      </c>
      <c r="F12" s="104">
        <f>' Accting USE Data Entry Form'!A20</f>
        <v>10</v>
      </c>
      <c r="H12" s="110" t="s">
        <v>142</v>
      </c>
      <c r="I12" s="110" t="s">
        <v>140</v>
      </c>
      <c r="J12" s="110" t="s">
        <v>142</v>
      </c>
      <c r="K12" s="110" t="s">
        <v>141</v>
      </c>
      <c r="M12" s="116">
        <f t="shared" ca="1" si="0"/>
        <v>42859</v>
      </c>
      <c r="U12" s="151">
        <f t="shared" si="1"/>
        <v>0.22499999999999998</v>
      </c>
      <c r="W12" s="165">
        <v>42979</v>
      </c>
    </row>
    <row r="13" spans="1:25" ht="18" x14ac:dyDescent="0.25">
      <c r="A13" s="50">
        <v>0.5499999999999996</v>
      </c>
      <c r="E13" s="104" t="str">
        <f>IF(' Accting USE Data Entry Form'!B21&gt;0,' Accting USE Data Entry Form'!B21,"")</f>
        <v>PH III:  Deliver &amp; Accept  Cavities (13-16)</v>
      </c>
      <c r="F13" s="104">
        <f>' Accting USE Data Entry Form'!A21</f>
        <v>11</v>
      </c>
      <c r="H13" s="110" t="s">
        <v>143</v>
      </c>
      <c r="I13" s="110" t="s">
        <v>144</v>
      </c>
      <c r="J13" s="110" t="s">
        <v>143</v>
      </c>
      <c r="K13" s="110" t="s">
        <v>145</v>
      </c>
      <c r="M13" s="116">
        <f t="shared" ca="1" si="0"/>
        <v>42860</v>
      </c>
      <c r="U13" s="151">
        <f t="shared" si="1"/>
        <v>0.24999999999999997</v>
      </c>
      <c r="W13" s="165">
        <v>43009</v>
      </c>
    </row>
    <row r="14" spans="1:25" ht="18" x14ac:dyDescent="0.25">
      <c r="A14" s="50">
        <v>0.49999999999999961</v>
      </c>
      <c r="E14" s="104" t="str">
        <f>IF(' Accting USE Data Entry Form'!B22&gt;0,' Accting USE Data Entry Form'!B22,"")</f>
        <v>PH III:  Deliver &amp; Accept  Cavities (17-20)</v>
      </c>
      <c r="F14" s="104">
        <f>' Accting USE Data Entry Form'!A22</f>
        <v>12</v>
      </c>
      <c r="H14" s="110" t="s">
        <v>146</v>
      </c>
      <c r="I14" s="110" t="s">
        <v>144</v>
      </c>
      <c r="J14" s="110" t="s">
        <v>146</v>
      </c>
      <c r="K14" s="110" t="s">
        <v>145</v>
      </c>
      <c r="M14" s="116">
        <f t="shared" ca="1" si="0"/>
        <v>42863</v>
      </c>
      <c r="U14" s="151">
        <f t="shared" si="1"/>
        <v>0.27499999999999997</v>
      </c>
      <c r="W14" s="165">
        <v>43040</v>
      </c>
    </row>
    <row r="15" spans="1:25" ht="18" x14ac:dyDescent="0.25">
      <c r="A15" s="50">
        <v>0.44999999999999962</v>
      </c>
      <c r="E15" s="104" t="str">
        <f>IF(' Accting USE Data Entry Form'!B23&gt;0,' Accting USE Data Entry Form'!B23,"")</f>
        <v>PH III:  Deliver &amp; Accept  Cavities (21-24)</v>
      </c>
      <c r="F15" s="104">
        <f>' Accting USE Data Entry Form'!A23</f>
        <v>13</v>
      </c>
      <c r="H15" s="110" t="s">
        <v>147</v>
      </c>
      <c r="I15" s="110" t="s">
        <v>148</v>
      </c>
      <c r="J15" s="110" t="s">
        <v>147</v>
      </c>
      <c r="K15" s="110" t="s">
        <v>149</v>
      </c>
      <c r="M15" s="116">
        <f t="shared" ca="1" si="0"/>
        <v>42864</v>
      </c>
      <c r="U15" s="151">
        <f t="shared" si="1"/>
        <v>0.3</v>
      </c>
      <c r="W15" s="165">
        <v>43070</v>
      </c>
    </row>
    <row r="16" spans="1:25" ht="18" x14ac:dyDescent="0.25">
      <c r="A16" s="50">
        <v>0.39999999999999963</v>
      </c>
      <c r="E16" s="104" t="str">
        <f>IF(' Accting USE Data Entry Form'!B24&gt;0,' Accting USE Data Entry Form'!B24,"")</f>
        <v>PH III:  Deliver &amp; Accept  Cavities (25-28)</v>
      </c>
      <c r="F16" s="104">
        <f>' Accting USE Data Entry Form'!A24</f>
        <v>14</v>
      </c>
      <c r="H16" s="110" t="s">
        <v>150</v>
      </c>
      <c r="I16" s="110" t="s">
        <v>148</v>
      </c>
      <c r="J16" s="110" t="s">
        <v>150</v>
      </c>
      <c r="K16" s="110" t="s">
        <v>149</v>
      </c>
      <c r="M16" s="116">
        <f t="shared" ca="1" si="0"/>
        <v>42865</v>
      </c>
      <c r="U16" s="151">
        <f t="shared" si="1"/>
        <v>0.32500000000000001</v>
      </c>
      <c r="W16" s="165">
        <v>43101</v>
      </c>
    </row>
    <row r="17" spans="1:23" ht="18" x14ac:dyDescent="0.25">
      <c r="A17" s="50">
        <v>0.34999999999999964</v>
      </c>
      <c r="E17" s="104" t="str">
        <f>IF(' Accting USE Data Entry Form'!B25&gt;0,' Accting USE Data Entry Form'!B25,"")</f>
        <v>PH III:  Deliver &amp; Accept  Cavities (29-32)</v>
      </c>
      <c r="F17" s="104">
        <f>' Accting USE Data Entry Form'!A25</f>
        <v>15</v>
      </c>
      <c r="H17" s="110" t="s">
        <v>151</v>
      </c>
      <c r="I17" s="110" t="s">
        <v>152</v>
      </c>
      <c r="J17" s="110" t="s">
        <v>151</v>
      </c>
      <c r="K17" s="110" t="s">
        <v>153</v>
      </c>
      <c r="M17" s="116">
        <f t="shared" ca="1" si="0"/>
        <v>42866</v>
      </c>
      <c r="U17" s="151">
        <f t="shared" si="1"/>
        <v>0.35000000000000003</v>
      </c>
      <c r="W17" s="165">
        <v>43132</v>
      </c>
    </row>
    <row r="18" spans="1:23" ht="18" x14ac:dyDescent="0.25">
      <c r="A18" s="50">
        <v>0.29999999999999966</v>
      </c>
      <c r="E18" s="104" t="str">
        <f>IF(' Accting USE Data Entry Form'!B26&gt;0,' Accting USE Data Entry Form'!B26,"")</f>
        <v>PH III:  Deliver &amp; Accept  Cavities (33-36)</v>
      </c>
      <c r="F18" s="104">
        <f>' Accting USE Data Entry Form'!A26</f>
        <v>16</v>
      </c>
      <c r="H18" s="110" t="s">
        <v>154</v>
      </c>
      <c r="I18" s="110" t="s">
        <v>152</v>
      </c>
      <c r="J18" s="110" t="s">
        <v>154</v>
      </c>
      <c r="K18" s="110" t="s">
        <v>153</v>
      </c>
      <c r="M18" s="116">
        <f t="shared" ca="1" si="0"/>
        <v>42867</v>
      </c>
      <c r="U18" s="151">
        <f t="shared" si="1"/>
        <v>0.37500000000000006</v>
      </c>
      <c r="W18" s="165">
        <v>43160</v>
      </c>
    </row>
    <row r="19" spans="1:23" ht="18" x14ac:dyDescent="0.25">
      <c r="A19" s="50">
        <v>0.24999999999999967</v>
      </c>
      <c r="E19" s="104" t="str">
        <f>IF(' Accting USE Data Entry Form'!B27&gt;0,' Accting USE Data Entry Form'!B27,"")</f>
        <v>PH III:  Deliver &amp; Accept  Cavities (37-40)</v>
      </c>
      <c r="F19" s="104">
        <f>' Accting USE Data Entry Form'!A27</f>
        <v>17</v>
      </c>
      <c r="H19" s="110" t="s">
        <v>155</v>
      </c>
      <c r="I19" s="110" t="s">
        <v>156</v>
      </c>
      <c r="J19" s="110" t="s">
        <v>155</v>
      </c>
      <c r="K19" s="110" t="s">
        <v>157</v>
      </c>
      <c r="M19" s="116">
        <f t="shared" ca="1" si="0"/>
        <v>42870</v>
      </c>
      <c r="U19" s="151">
        <f t="shared" si="1"/>
        <v>0.40000000000000008</v>
      </c>
      <c r="W19" s="165">
        <v>43191</v>
      </c>
    </row>
    <row r="20" spans="1:23" ht="18" x14ac:dyDescent="0.25">
      <c r="A20" s="50">
        <v>0.19999999999999968</v>
      </c>
      <c r="E20" s="104" t="str">
        <f>IF(' Accting USE Data Entry Form'!B28&gt;0,' Accting USE Data Entry Form'!B28,"")</f>
        <v>PH III:  Deliver &amp; Accept  Cavities (41-44)</v>
      </c>
      <c r="F20" s="104">
        <f>' Accting USE Data Entry Form'!A28</f>
        <v>18</v>
      </c>
      <c r="H20" s="110" t="s">
        <v>158</v>
      </c>
      <c r="I20" s="110" t="s">
        <v>156</v>
      </c>
      <c r="J20" s="110" t="s">
        <v>158</v>
      </c>
      <c r="K20" s="110" t="s">
        <v>157</v>
      </c>
      <c r="M20" s="116">
        <f t="shared" ca="1" si="0"/>
        <v>42871</v>
      </c>
      <c r="U20" s="151">
        <f t="shared" si="1"/>
        <v>0.4250000000000001</v>
      </c>
      <c r="W20" s="165">
        <v>43221</v>
      </c>
    </row>
    <row r="21" spans="1:23" ht="18" x14ac:dyDescent="0.25">
      <c r="A21" s="50">
        <v>0.14999999999999969</v>
      </c>
      <c r="E21" s="104" t="str">
        <f>IF(' Accting USE Data Entry Form'!B29&gt;0,' Accting USE Data Entry Form'!B29,"")</f>
        <v>PH III:  Deliver &amp; Accept  Cavities (45-48)</v>
      </c>
      <c r="F21" s="104">
        <f>' Accting USE Data Entry Form'!A29</f>
        <v>19</v>
      </c>
      <c r="H21" s="110" t="s">
        <v>159</v>
      </c>
      <c r="I21" s="110" t="s">
        <v>160</v>
      </c>
      <c r="J21" s="110" t="s">
        <v>159</v>
      </c>
      <c r="K21" s="110" t="s">
        <v>161</v>
      </c>
      <c r="M21" s="116">
        <f t="shared" ca="1" si="0"/>
        <v>42872</v>
      </c>
      <c r="U21" s="151">
        <f t="shared" si="1"/>
        <v>0.45000000000000012</v>
      </c>
      <c r="W21" s="165">
        <v>43252</v>
      </c>
    </row>
    <row r="22" spans="1:23" ht="18" x14ac:dyDescent="0.25">
      <c r="A22" s="50">
        <v>9.9999999999999686E-2</v>
      </c>
      <c r="E22" s="104" t="str">
        <f>IF(' Accting USE Data Entry Form'!B30&gt;0,' Accting USE Data Entry Form'!B30,"")</f>
        <v>PH III:  Deliver &amp; Accept  Cavities (49-52)</v>
      </c>
      <c r="F22" s="104">
        <f>' Accting USE Data Entry Form'!A30</f>
        <v>20</v>
      </c>
      <c r="H22" s="110" t="s">
        <v>162</v>
      </c>
      <c r="I22" s="110" t="s">
        <v>160</v>
      </c>
      <c r="J22" s="110" t="s">
        <v>162</v>
      </c>
      <c r="K22" s="110" t="s">
        <v>163</v>
      </c>
      <c r="M22" s="116">
        <f t="shared" ca="1" si="0"/>
        <v>42873</v>
      </c>
      <c r="U22" s="151">
        <f t="shared" si="1"/>
        <v>0.47500000000000014</v>
      </c>
      <c r="W22" s="165">
        <v>43282</v>
      </c>
    </row>
    <row r="23" spans="1:23" ht="18" x14ac:dyDescent="0.25">
      <c r="A23" s="50">
        <v>4.9999999999999684E-2</v>
      </c>
      <c r="E23" s="104" t="str">
        <f>IF(' Accting USE Data Entry Form'!B31&gt;0,' Accting USE Data Entry Form'!B31,"")</f>
        <v>MOD 002: DESY Equip Refurbishment</v>
      </c>
      <c r="F23" s="104">
        <f>' Accting USE Data Entry Form'!A31</f>
        <v>21</v>
      </c>
      <c r="H23" s="110" t="s">
        <v>164</v>
      </c>
      <c r="I23" s="110" t="s">
        <v>165</v>
      </c>
      <c r="J23" s="110" t="s">
        <v>164</v>
      </c>
      <c r="K23" s="110" t="s">
        <v>166</v>
      </c>
      <c r="M23" s="116">
        <f t="shared" ca="1" si="0"/>
        <v>42874</v>
      </c>
      <c r="U23" s="151">
        <f t="shared" si="1"/>
        <v>0.50000000000000011</v>
      </c>
      <c r="W23" s="165">
        <v>43313</v>
      </c>
    </row>
    <row r="24" spans="1:23" ht="18" x14ac:dyDescent="0.25">
      <c r="A24" s="50">
        <v>-3.1918911957973251E-16</v>
      </c>
      <c r="E24" s="104" t="str">
        <f>IF(' Accting USE Data Entry Form'!B32&gt;0,' Accting USE Data Entry Form'!B32,"")</f>
        <v xml:space="preserve">MOD 002: DESY Equip Service &amp; Support Costs  </v>
      </c>
      <c r="F24" s="104">
        <f>' Accting USE Data Entry Form'!A32</f>
        <v>22</v>
      </c>
      <c r="H24" s="110" t="s">
        <v>167</v>
      </c>
      <c r="I24" s="110" t="s">
        <v>165</v>
      </c>
      <c r="J24" s="110" t="s">
        <v>167</v>
      </c>
      <c r="K24" s="110" t="s">
        <v>166</v>
      </c>
      <c r="U24" s="151">
        <f t="shared" si="1"/>
        <v>0.52500000000000013</v>
      </c>
      <c r="W24" s="165">
        <v>43344</v>
      </c>
    </row>
    <row r="25" spans="1:23" ht="18" x14ac:dyDescent="0.25">
      <c r="E25" s="104" t="str">
        <f>IF(' Accting USE Data Entry Form'!B33&gt;0,' Accting USE Data Entry Form'!B33,"")</f>
        <v>MOD 003: Accel Shipment (1-16) Incentives (Max of $323,136)</v>
      </c>
      <c r="F25" s="104">
        <f>' Accting USE Data Entry Form'!A33</f>
        <v>23</v>
      </c>
      <c r="H25" s="110" t="s">
        <v>168</v>
      </c>
      <c r="I25" s="110" t="s">
        <v>169</v>
      </c>
      <c r="J25" s="110" t="s">
        <v>168</v>
      </c>
      <c r="K25" s="110" t="s">
        <v>170</v>
      </c>
      <c r="U25" s="151">
        <f t="shared" si="1"/>
        <v>0.55000000000000016</v>
      </c>
    </row>
    <row r="26" spans="1:23" ht="18" x14ac:dyDescent="0.25">
      <c r="E26" s="104" t="str">
        <f>IF(' Accting USE Data Entry Form'!B34&gt;0,' Accting USE Data Entry Form'!B34,"")</f>
        <v>MOD 004: Incentives for Accelerated Production Deliveries</v>
      </c>
      <c r="F26" s="104">
        <f>' Accting USE Data Entry Form'!A34</f>
        <v>24</v>
      </c>
      <c r="H26" s="110" t="s">
        <v>171</v>
      </c>
      <c r="I26" s="110" t="s">
        <v>169</v>
      </c>
      <c r="J26" s="110" t="s">
        <v>171</v>
      </c>
      <c r="K26" s="110" t="s">
        <v>170</v>
      </c>
      <c r="U26" s="151">
        <f t="shared" si="1"/>
        <v>0.57500000000000018</v>
      </c>
    </row>
    <row r="27" spans="1:23" ht="18" x14ac:dyDescent="0.25">
      <c r="E27" s="104" t="str">
        <f>IF(' Accting USE Data Entry Form'!B35&gt;0,' Accting USE Data Entry Form'!B35,"")</f>
        <v>MOD 005: DESY Equipment Lease ($9,200/ month)</v>
      </c>
      <c r="F27" s="104">
        <f>' Accting USE Data Entry Form'!A35</f>
        <v>25</v>
      </c>
      <c r="H27" s="110" t="s">
        <v>172</v>
      </c>
      <c r="I27" s="110" t="s">
        <v>173</v>
      </c>
      <c r="J27" s="110" t="s">
        <v>172</v>
      </c>
      <c r="K27" s="110" t="s">
        <v>174</v>
      </c>
      <c r="U27" s="151">
        <f t="shared" si="1"/>
        <v>0.6000000000000002</v>
      </c>
    </row>
    <row r="28" spans="1:23" ht="18" x14ac:dyDescent="0.25">
      <c r="E28" s="104" t="str">
        <f>IF(' Accting USE Data Entry Form'!B36&gt;0,' Accting USE Data Entry Form'!B36,"")</f>
        <v>PH III:  Deliver &amp; Accept  Cavities (53-56)</v>
      </c>
      <c r="F28" s="104">
        <f>' Accting USE Data Entry Form'!A36</f>
        <v>26</v>
      </c>
      <c r="H28" s="110" t="s">
        <v>175</v>
      </c>
      <c r="I28" s="110" t="s">
        <v>173</v>
      </c>
      <c r="J28" s="110" t="s">
        <v>175</v>
      </c>
      <c r="K28" s="110" t="s">
        <v>174</v>
      </c>
      <c r="U28" s="151">
        <f t="shared" si="1"/>
        <v>0.62500000000000022</v>
      </c>
    </row>
    <row r="29" spans="1:23" ht="18" x14ac:dyDescent="0.25">
      <c r="E29" s="104" t="str">
        <f>IF(' Accting USE Data Entry Form'!B37&gt;0,' Accting USE Data Entry Form'!B37,"")</f>
        <v>PH III:  Deliver &amp; Accept  Cavities (57-60)</v>
      </c>
      <c r="F29" s="104">
        <f>' Accting USE Data Entry Form'!A37</f>
        <v>27</v>
      </c>
      <c r="H29" s="110" t="s">
        <v>176</v>
      </c>
      <c r="I29" s="110" t="s">
        <v>177</v>
      </c>
      <c r="J29" s="110" t="s">
        <v>176</v>
      </c>
      <c r="K29" s="110" t="s">
        <v>178</v>
      </c>
      <c r="U29" s="151">
        <f t="shared" si="1"/>
        <v>0.65000000000000024</v>
      </c>
    </row>
    <row r="30" spans="1:23" ht="18" x14ac:dyDescent="0.25">
      <c r="E30" s="104" t="str">
        <f>IF(' Accting USE Data Entry Form'!B38&gt;0,' Accting USE Data Entry Form'!B38,"")</f>
        <v>PH III:  Deliver &amp; Accept  Cavities (61-64)</v>
      </c>
      <c r="F30" s="104">
        <f>' Accting USE Data Entry Form'!A38</f>
        <v>28</v>
      </c>
      <c r="H30" s="110" t="s">
        <v>179</v>
      </c>
      <c r="I30" s="110" t="s">
        <v>177</v>
      </c>
      <c r="J30" s="110" t="s">
        <v>179</v>
      </c>
      <c r="K30" s="110" t="s">
        <v>178</v>
      </c>
      <c r="U30" s="151">
        <f t="shared" si="1"/>
        <v>0.67500000000000027</v>
      </c>
    </row>
    <row r="31" spans="1:23" ht="18" x14ac:dyDescent="0.25">
      <c r="E31" s="104" t="str">
        <f>IF(' Accting USE Data Entry Form'!B39&gt;0,' Accting USE Data Entry Form'!B39,"")</f>
        <v>PH III:  Deliver &amp; Accept  Cavities (65-68)</v>
      </c>
      <c r="F31" s="104">
        <f>' Accting USE Data Entry Form'!A39</f>
        <v>29</v>
      </c>
      <c r="H31" s="110" t="s">
        <v>180</v>
      </c>
      <c r="I31" s="110" t="s">
        <v>181</v>
      </c>
      <c r="J31" s="110" t="s">
        <v>180</v>
      </c>
      <c r="K31" s="110" t="s">
        <v>182</v>
      </c>
      <c r="U31" s="151">
        <f t="shared" si="1"/>
        <v>0.70000000000000029</v>
      </c>
    </row>
    <row r="32" spans="1:23" ht="18" x14ac:dyDescent="0.25">
      <c r="E32" s="104" t="str">
        <f>IF(' Accting USE Data Entry Form'!B40&gt;0,' Accting USE Data Entry Form'!B40,"")</f>
        <v>PH III:  Deliver &amp; Accept  Cavities (69-72)</v>
      </c>
      <c r="F32" s="104">
        <f>' Accting USE Data Entry Form'!A40</f>
        <v>30</v>
      </c>
      <c r="H32" s="110" t="s">
        <v>183</v>
      </c>
      <c r="I32" s="110" t="s">
        <v>181</v>
      </c>
      <c r="J32" s="110" t="s">
        <v>183</v>
      </c>
      <c r="K32" s="110" t="s">
        <v>182</v>
      </c>
      <c r="U32" s="151">
        <f t="shared" si="1"/>
        <v>0.72500000000000031</v>
      </c>
    </row>
    <row r="33" spans="5:21" ht="18" x14ac:dyDescent="0.25">
      <c r="E33" s="104" t="str">
        <f>IF(' Accting USE Data Entry Form'!B41&gt;0,' Accting USE Data Entry Form'!B41,"")</f>
        <v>PH III:  Deliver &amp; Accept  Cavities (73-76)</v>
      </c>
      <c r="F33" s="104">
        <f>' Accting USE Data Entry Form'!A41</f>
        <v>31</v>
      </c>
      <c r="H33" s="110" t="s">
        <v>184</v>
      </c>
      <c r="I33" s="110" t="s">
        <v>185</v>
      </c>
      <c r="J33" s="110" t="s">
        <v>184</v>
      </c>
      <c r="K33" s="110" t="s">
        <v>186</v>
      </c>
      <c r="U33" s="151">
        <f t="shared" si="1"/>
        <v>0.75000000000000033</v>
      </c>
    </row>
    <row r="34" spans="5:21" ht="18" x14ac:dyDescent="0.25">
      <c r="E34" s="104" t="str">
        <f>IF(' Accting USE Data Entry Form'!B42&gt;0,' Accting USE Data Entry Form'!B42,"")</f>
        <v>PH III:  Deliver &amp; Accept  Cavities (77-80)</v>
      </c>
      <c r="F34" s="104">
        <f>' Accting USE Data Entry Form'!A42</f>
        <v>32</v>
      </c>
      <c r="H34" s="110" t="s">
        <v>187</v>
      </c>
      <c r="I34" s="110" t="s">
        <v>185</v>
      </c>
      <c r="J34" s="110" t="s">
        <v>187</v>
      </c>
      <c r="K34" s="110" t="s">
        <v>186</v>
      </c>
      <c r="U34" s="151">
        <f t="shared" si="1"/>
        <v>0.77500000000000036</v>
      </c>
    </row>
    <row r="35" spans="5:21" ht="18" x14ac:dyDescent="0.25">
      <c r="E35" s="104" t="str">
        <f>IF(' Accting USE Data Entry Form'!B43&gt;0,' Accting USE Data Entry Form'!B43,"")</f>
        <v>PH III:  Deliver &amp; Accept  Cavities (81-84)</v>
      </c>
      <c r="F35" s="104">
        <f>' Accting USE Data Entry Form'!A43</f>
        <v>33</v>
      </c>
      <c r="H35" s="110" t="s">
        <v>188</v>
      </c>
      <c r="I35" s="110" t="s">
        <v>189</v>
      </c>
      <c r="J35" s="110" t="s">
        <v>190</v>
      </c>
      <c r="K35" s="110" t="s">
        <v>189</v>
      </c>
      <c r="U35" s="151">
        <f t="shared" si="1"/>
        <v>0.80000000000000038</v>
      </c>
    </row>
    <row r="36" spans="5:21" ht="18" x14ac:dyDescent="0.25">
      <c r="E36" s="104" t="str">
        <f>IF(' Accting USE Data Entry Form'!B44&gt;0,' Accting USE Data Entry Form'!B44,"")</f>
        <v>PH III:  Deliver &amp; Accept  Cavities (85-88)</v>
      </c>
      <c r="F36" s="104">
        <f>' Accting USE Data Entry Form'!A44</f>
        <v>34</v>
      </c>
      <c r="H36" s="110" t="s">
        <v>191</v>
      </c>
      <c r="I36" s="110" t="s">
        <v>189</v>
      </c>
      <c r="J36" s="110"/>
      <c r="K36" s="110"/>
      <c r="U36" s="151">
        <f t="shared" si="1"/>
        <v>0.8250000000000004</v>
      </c>
    </row>
    <row r="37" spans="5:21" x14ac:dyDescent="0.25">
      <c r="E37" s="104" t="str">
        <f>IF(' Accting USE Data Entry Form'!B45&gt;0,' Accting USE Data Entry Form'!B45,"")</f>
        <v>PH III:  Deliver &amp; Accept  Cavities (89-92)</v>
      </c>
      <c r="F37" s="104">
        <f>' Accting USE Data Entry Form'!A45</f>
        <v>35</v>
      </c>
      <c r="U37" s="151">
        <f t="shared" si="1"/>
        <v>0.85000000000000042</v>
      </c>
    </row>
    <row r="38" spans="5:21" x14ac:dyDescent="0.25">
      <c r="E38" s="104" t="str">
        <f>IF(' Accting USE Data Entry Form'!B46&gt;0,' Accting USE Data Entry Form'!B46,"")</f>
        <v>PH III:  Deliver &amp; Accept  Cavities (93-96)</v>
      </c>
      <c r="F38" s="104">
        <f>' Accting USE Data Entry Form'!A46</f>
        <v>36</v>
      </c>
      <c r="U38" s="151">
        <f t="shared" si="1"/>
        <v>0.87500000000000044</v>
      </c>
    </row>
    <row r="39" spans="5:21" x14ac:dyDescent="0.25">
      <c r="E39" s="104" t="str">
        <f>IF(' Accting USE Data Entry Form'!B47&gt;0,' Accting USE Data Entry Form'!B47,"")</f>
        <v>PH III:  Deliver &amp; Accept  Cavities (97-100)</v>
      </c>
      <c r="F39" s="104">
        <f>' Accting USE Data Entry Form'!A47</f>
        <v>37</v>
      </c>
      <c r="U39" s="151">
        <f t="shared" si="1"/>
        <v>0.90000000000000047</v>
      </c>
    </row>
    <row r="40" spans="5:21" x14ac:dyDescent="0.25">
      <c r="E40" s="104" t="str">
        <f>IF(' Accting USE Data Entry Form'!B48&gt;0,' Accting USE Data Entry Form'!B48,"")</f>
        <v>PH III:  Deliver &amp; Accept  Cavities (101-104)</v>
      </c>
      <c r="F40" s="104">
        <f>' Accting USE Data Entry Form'!A48</f>
        <v>38</v>
      </c>
      <c r="U40" s="151">
        <f t="shared" si="1"/>
        <v>0.92500000000000049</v>
      </c>
    </row>
    <row r="41" spans="5:21" x14ac:dyDescent="0.25">
      <c r="E41" s="104" t="str">
        <f>IF(' Accting USE Data Entry Form'!B49&gt;0,' Accting USE Data Entry Form'!B49,"")</f>
        <v>PH III:  Deliver &amp; Accept  Cavities (105-108)</v>
      </c>
      <c r="F41" s="104">
        <f>' Accting USE Data Entry Form'!A49</f>
        <v>39</v>
      </c>
      <c r="U41" s="151">
        <f t="shared" si="1"/>
        <v>0.95000000000000051</v>
      </c>
    </row>
    <row r="42" spans="5:21" x14ac:dyDescent="0.25">
      <c r="E42" s="104" t="str">
        <f>IF(' Accting USE Data Entry Form'!B50&gt;0,' Accting USE Data Entry Form'!B50,"")</f>
        <v>PH III:  Deliver &amp; Accept  Cavities (109-112)</v>
      </c>
      <c r="F42" s="104">
        <f>' Accting USE Data Entry Form'!A50</f>
        <v>40</v>
      </c>
      <c r="U42" s="151">
        <f t="shared" si="1"/>
        <v>0.97500000000000053</v>
      </c>
    </row>
    <row r="43" spans="5:21" x14ac:dyDescent="0.25">
      <c r="E43" s="104" t="str">
        <f>IF(' Accting USE Data Entry Form'!B51&gt;0,' Accting USE Data Entry Form'!B51,"")</f>
        <v>PH III:  Deliver &amp; Accept  Cavities (113-116)</v>
      </c>
      <c r="F43" s="104">
        <f>' Accting USE Data Entry Form'!A51</f>
        <v>41</v>
      </c>
      <c r="U43" s="151">
        <f t="shared" si="1"/>
        <v>1.0000000000000004</v>
      </c>
    </row>
    <row r="44" spans="5:21" x14ac:dyDescent="0.25">
      <c r="E44" s="104" t="str">
        <f>IF(' Accting USE Data Entry Form'!B52&gt;0,' Accting USE Data Entry Form'!B52,"")</f>
        <v>PH III:  Deliver &amp; Accept  Cavities (117-120)</v>
      </c>
      <c r="F44" s="104">
        <f>' Accting USE Data Entry Form'!A52</f>
        <v>42</v>
      </c>
    </row>
    <row r="45" spans="5:21" x14ac:dyDescent="0.25">
      <c r="E45" s="104" t="str">
        <f>IF(' Accting USE Data Entry Form'!B53&gt;0,' Accting USE Data Entry Form'!B53,"")</f>
        <v>PH III:  Deliver &amp; Accept  Cavities (121-124)</v>
      </c>
      <c r="F45" s="104">
        <f>' Accting USE Data Entry Form'!A53</f>
        <v>43</v>
      </c>
    </row>
    <row r="46" spans="5:21" x14ac:dyDescent="0.25">
      <c r="E46" s="104" t="str">
        <f>IF(' Accting USE Data Entry Form'!B54&gt;0,' Accting USE Data Entry Form'!B54,"")</f>
        <v>PH III:  Deliver &amp; Accept  Cavities (125-128)</v>
      </c>
      <c r="F46" s="104">
        <f>' Accting USE Data Entry Form'!A54</f>
        <v>44</v>
      </c>
    </row>
    <row r="47" spans="5:21" x14ac:dyDescent="0.25">
      <c r="E47" s="104" t="str">
        <f>IF(' Accting USE Data Entry Form'!B55&gt;0,' Accting USE Data Entry Form'!B55,"")</f>
        <v>PH III:  Deliver &amp; Accept  Cavities (129-133)</v>
      </c>
      <c r="F47" s="104">
        <f>' Accting USE Data Entry Form'!A55</f>
        <v>45</v>
      </c>
    </row>
    <row r="48" spans="5:21" x14ac:dyDescent="0.25">
      <c r="E48" s="104" t="str">
        <f>IF(' Accting USE Data Entry Form'!B56&gt;0,' Accting USE Data Entry Form'!B56,"")</f>
        <v>MOD 007: LCLS-II R&amp;D Cavities (4)</v>
      </c>
      <c r="F48" s="104">
        <f>' Accting USE Data Entry Form'!A56</f>
        <v>46</v>
      </c>
    </row>
    <row r="49" spans="5:6" x14ac:dyDescent="0.25">
      <c r="E49" s="104" t="str">
        <f>IF(' Accting USE Data Entry Form'!B57&gt;0,' Accting USE Data Entry Form'!B57,"")</f>
        <v>MOD 008: CTM Spare Parts</v>
      </c>
      <c r="F49" s="104" t="e">
        <f>' Accting USE Data Entry Form'!#REF!</f>
        <v>#REF!</v>
      </c>
    </row>
    <row r="50" spans="5:6" x14ac:dyDescent="0.25">
      <c r="E50" s="104" t="str">
        <f>IF(' Accting USE Data Entry Form'!B58&gt;0,' Accting USE Data Entry Form'!B58,"")</f>
        <v>MOD 009: Recipe Modification (21-133) ($4283.18/cavity)</v>
      </c>
      <c r="F50" s="104" t="str">
        <f>' Accting USE Data Entry Form'!A105</f>
        <v>Total</v>
      </c>
    </row>
    <row r="51" spans="5:6" x14ac:dyDescent="0.25">
      <c r="E51" s="104" t="str">
        <f>IF(' Accting USE Data Entry Form'!B59&gt;0,' Accting USE Data Entry Form'!B59,"")</f>
        <v xml:space="preserve">MOD 010: Niobium Caps $490.00/ea (Cavs 17-133)  </v>
      </c>
      <c r="F51" s="104">
        <f>' Accting USE Data Entry Form'!A106</f>
        <v>0</v>
      </c>
    </row>
    <row r="52" spans="5:6" x14ac:dyDescent="0.25">
      <c r="E52" s="104" t="e">
        <f>IF(' Accting USE Data Entry Form'!#REF!&gt;0,' Accting USE Data Entry Form'!#REF!,"")</f>
        <v>#REF!</v>
      </c>
      <c r="F52" s="104" t="str">
        <f>' Accting USE Data Entry Form'!A107</f>
        <v>Procurement Entered By:  ________________________________________________________________</v>
      </c>
    </row>
    <row r="53" spans="5:6" x14ac:dyDescent="0.25">
      <c r="E53" s="104" t="str">
        <f>IF(' Accting USE Data Entry Form'!B105&gt;0,' Accting USE Data Entry Form'!B105,"")</f>
        <v/>
      </c>
      <c r="F53" s="104">
        <f>' Accting USE Data Entry Form'!A108</f>
        <v>0</v>
      </c>
    </row>
    <row r="54" spans="5:6" x14ac:dyDescent="0.25">
      <c r="E54" s="104" t="str">
        <f>IF(' Accting USE Data Entry Form'!B106&gt;0,' Accting USE Data Entry Form'!B106,"")</f>
        <v/>
      </c>
      <c r="F54" s="104">
        <f>' Accting USE Data Entry Form'!A109</f>
        <v>0</v>
      </c>
    </row>
    <row r="55" spans="5:6" x14ac:dyDescent="0.25">
      <c r="E55" s="104" t="str">
        <f>IF(' Accting USE Data Entry Form'!B107&gt;0,' Accting USE Data Entry Form'!B107,"")</f>
        <v/>
      </c>
      <c r="F55" s="104" t="str">
        <f>' Accting USE Data Entry Form'!A110</f>
        <v>Procurement Data Entry Verified By:  _______________________________________________________</v>
      </c>
    </row>
    <row r="56" spans="5:6" x14ac:dyDescent="0.25">
      <c r="E56" s="104" t="str">
        <f>IF(' Accting USE Data Entry Form'!B108&gt;0,' Accting USE Data Entry Form'!B108,"")</f>
        <v/>
      </c>
      <c r="F56" s="104">
        <f>' Accting USE Data Entry Form'!A111</f>
        <v>0</v>
      </c>
    </row>
    <row r="57" spans="5:6" x14ac:dyDescent="0.25">
      <c r="E57" s="104" t="str">
        <f>IF(' Accting USE Data Entry Form'!B109&gt;0,' Accting USE Data Entry Form'!B109,"")</f>
        <v/>
      </c>
      <c r="F57" s="104">
        <f>' Accting USE Data Entry Form'!A112</f>
        <v>0</v>
      </c>
    </row>
    <row r="58" spans="5:6" x14ac:dyDescent="0.25">
      <c r="E58" s="104" t="str">
        <f>IF(' Accting USE Data Entry Form'!B110&gt;0,' Accting USE Data Entry Form'!B110,"")</f>
        <v/>
      </c>
      <c r="F58" s="104">
        <f>' Accting USE Data Entry Form'!A113</f>
        <v>0</v>
      </c>
    </row>
    <row r="59" spans="5:6" x14ac:dyDescent="0.25">
      <c r="E59" s="104" t="str">
        <f>IF(' Accting USE Data Entry Form'!B111&gt;0,' Accting USE Data Entry Form'!B111,"")</f>
        <v/>
      </c>
      <c r="F59" s="104">
        <f>' Accting USE Data Entry Form'!A114</f>
        <v>0</v>
      </c>
    </row>
    <row r="60" spans="5:6" x14ac:dyDescent="0.25">
      <c r="E60" s="104" t="str">
        <f>IF(' Accting USE Data Entry Form'!B112&gt;0,' Accting USE Data Entry Form'!B112,"")</f>
        <v/>
      </c>
      <c r="F60" s="104">
        <f>' Accting USE Data Entry Form'!A115</f>
        <v>0</v>
      </c>
    </row>
    <row r="61" spans="5:6" x14ac:dyDescent="0.25">
      <c r="E61" s="104" t="str">
        <f>IF(' Accting USE Data Entry Form'!B113&gt;0,' Accting USE Data Entry Form'!B113,"")</f>
        <v/>
      </c>
      <c r="F61" s="104">
        <f>' Accting USE Data Entry Form'!A116</f>
        <v>0</v>
      </c>
    </row>
    <row r="62" spans="5:6" x14ac:dyDescent="0.25">
      <c r="E62" s="104" t="str">
        <f>IF(' Accting USE Data Entry Form'!B114&gt;0,' Accting USE Data Entry Form'!B114,"")</f>
        <v/>
      </c>
      <c r="F62" s="104">
        <f>' Accting USE Data Entry Form'!A117</f>
        <v>0</v>
      </c>
    </row>
    <row r="63" spans="5:6" x14ac:dyDescent="0.25">
      <c r="F63" s="104">
        <f>' Accting USE Data Entry Form'!A118</f>
        <v>0</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11.xml>��< ? x m l   v e r s i o n = " 1 . 0 "   e n c o d i n g = " U T F - 1 6 " ? > < G e m i n i   x m l n s = " h t t p : / / g e m i n i / p i v o t c u s t o m i z a t i o n / I s S a n d b o x E m b e d d e d " > < C u s t o m C o n t e n t > < ! [ C D A T A [ y e s ] ] > < / C u s t o m C o n t e n t > < / G e m i n i > 
</file>

<file path=customXml/item1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3.xml>��< ? x m l   v e r s i o n = " 1 . 0 "   e n c o d i n g = " U T F - 1 6 " ? > < G e m i n i   x m l n s = " h t t p : / / g e m i n i / p i v o t c u s t o m i z a t i o n / C l i e n t W i n d o w X M L " > < C u s t o m C o n t e n t > < ! [ C D A T A [ C a v i t y S t a t u s ] ] > < / 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5.xml>��< ? x m l   v e r s i o n = " 1 . 0 "   e n c o d i n g = " U T F - 1 6 " ? > < G e m i n i   x m l n s = " h t t p : / / g e m i n i / p i v o t c u s t o m i z a t i o n / T a b l e O r d e r " > < C u s t o m C o n t e n t > C a v i t y S t a t u s , A c c r u a l s < / C u s t o m C o n t e n t > < / G e m i n i > 
</file>

<file path=customXml/item16.xml>��< ? x m l   v e r s i o n = " 1 . 0 "   e n c o d i n g = " U T F - 1 6 " ? > < G e m i n i   x m l n s = " h t t p : / / g e m i n i / p i v o t c u s t o m i z a t i o n / M a n u a l C a l c M o d e " > < C u s t o m C o n t e n t > < ! [ C D A T A [ F a l s e ] ] > < / C u s t o m C o n t e n t > < / G e m i n i > 
</file>

<file path=customXml/item17.xml>��< ? x m l   v e r s i o n = " 1 . 0 "   e n c o d i n g = " U T F - 1 6 " ? > < G e m i n i   x m l n s = " h t t p : / / g e m i n i / p i v o t c u s t o m i z a t i o n / P o w e r P i v o t V e r s i o n " > < C u s t o m C o n t e n t > < ! [ C D A T A [ 1 1 . 0 . 9 1 6 6 . 1 5 8 ] ] > < / 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T a b l e C o u n t I n S a n d b o x " > < C u s t o m C o n t e n t > 2 < / C u s t o m C o n t e n t > < / G e m i n i > 
</file>

<file path=customXml/item2.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S a n d b o x N o n E m p t y " > < C u s t o m C o n t e n t > < ! [ C D A T A [ 1 ] ] > < / 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8.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9.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Props1.xml><?xml version="1.0" encoding="utf-8"?>
<ds:datastoreItem xmlns:ds="http://schemas.openxmlformats.org/officeDocument/2006/customXml" ds:itemID="{77AEADC9-0304-4847-ADB2-7BE3685E21C1}">
  <ds:schemaRefs/>
</ds:datastoreItem>
</file>

<file path=customXml/itemProps10.xml><?xml version="1.0" encoding="utf-8"?>
<ds:datastoreItem xmlns:ds="http://schemas.openxmlformats.org/officeDocument/2006/customXml" ds:itemID="{F3ADA0BA-8286-4D01-89AB-937806D58052}">
  <ds:schemaRefs/>
</ds:datastoreItem>
</file>

<file path=customXml/itemProps11.xml><?xml version="1.0" encoding="utf-8"?>
<ds:datastoreItem xmlns:ds="http://schemas.openxmlformats.org/officeDocument/2006/customXml" ds:itemID="{1ED25CF4-D4EC-47BA-A3D0-1EA8F36EE2BB}">
  <ds:schemaRefs/>
</ds:datastoreItem>
</file>

<file path=customXml/itemProps12.xml><?xml version="1.0" encoding="utf-8"?>
<ds:datastoreItem xmlns:ds="http://schemas.openxmlformats.org/officeDocument/2006/customXml" ds:itemID="{31B9F0FA-471B-4456-A149-D1D4A29096E7}">
  <ds:schemaRefs/>
</ds:datastoreItem>
</file>

<file path=customXml/itemProps13.xml><?xml version="1.0" encoding="utf-8"?>
<ds:datastoreItem xmlns:ds="http://schemas.openxmlformats.org/officeDocument/2006/customXml" ds:itemID="{835FD945-A2A3-4603-B7F9-7EC55525F852}">
  <ds:schemaRefs/>
</ds:datastoreItem>
</file>

<file path=customXml/itemProps14.xml><?xml version="1.0" encoding="utf-8"?>
<ds:datastoreItem xmlns:ds="http://schemas.openxmlformats.org/officeDocument/2006/customXml" ds:itemID="{DBC45318-2BCA-4ECE-BAE9-467F599FA01B}">
  <ds:schemaRefs/>
</ds:datastoreItem>
</file>

<file path=customXml/itemProps15.xml><?xml version="1.0" encoding="utf-8"?>
<ds:datastoreItem xmlns:ds="http://schemas.openxmlformats.org/officeDocument/2006/customXml" ds:itemID="{C5759F49-E357-47D8-A33E-84DEB770A91D}">
  <ds:schemaRefs/>
</ds:datastoreItem>
</file>

<file path=customXml/itemProps16.xml><?xml version="1.0" encoding="utf-8"?>
<ds:datastoreItem xmlns:ds="http://schemas.openxmlformats.org/officeDocument/2006/customXml" ds:itemID="{C40B6D35-CBFC-4081-98C4-51444092CA67}">
  <ds:schemaRefs/>
</ds:datastoreItem>
</file>

<file path=customXml/itemProps17.xml><?xml version="1.0" encoding="utf-8"?>
<ds:datastoreItem xmlns:ds="http://schemas.openxmlformats.org/officeDocument/2006/customXml" ds:itemID="{23AE241C-8312-418E-8DE9-9099AA39A41B}">
  <ds:schemaRefs/>
</ds:datastoreItem>
</file>

<file path=customXml/itemProps18.xml><?xml version="1.0" encoding="utf-8"?>
<ds:datastoreItem xmlns:ds="http://schemas.openxmlformats.org/officeDocument/2006/customXml" ds:itemID="{829E1F48-5437-4FA0-9BC7-6C671ED32989}">
  <ds:schemaRefs/>
</ds:datastoreItem>
</file>

<file path=customXml/itemProps19.xml><?xml version="1.0" encoding="utf-8"?>
<ds:datastoreItem xmlns:ds="http://schemas.openxmlformats.org/officeDocument/2006/customXml" ds:itemID="{5D4B0DCA-5934-43E5-8FFD-72EE27B27756}">
  <ds:schemaRefs/>
</ds:datastoreItem>
</file>

<file path=customXml/itemProps2.xml><?xml version="1.0" encoding="utf-8"?>
<ds:datastoreItem xmlns:ds="http://schemas.openxmlformats.org/officeDocument/2006/customXml" ds:itemID="{1F0BAA02-7DB9-49E5-B473-C751C6AB17FC}">
  <ds:schemaRefs/>
</ds:datastoreItem>
</file>

<file path=customXml/itemProps3.xml><?xml version="1.0" encoding="utf-8"?>
<ds:datastoreItem xmlns:ds="http://schemas.openxmlformats.org/officeDocument/2006/customXml" ds:itemID="{0621F163-4643-42E6-8C97-D89F8447F949}">
  <ds:schemaRefs/>
</ds:datastoreItem>
</file>

<file path=customXml/itemProps4.xml><?xml version="1.0" encoding="utf-8"?>
<ds:datastoreItem xmlns:ds="http://schemas.openxmlformats.org/officeDocument/2006/customXml" ds:itemID="{383A9B03-2599-4D31-A54B-D58421C3CE62}">
  <ds:schemaRefs/>
</ds:datastoreItem>
</file>

<file path=customXml/itemProps5.xml><?xml version="1.0" encoding="utf-8"?>
<ds:datastoreItem xmlns:ds="http://schemas.openxmlformats.org/officeDocument/2006/customXml" ds:itemID="{104FE832-A27E-4430-BDF8-9BE65D16A4FE}">
  <ds:schemaRefs/>
</ds:datastoreItem>
</file>

<file path=customXml/itemProps6.xml><?xml version="1.0" encoding="utf-8"?>
<ds:datastoreItem xmlns:ds="http://schemas.openxmlformats.org/officeDocument/2006/customXml" ds:itemID="{1A201BD1-D404-4F2D-AA95-68479F95CA28}">
  <ds:schemaRefs/>
</ds:datastoreItem>
</file>

<file path=customXml/itemProps7.xml><?xml version="1.0" encoding="utf-8"?>
<ds:datastoreItem xmlns:ds="http://schemas.openxmlformats.org/officeDocument/2006/customXml" ds:itemID="{F21940E7-EC6A-465F-BA37-A3CAA07719CD}">
  <ds:schemaRefs/>
</ds:datastoreItem>
</file>

<file path=customXml/itemProps8.xml><?xml version="1.0" encoding="utf-8"?>
<ds:datastoreItem xmlns:ds="http://schemas.openxmlformats.org/officeDocument/2006/customXml" ds:itemID="{9464F929-709F-4BEC-90E6-AD65C2A93FB5}">
  <ds:schemaRefs/>
</ds:datastoreItem>
</file>

<file path=customXml/itemProps9.xml><?xml version="1.0" encoding="utf-8"?>
<ds:datastoreItem xmlns:ds="http://schemas.openxmlformats.org/officeDocument/2006/customXml" ds:itemID="{308A2BEA-A1CA-4113-BF8D-9CF8E3F0DC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Accrual Details</vt:lpstr>
      <vt:lpstr>Invoices</vt:lpstr>
      <vt:lpstr>Sheet1</vt:lpstr>
      <vt:lpstr>Cavity Status</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2017-04-28T14:26:13Z</dcterms:modified>
</cp:coreProperties>
</file>