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hidePivotFieldList="1" defaultThemeVersion="124226"/>
  <mc:AlternateContent xmlns:mc="http://schemas.openxmlformats.org/markup-compatibility/2006">
    <mc:Choice Requires="x15">
      <x15ac:absPath xmlns:x15ac="http://schemas.microsoft.com/office/spreadsheetml/2010/11/ac" url="C:\Users\jarrod\Desktop\1. Dashboard\Accruals\"/>
    </mc:Choice>
  </mc:AlternateContent>
  <bookViews>
    <workbookView xWindow="480" yWindow="108" windowWidth="11352" windowHeight="8388"/>
  </bookViews>
  <sheets>
    <sheet name="Form" sheetId="1" r:id="rId1"/>
    <sheet name="Process" sheetId="4" r:id="rId2"/>
    <sheet name=" Accting USE Data Entry Form" sheetId="3" r:id="rId3"/>
    <sheet name="Accrual Details" sheetId="8" state="hidden" r:id="rId4"/>
    <sheet name="Invoices" sheetId="6" r:id="rId5"/>
    <sheet name="Sheet1" sheetId="9" state="hidden" r:id="rId6"/>
    <sheet name="Cavity Status" sheetId="7" r:id="rId7"/>
    <sheet name="Accept" sheetId="11" r:id="rId8"/>
    <sheet name="Incentivized Schedule" sheetId="10" r:id="rId9"/>
    <sheet name="List" sheetId="5" r:id="rId10"/>
  </sheets>
  <externalReferences>
    <externalReference r:id="rId11"/>
  </externalReferences>
  <definedNames>
    <definedName name="_xlnm._FilterDatabase" localSheetId="0" hidden="1">Form!$A$7:$L$113</definedName>
    <definedName name="_xlnm._FilterDatabase" localSheetId="9" hidden="1">List!$E$2:$F$62</definedName>
    <definedName name="_xlcn.LinkedTable_Accruals1" hidden="1">' Accting USE Data Entry Form'!$A$10:$AA$104</definedName>
    <definedName name="_xlcn.LinkedTable_CavityStatus1" hidden="1">CavityStatus[]</definedName>
    <definedName name="FNALDESPH3">[1]Details!$F$6</definedName>
    <definedName name="RICavMilestoneVal">List!$Y$3</definedName>
  </definedNames>
  <calcPr calcId="162913"/>
  <extLst>
    <ext xmlns:x15="http://schemas.microsoft.com/office/spreadsheetml/2010/11/main" uri="{FCE2AD5D-F65C-4FA6-A056-5C36A1767C68}">
      <x15:dataModel>
        <x15:modelTables>
          <x15:modelTable id="CavityStatus" name="CavityStatus" connection="LinkedTable_CavityStatus"/>
          <x15:modelTable id="Accruals" name="Accruals" connection="LinkedTable_Accruals"/>
        </x15:modelTables>
        <x15:modelRelationships>
          <x15:modelRelationship fromTable="CavityStatus" fromColumn="M/S#" toTable="Accruals" toColumn="PO Line #"/>
        </x15:modelRelationships>
        <x15:extLst>
          <ext xmlns:x16="http://schemas.microsoft.com/office/spreadsheetml/2014/11/main" uri="{9835A34E-60A6-4A7C-AAB8-D5F71C897F49}">
            <x16:modelTimeGroupings>
              <x16:modelTimeGrouping tableName="CavityStatus" columnName="Ship Date" columnId="Ship Date">
                <x16:calculatedTimeColumn columnName="Ship Date (Month Index)" columnId="Ship Date (Month Index)" contentType="monthsindex" isSelected="1"/>
                <x16:calculatedTimeColumn columnName="Ship Date (Month)" columnId="Ship Date (Month)" contentType="months" isSelected="1"/>
              </x16:modelTimeGrouping>
            </x16:modelTimeGroupings>
          </ext>
        </x15:extLst>
      </x15:dataModel>
    </ext>
  </extLst>
</workbook>
</file>

<file path=xl/calcChain.xml><?xml version="1.0" encoding="utf-8"?>
<calcChain xmlns="http://schemas.openxmlformats.org/spreadsheetml/2006/main">
  <c r="C105" i="1" l="1"/>
  <c r="C106" i="1"/>
  <c r="C107" i="1"/>
  <c r="C108" i="1"/>
  <c r="C109" i="1"/>
  <c r="C110" i="1"/>
  <c r="C111" i="1"/>
  <c r="C112" i="1"/>
  <c r="C113" i="1"/>
  <c r="C90" i="1"/>
  <c r="C91" i="1"/>
  <c r="C92" i="1"/>
  <c r="C93" i="1"/>
  <c r="C94" i="1"/>
  <c r="C95" i="1"/>
  <c r="C96" i="1"/>
  <c r="C97" i="1"/>
  <c r="C98" i="1"/>
  <c r="C99" i="1"/>
  <c r="C100" i="1"/>
  <c r="C101" i="1"/>
  <c r="C102" i="1"/>
  <c r="C103" i="1"/>
  <c r="C104" i="1"/>
  <c r="V93" i="3"/>
  <c r="V94" i="3"/>
  <c r="V95" i="3"/>
  <c r="V96" i="3"/>
  <c r="V97" i="3"/>
  <c r="V98" i="3"/>
  <c r="V99" i="3"/>
  <c r="V100" i="3"/>
  <c r="N59" i="3" l="1"/>
  <c r="N58" i="3"/>
  <c r="L228" i="7" l="1"/>
  <c r="F77" i="11"/>
  <c r="F78" i="11"/>
  <c r="F79" i="11"/>
  <c r="F80" i="11"/>
  <c r="F81" i="11"/>
  <c r="F82" i="11"/>
  <c r="F83" i="11"/>
  <c r="F84" i="11"/>
  <c r="F85" i="11"/>
  <c r="F86" i="11"/>
  <c r="F87" i="11"/>
  <c r="F88" i="11"/>
  <c r="F89" i="11"/>
  <c r="F90" i="11"/>
  <c r="F91" i="11"/>
  <c r="F92" i="11"/>
  <c r="F93" i="11"/>
  <c r="F94" i="11"/>
  <c r="F95" i="11"/>
  <c r="F96" i="11"/>
  <c r="F97" i="11"/>
  <c r="F98" i="11"/>
  <c r="F99" i="11"/>
  <c r="F100" i="11"/>
  <c r="F101" i="11"/>
  <c r="F102" i="11"/>
  <c r="F103" i="11"/>
  <c r="F104" i="11"/>
  <c r="F105" i="11"/>
  <c r="F106" i="11"/>
  <c r="F107" i="11"/>
  <c r="F108" i="11"/>
  <c r="F109" i="11"/>
  <c r="F110" i="11"/>
  <c r="F111" i="11"/>
  <c r="F112" i="11"/>
  <c r="F113" i="11"/>
  <c r="F114" i="11"/>
  <c r="F115" i="11"/>
  <c r="F116" i="11"/>
  <c r="F117" i="11"/>
  <c r="F118" i="11"/>
  <c r="F119" i="11"/>
  <c r="F120" i="11"/>
  <c r="F121" i="11"/>
  <c r="F122" i="11"/>
  <c r="F123" i="11"/>
  <c r="F124" i="11"/>
  <c r="F125" i="11"/>
  <c r="F126" i="11"/>
  <c r="F127" i="11"/>
  <c r="F128" i="11"/>
  <c r="F129" i="11"/>
  <c r="F130" i="11"/>
  <c r="F131" i="11"/>
  <c r="F132" i="11"/>
  <c r="F133" i="11"/>
  <c r="F134" i="11"/>
  <c r="F135" i="11"/>
  <c r="F136" i="11"/>
  <c r="F137" i="11"/>
  <c r="F138" i="11"/>
  <c r="F139" i="11"/>
  <c r="F140" i="11"/>
  <c r="F141" i="11"/>
  <c r="F142" i="11"/>
  <c r="F143" i="11"/>
  <c r="F144" i="11"/>
  <c r="F145" i="11"/>
  <c r="F146" i="11"/>
  <c r="F147" i="11"/>
  <c r="F148" i="11"/>
  <c r="F149" i="11"/>
  <c r="F150" i="11"/>
  <c r="F151" i="11"/>
  <c r="F152" i="11"/>
  <c r="F153" i="11"/>
  <c r="F154" i="11"/>
  <c r="F155" i="11"/>
  <c r="F156" i="11"/>
  <c r="F157" i="11"/>
  <c r="F158" i="11"/>
  <c r="F159" i="11"/>
  <c r="F160" i="11"/>
  <c r="F161" i="11"/>
  <c r="F162" i="11"/>
  <c r="F163" i="11"/>
  <c r="F164" i="11"/>
  <c r="F165" i="11"/>
  <c r="F166" i="11"/>
  <c r="F167" i="11"/>
  <c r="F168" i="11"/>
  <c r="F169" i="11"/>
  <c r="F170" i="11"/>
  <c r="F171" i="11"/>
  <c r="F172" i="11"/>
  <c r="F173" i="11"/>
  <c r="F174" i="11"/>
  <c r="F175" i="11"/>
  <c r="F176" i="11"/>
  <c r="F177" i="11"/>
  <c r="F178" i="11"/>
  <c r="F179" i="11"/>
  <c r="F180" i="11"/>
  <c r="F181" i="11"/>
  <c r="F182" i="11"/>
  <c r="F183" i="11"/>
  <c r="F184" i="11"/>
  <c r="F185" i="11"/>
  <c r="F186" i="11"/>
  <c r="F187" i="11"/>
  <c r="F188" i="11"/>
  <c r="F189" i="11"/>
  <c r="F190" i="11"/>
  <c r="F191" i="11"/>
  <c r="F192" i="11"/>
  <c r="F193" i="11"/>
  <c r="F194" i="11"/>
  <c r="F195" i="11"/>
  <c r="F196" i="11"/>
  <c r="F197" i="11"/>
  <c r="F198" i="11"/>
  <c r="F199" i="11"/>
  <c r="F200" i="11"/>
  <c r="F201" i="11"/>
  <c r="F202" i="11"/>
  <c r="F203" i="11"/>
  <c r="F204" i="11"/>
  <c r="F205" i="11"/>
  <c r="F206" i="11"/>
  <c r="F207" i="11"/>
  <c r="F208" i="11"/>
  <c r="F209" i="11"/>
  <c r="F210" i="11"/>
  <c r="F211" i="11"/>
  <c r="F212" i="11"/>
  <c r="F213" i="11"/>
  <c r="F214" i="11"/>
  <c r="F215" i="11"/>
  <c r="F216" i="11"/>
  <c r="F217" i="11"/>
  <c r="F218" i="11"/>
  <c r="F219" i="11"/>
  <c r="F220" i="11"/>
  <c r="F221" i="11"/>
  <c r="F222" i="11"/>
  <c r="F223" i="11"/>
  <c r="F224" i="11"/>
  <c r="G90" i="1" l="1"/>
  <c r="G91" i="1"/>
  <c r="G92" i="1"/>
  <c r="G93" i="1"/>
  <c r="G94" i="1"/>
  <c r="G95" i="1"/>
  <c r="G96" i="1"/>
  <c r="G97" i="1"/>
  <c r="G98" i="1"/>
  <c r="G99" i="1"/>
  <c r="G100" i="1"/>
  <c r="G101" i="1"/>
  <c r="G102" i="1"/>
  <c r="G103" i="1"/>
  <c r="G104" i="1"/>
  <c r="G105" i="1"/>
  <c r="G106" i="1"/>
  <c r="G107" i="1"/>
  <c r="G108" i="1"/>
  <c r="G109" i="1"/>
  <c r="G110" i="1"/>
  <c r="G111" i="1"/>
  <c r="G112" i="1"/>
  <c r="G113" i="1"/>
  <c r="W95" i="3"/>
  <c r="W96" i="3"/>
  <c r="W97" i="3"/>
  <c r="W98" i="3"/>
  <c r="W99" i="3"/>
  <c r="W100" i="3"/>
  <c r="W101" i="3"/>
  <c r="W102" i="3"/>
  <c r="W103" i="3"/>
  <c r="W104" i="3"/>
  <c r="J228" i="7"/>
  <c r="N105" i="3" l="1"/>
  <c r="O105" i="3"/>
  <c r="P105" i="3"/>
  <c r="Q105" i="3"/>
  <c r="R105" i="3"/>
  <c r="S105" i="3"/>
  <c r="T105" i="3"/>
  <c r="X104" i="3"/>
  <c r="Z104" i="3" s="1"/>
  <c r="K105" i="3"/>
  <c r="L105" i="3"/>
  <c r="I105" i="3"/>
  <c r="H105" i="3"/>
  <c r="G105" i="3"/>
  <c r="M105" i="3"/>
  <c r="E105" i="3"/>
  <c r="K4" i="11"/>
  <c r="K5" i="11"/>
  <c r="K6" i="11"/>
  <c r="K7" i="11"/>
  <c r="K8" i="11"/>
  <c r="K9" i="11"/>
  <c r="K10" i="11"/>
  <c r="K11" i="11"/>
  <c r="K12" i="11"/>
  <c r="K13" i="11"/>
  <c r="K14" i="11"/>
  <c r="K15" i="11"/>
  <c r="K16" i="11"/>
  <c r="K17" i="11"/>
  <c r="K18" i="11"/>
  <c r="K19" i="11"/>
  <c r="K20" i="11"/>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51" i="11"/>
  <c r="K52" i="11"/>
  <c r="K53" i="11"/>
  <c r="K54" i="11"/>
  <c r="K55" i="11"/>
  <c r="K56" i="11"/>
  <c r="K57" i="11"/>
  <c r="K58" i="11"/>
  <c r="K59" i="11"/>
  <c r="K60" i="11"/>
  <c r="K61" i="11"/>
  <c r="K62" i="11"/>
  <c r="K63" i="11"/>
  <c r="K64" i="11"/>
  <c r="K65" i="11"/>
  <c r="K66" i="11"/>
  <c r="K67" i="11"/>
  <c r="K68" i="11"/>
  <c r="K69" i="11"/>
  <c r="K70" i="11"/>
  <c r="K71" i="11"/>
  <c r="K72" i="11"/>
  <c r="K73" i="11"/>
  <c r="K74" i="11"/>
  <c r="K75" i="11"/>
  <c r="K76" i="11"/>
  <c r="K77" i="11"/>
  <c r="K78" i="11"/>
  <c r="K79" i="11"/>
  <c r="K80" i="11"/>
  <c r="K81" i="11"/>
  <c r="K82" i="11"/>
  <c r="K83" i="11"/>
  <c r="K84" i="11"/>
  <c r="K85" i="11"/>
  <c r="K86" i="11"/>
  <c r="K87" i="11"/>
  <c r="K88" i="11"/>
  <c r="K89" i="11"/>
  <c r="K90" i="11"/>
  <c r="K91" i="11"/>
  <c r="K92" i="11"/>
  <c r="K93" i="11"/>
  <c r="K94" i="11"/>
  <c r="K95" i="11"/>
  <c r="K96" i="11"/>
  <c r="K97" i="11"/>
  <c r="K98" i="11"/>
  <c r="K99" i="11"/>
  <c r="K100" i="11"/>
  <c r="K101" i="11"/>
  <c r="K102" i="11"/>
  <c r="K103" i="11"/>
  <c r="K104" i="11"/>
  <c r="K105" i="11"/>
  <c r="K106" i="11"/>
  <c r="K107" i="11"/>
  <c r="K108" i="11"/>
  <c r="K109" i="11"/>
  <c r="K110" i="11"/>
  <c r="K111" i="11"/>
  <c r="K112" i="11"/>
  <c r="K113" i="11"/>
  <c r="K114" i="11"/>
  <c r="K115" i="11"/>
  <c r="K116" i="11"/>
  <c r="K117" i="11"/>
  <c r="K118" i="11"/>
  <c r="K119" i="11"/>
  <c r="K120" i="11"/>
  <c r="K121" i="11"/>
  <c r="K122" i="11"/>
  <c r="K123" i="11"/>
  <c r="K124" i="11"/>
  <c r="K125" i="11"/>
  <c r="K126" i="11"/>
  <c r="K127" i="11"/>
  <c r="K128" i="11"/>
  <c r="K129" i="11"/>
  <c r="K130" i="11"/>
  <c r="K131" i="11"/>
  <c r="K132" i="11"/>
  <c r="K133" i="11"/>
  <c r="K134" i="11"/>
  <c r="K135" i="11"/>
  <c r="K136" i="11"/>
  <c r="K137" i="11"/>
  <c r="K138" i="11"/>
  <c r="K139" i="11"/>
  <c r="K140" i="11"/>
  <c r="K141" i="11"/>
  <c r="K142" i="11"/>
  <c r="K143" i="11"/>
  <c r="K144" i="11"/>
  <c r="K145" i="11"/>
  <c r="K146" i="11"/>
  <c r="K147" i="11"/>
  <c r="K148" i="11"/>
  <c r="K149" i="11"/>
  <c r="K150" i="11"/>
  <c r="K151" i="11"/>
  <c r="K152" i="11"/>
  <c r="K153" i="11"/>
  <c r="K154" i="11"/>
  <c r="K155" i="11"/>
  <c r="K156" i="11"/>
  <c r="K157" i="11"/>
  <c r="K158" i="11"/>
  <c r="K159" i="11"/>
  <c r="K160" i="11"/>
  <c r="K161" i="11"/>
  <c r="K162" i="11"/>
  <c r="K163" i="11"/>
  <c r="K164" i="11"/>
  <c r="K165" i="11"/>
  <c r="K166" i="11"/>
  <c r="K167" i="11"/>
  <c r="K168" i="11"/>
  <c r="K169" i="11"/>
  <c r="K170" i="11"/>
  <c r="K171" i="11"/>
  <c r="K172" i="11"/>
  <c r="K173" i="11"/>
  <c r="K174" i="11"/>
  <c r="K175" i="11"/>
  <c r="K176" i="11"/>
  <c r="K177" i="11"/>
  <c r="K178" i="11"/>
  <c r="K179" i="11"/>
  <c r="K180" i="11"/>
  <c r="K181" i="11"/>
  <c r="K182" i="11"/>
  <c r="K183" i="11"/>
  <c r="K184" i="11"/>
  <c r="K185" i="11"/>
  <c r="K186" i="11"/>
  <c r="K187" i="11"/>
  <c r="K188" i="11"/>
  <c r="K189" i="11"/>
  <c r="K190" i="11"/>
  <c r="K191" i="11"/>
  <c r="K192" i="11"/>
  <c r="K193" i="11"/>
  <c r="K194" i="11"/>
  <c r="K195" i="11"/>
  <c r="K196" i="11"/>
  <c r="K197" i="11"/>
  <c r="K198" i="11"/>
  <c r="K199" i="11"/>
  <c r="K200" i="11"/>
  <c r="K201" i="11"/>
  <c r="K202" i="11"/>
  <c r="K203" i="11"/>
  <c r="K204" i="11"/>
  <c r="K205" i="11"/>
  <c r="K206" i="11"/>
  <c r="K207" i="11"/>
  <c r="K208" i="11"/>
  <c r="K209" i="11"/>
  <c r="K210" i="11"/>
  <c r="K211" i="11"/>
  <c r="K212" i="11"/>
  <c r="K213" i="11"/>
  <c r="K214" i="11"/>
  <c r="K215" i="11"/>
  <c r="K216" i="11"/>
  <c r="K217" i="11"/>
  <c r="K218" i="11"/>
  <c r="K219" i="11"/>
  <c r="K220" i="11"/>
  <c r="K221" i="11"/>
  <c r="K222" i="11"/>
  <c r="K223" i="11"/>
  <c r="K224" i="11"/>
  <c r="K225" i="11"/>
  <c r="K226" i="11"/>
  <c r="K227" i="11"/>
  <c r="F4" i="11"/>
  <c r="F5" i="11"/>
  <c r="F6" i="11"/>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1" i="11"/>
  <c r="F62" i="11"/>
  <c r="F63" i="11"/>
  <c r="F64" i="11"/>
  <c r="F65" i="11"/>
  <c r="F66" i="11"/>
  <c r="F67" i="11"/>
  <c r="F68" i="11"/>
  <c r="F69" i="11"/>
  <c r="F70" i="11"/>
  <c r="F71" i="11"/>
  <c r="F72" i="11"/>
  <c r="F73" i="11"/>
  <c r="F74" i="11"/>
  <c r="F75" i="11"/>
  <c r="F76" i="11"/>
  <c r="F225" i="11"/>
  <c r="F226" i="11"/>
  <c r="F227" i="11"/>
  <c r="D4" i="11"/>
  <c r="D5"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3" i="11"/>
  <c r="D94" i="11"/>
  <c r="D95" i="11"/>
  <c r="D96" i="11"/>
  <c r="D99" i="11"/>
  <c r="D100" i="11"/>
  <c r="D101" i="11"/>
  <c r="D102" i="11"/>
  <c r="D103" i="11"/>
  <c r="D104" i="11"/>
  <c r="D10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B4" i="11"/>
  <c r="B5" i="11"/>
  <c r="B6" i="11"/>
  <c r="B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38" i="11"/>
  <c r="B139" i="11"/>
  <c r="B140" i="11"/>
  <c r="B141" i="11"/>
  <c r="B142" i="11"/>
  <c r="B143" i="11"/>
  <c r="B144" i="11"/>
  <c r="B145" i="11"/>
  <c r="B146" i="11"/>
  <c r="B147" i="11"/>
  <c r="B148" i="11"/>
  <c r="B149" i="11"/>
  <c r="B150" i="11"/>
  <c r="B151" i="11"/>
  <c r="B152" i="11"/>
  <c r="B153" i="11"/>
  <c r="B154" i="11"/>
  <c r="B155" i="11"/>
  <c r="B156" i="11"/>
  <c r="B157" i="11"/>
  <c r="B158" i="11"/>
  <c r="B159" i="11"/>
  <c r="B160" i="11"/>
  <c r="B161" i="11"/>
  <c r="B162" i="11"/>
  <c r="B163" i="11"/>
  <c r="B164" i="11"/>
  <c r="B165" i="11"/>
  <c r="B166" i="11"/>
  <c r="B167" i="11"/>
  <c r="B168" i="11"/>
  <c r="B169" i="11"/>
  <c r="B170" i="11"/>
  <c r="B171" i="11"/>
  <c r="B172" i="11"/>
  <c r="B173" i="11"/>
  <c r="B174" i="11"/>
  <c r="B175" i="11"/>
  <c r="B176" i="11"/>
  <c r="B177" i="11"/>
  <c r="B178" i="11"/>
  <c r="B179" i="11"/>
  <c r="B180" i="11"/>
  <c r="B181" i="11"/>
  <c r="B182" i="11"/>
  <c r="B183" i="11"/>
  <c r="B184" i="11"/>
  <c r="B185" i="11"/>
  <c r="B186" i="11"/>
  <c r="B187" i="11"/>
  <c r="B188" i="11"/>
  <c r="B189" i="11"/>
  <c r="B190" i="11"/>
  <c r="B191" i="11"/>
  <c r="B192" i="11"/>
  <c r="B193" i="11"/>
  <c r="B194" i="11"/>
  <c r="B195" i="11"/>
  <c r="B196" i="11"/>
  <c r="B197" i="11"/>
  <c r="B198" i="11"/>
  <c r="B199" i="11"/>
  <c r="B200" i="11"/>
  <c r="B201" i="11"/>
  <c r="B202" i="11"/>
  <c r="B203" i="11"/>
  <c r="B204" i="11"/>
  <c r="B205" i="11"/>
  <c r="B206" i="11"/>
  <c r="B207" i="11"/>
  <c r="B208" i="11"/>
  <c r="B209" i="11"/>
  <c r="B210" i="11"/>
  <c r="B211" i="11"/>
  <c r="B212" i="11"/>
  <c r="B213" i="11"/>
  <c r="B214" i="11"/>
  <c r="B215" i="11"/>
  <c r="B216" i="11"/>
  <c r="B217" i="11"/>
  <c r="B218" i="11"/>
  <c r="B219" i="11"/>
  <c r="B220" i="11"/>
  <c r="B221" i="11"/>
  <c r="B222" i="11"/>
  <c r="B223" i="11"/>
  <c r="B224" i="11"/>
  <c r="B225" i="11"/>
  <c r="B226" i="11"/>
  <c r="B227" i="11"/>
  <c r="C4" i="11"/>
  <c r="E4" i="11"/>
  <c r="G4" i="11"/>
  <c r="H4" i="11"/>
  <c r="C5" i="11"/>
  <c r="G5" i="11"/>
  <c r="H5" i="11"/>
  <c r="C6" i="11"/>
  <c r="G6" i="11"/>
  <c r="H6" i="11"/>
  <c r="C7" i="11"/>
  <c r="G7" i="11"/>
  <c r="H7" i="11"/>
  <c r="C8" i="11"/>
  <c r="G8" i="11"/>
  <c r="H8" i="11"/>
  <c r="C9" i="11"/>
  <c r="G9" i="11"/>
  <c r="H9" i="11"/>
  <c r="C10" i="11"/>
  <c r="G10" i="11"/>
  <c r="H10" i="11"/>
  <c r="C11" i="11"/>
  <c r="G11" i="11"/>
  <c r="H11" i="11"/>
  <c r="C12" i="11"/>
  <c r="G12" i="11"/>
  <c r="H12" i="11"/>
  <c r="C13" i="11"/>
  <c r="G13" i="11"/>
  <c r="H13" i="11"/>
  <c r="C14" i="11"/>
  <c r="G14" i="11"/>
  <c r="H14" i="11"/>
  <c r="C15" i="11"/>
  <c r="G15" i="11"/>
  <c r="H15" i="11"/>
  <c r="C16" i="11"/>
  <c r="G16" i="11"/>
  <c r="H16" i="11"/>
  <c r="C17" i="11"/>
  <c r="G17" i="11"/>
  <c r="H17" i="11"/>
  <c r="C18" i="11"/>
  <c r="G18" i="11"/>
  <c r="H18" i="11"/>
  <c r="C19" i="11"/>
  <c r="G19" i="11"/>
  <c r="H19" i="11"/>
  <c r="C20" i="11"/>
  <c r="G20" i="11"/>
  <c r="H20" i="11"/>
  <c r="C21" i="11"/>
  <c r="G21" i="11"/>
  <c r="H21" i="11"/>
  <c r="C22" i="11"/>
  <c r="G22" i="11"/>
  <c r="H22" i="11"/>
  <c r="C23" i="11"/>
  <c r="G23" i="11"/>
  <c r="H23" i="11"/>
  <c r="C24" i="11"/>
  <c r="G24" i="11"/>
  <c r="H24" i="11"/>
  <c r="C25" i="11"/>
  <c r="G25" i="11"/>
  <c r="H25" i="11"/>
  <c r="C26" i="11"/>
  <c r="G26" i="11"/>
  <c r="H26" i="11"/>
  <c r="C27" i="11"/>
  <c r="G27" i="11"/>
  <c r="H27" i="11"/>
  <c r="C28" i="11"/>
  <c r="G28" i="11"/>
  <c r="H28" i="11"/>
  <c r="C29" i="11"/>
  <c r="G29" i="11"/>
  <c r="H29" i="11"/>
  <c r="C30" i="11"/>
  <c r="G30" i="11"/>
  <c r="H30" i="11"/>
  <c r="C31" i="11"/>
  <c r="G31" i="11"/>
  <c r="H31" i="11"/>
  <c r="C32" i="11"/>
  <c r="G32" i="11"/>
  <c r="H32" i="11"/>
  <c r="C33" i="11"/>
  <c r="G33" i="11"/>
  <c r="H33" i="11"/>
  <c r="C34" i="11"/>
  <c r="G34" i="11"/>
  <c r="H34" i="11"/>
  <c r="C35" i="11"/>
  <c r="G35" i="11"/>
  <c r="H35" i="11"/>
  <c r="C36" i="11"/>
  <c r="G36" i="11"/>
  <c r="H36" i="11"/>
  <c r="C37" i="11"/>
  <c r="G37" i="11"/>
  <c r="H37" i="11"/>
  <c r="C38" i="11"/>
  <c r="G38" i="11"/>
  <c r="H38" i="11"/>
  <c r="C39" i="11"/>
  <c r="G39" i="11"/>
  <c r="H39" i="11"/>
  <c r="C40" i="11"/>
  <c r="G40" i="11"/>
  <c r="H40" i="11"/>
  <c r="C41" i="11"/>
  <c r="G41" i="11"/>
  <c r="H41" i="11"/>
  <c r="C42" i="11"/>
  <c r="G42" i="11"/>
  <c r="H42" i="11"/>
  <c r="C43" i="11"/>
  <c r="G43" i="11"/>
  <c r="H43" i="11"/>
  <c r="C44" i="11"/>
  <c r="G44" i="11"/>
  <c r="H44" i="11"/>
  <c r="C45" i="11"/>
  <c r="G45" i="11"/>
  <c r="H45" i="11"/>
  <c r="C46" i="11"/>
  <c r="G46" i="11"/>
  <c r="H46" i="11"/>
  <c r="C47" i="11"/>
  <c r="G47" i="11"/>
  <c r="H47" i="11"/>
  <c r="C48" i="11"/>
  <c r="G48" i="11"/>
  <c r="H48" i="11"/>
  <c r="C49" i="11"/>
  <c r="G49" i="11"/>
  <c r="H49" i="11"/>
  <c r="C50" i="11"/>
  <c r="G50" i="11"/>
  <c r="H50" i="11"/>
  <c r="C51" i="11"/>
  <c r="G51" i="11"/>
  <c r="H51" i="11"/>
  <c r="C52" i="11"/>
  <c r="E52" i="11"/>
  <c r="G52" i="11"/>
  <c r="H52" i="11"/>
  <c r="C53" i="11"/>
  <c r="E53" i="11"/>
  <c r="G53" i="11"/>
  <c r="H53" i="11"/>
  <c r="C54" i="11"/>
  <c r="E54" i="11"/>
  <c r="G54" i="11"/>
  <c r="H54" i="11"/>
  <c r="C55" i="11"/>
  <c r="E55" i="11"/>
  <c r="G55" i="11"/>
  <c r="H55" i="11"/>
  <c r="C56" i="11"/>
  <c r="E56" i="11"/>
  <c r="G56" i="11"/>
  <c r="H56" i="11"/>
  <c r="C57" i="11"/>
  <c r="E57" i="11"/>
  <c r="G57" i="11"/>
  <c r="H57" i="11"/>
  <c r="C58" i="11"/>
  <c r="E58" i="11"/>
  <c r="G58" i="11"/>
  <c r="H58" i="11"/>
  <c r="C59" i="11"/>
  <c r="E59" i="11"/>
  <c r="G59" i="11"/>
  <c r="H59" i="11"/>
  <c r="C60" i="11"/>
  <c r="E60" i="11"/>
  <c r="G60" i="11"/>
  <c r="H60" i="11"/>
  <c r="C61" i="11"/>
  <c r="E61" i="11"/>
  <c r="G61" i="11"/>
  <c r="H61" i="11"/>
  <c r="C62" i="11"/>
  <c r="E62" i="11"/>
  <c r="G62" i="11"/>
  <c r="H62" i="11"/>
  <c r="C63" i="11"/>
  <c r="E63" i="11"/>
  <c r="G63" i="11"/>
  <c r="H63" i="11"/>
  <c r="C64" i="11"/>
  <c r="E64" i="11"/>
  <c r="G64" i="11"/>
  <c r="H64" i="11"/>
  <c r="C65" i="11"/>
  <c r="E65" i="11"/>
  <c r="G65" i="11"/>
  <c r="H65" i="11"/>
  <c r="C66" i="11"/>
  <c r="E66" i="11"/>
  <c r="G66" i="11"/>
  <c r="H66" i="11"/>
  <c r="C67" i="11"/>
  <c r="E67" i="11"/>
  <c r="G67" i="11"/>
  <c r="H67" i="11"/>
  <c r="C68" i="11"/>
  <c r="E68" i="11"/>
  <c r="G68" i="11"/>
  <c r="H68" i="11"/>
  <c r="C69" i="11"/>
  <c r="E69" i="11"/>
  <c r="G69" i="11"/>
  <c r="H69" i="11"/>
  <c r="C70" i="11"/>
  <c r="E70" i="11"/>
  <c r="G70" i="11"/>
  <c r="H70" i="11"/>
  <c r="C71" i="11"/>
  <c r="E71" i="11"/>
  <c r="G71" i="11"/>
  <c r="H71" i="11"/>
  <c r="C72" i="11"/>
  <c r="E72" i="11"/>
  <c r="G72" i="11"/>
  <c r="H72" i="11"/>
  <c r="C73" i="11"/>
  <c r="E73" i="11"/>
  <c r="G73" i="11"/>
  <c r="H73" i="11"/>
  <c r="C74" i="11"/>
  <c r="E74" i="11"/>
  <c r="G74" i="11"/>
  <c r="H74" i="11"/>
  <c r="C75" i="11"/>
  <c r="E75" i="11"/>
  <c r="G75" i="11"/>
  <c r="H75" i="11"/>
  <c r="C76" i="11"/>
  <c r="E76" i="11"/>
  <c r="G76" i="11"/>
  <c r="H76" i="11"/>
  <c r="C77" i="11"/>
  <c r="E77" i="11"/>
  <c r="G77" i="11"/>
  <c r="H77" i="11"/>
  <c r="C78" i="11"/>
  <c r="E78" i="11"/>
  <c r="G78" i="11"/>
  <c r="H78" i="11"/>
  <c r="C79" i="11"/>
  <c r="E79" i="11"/>
  <c r="G79" i="11"/>
  <c r="H79" i="11"/>
  <c r="C80" i="11"/>
  <c r="E80" i="11"/>
  <c r="G80" i="11"/>
  <c r="H80" i="11"/>
  <c r="C81" i="11"/>
  <c r="E81" i="11"/>
  <c r="G81" i="11"/>
  <c r="H81" i="11"/>
  <c r="C82" i="11"/>
  <c r="E82" i="11"/>
  <c r="G82" i="11"/>
  <c r="H82" i="11"/>
  <c r="C83" i="11"/>
  <c r="E83" i="11"/>
  <c r="G83" i="11"/>
  <c r="H83" i="11"/>
  <c r="C84" i="11"/>
  <c r="E84" i="11"/>
  <c r="G84" i="11"/>
  <c r="H84" i="11"/>
  <c r="C85" i="11"/>
  <c r="E85" i="11"/>
  <c r="G85" i="11"/>
  <c r="H85" i="11"/>
  <c r="C86" i="11"/>
  <c r="E86" i="11"/>
  <c r="G86" i="11"/>
  <c r="H86" i="11"/>
  <c r="C87" i="11"/>
  <c r="E87" i="11"/>
  <c r="G87" i="11"/>
  <c r="H87" i="11"/>
  <c r="C88" i="11"/>
  <c r="E88" i="11"/>
  <c r="G88" i="11"/>
  <c r="H88" i="11"/>
  <c r="C89" i="11"/>
  <c r="E89" i="11"/>
  <c r="G89" i="11"/>
  <c r="H89" i="11"/>
  <c r="C90" i="11"/>
  <c r="E90" i="11"/>
  <c r="G90" i="11"/>
  <c r="H90" i="11"/>
  <c r="C91" i="11"/>
  <c r="E91" i="11"/>
  <c r="G91" i="11"/>
  <c r="H91" i="11"/>
  <c r="C92" i="11"/>
  <c r="G92" i="11"/>
  <c r="H92" i="11"/>
  <c r="C93" i="11"/>
  <c r="E93" i="11"/>
  <c r="G93" i="11"/>
  <c r="H93" i="11"/>
  <c r="C94" i="11"/>
  <c r="E94" i="11"/>
  <c r="G94" i="11"/>
  <c r="H94" i="11"/>
  <c r="C95" i="11"/>
  <c r="E95" i="11"/>
  <c r="G95" i="11"/>
  <c r="H95" i="11"/>
  <c r="C96" i="11"/>
  <c r="E96" i="11"/>
  <c r="G96" i="11"/>
  <c r="H96" i="11"/>
  <c r="C97" i="11"/>
  <c r="E97" i="11"/>
  <c r="G97" i="11"/>
  <c r="H97" i="11"/>
  <c r="C98" i="11"/>
  <c r="E98" i="11"/>
  <c r="G98" i="11"/>
  <c r="H98" i="11"/>
  <c r="C99" i="11"/>
  <c r="E99" i="11"/>
  <c r="G99" i="11"/>
  <c r="H99" i="11"/>
  <c r="C100" i="11"/>
  <c r="E100" i="11"/>
  <c r="G100" i="11"/>
  <c r="H100" i="11"/>
  <c r="C101" i="11"/>
  <c r="E101" i="11"/>
  <c r="G101" i="11"/>
  <c r="H101" i="11"/>
  <c r="C102" i="11"/>
  <c r="E102" i="11"/>
  <c r="G102" i="11"/>
  <c r="H102" i="11"/>
  <c r="C103" i="11"/>
  <c r="E103" i="11"/>
  <c r="G103" i="11"/>
  <c r="H103" i="11"/>
  <c r="C104" i="11"/>
  <c r="E104" i="11"/>
  <c r="G104" i="11"/>
  <c r="H104" i="11"/>
  <c r="C105" i="11"/>
  <c r="E105" i="11"/>
  <c r="G105" i="11"/>
  <c r="H105" i="11"/>
  <c r="C106" i="11"/>
  <c r="E106" i="11"/>
  <c r="G106" i="11"/>
  <c r="H106" i="11"/>
  <c r="C107" i="11"/>
  <c r="E107" i="11"/>
  <c r="G107" i="11"/>
  <c r="H107" i="11"/>
  <c r="C108" i="11"/>
  <c r="E108" i="11"/>
  <c r="G108" i="11"/>
  <c r="H108" i="11"/>
  <c r="C109" i="11"/>
  <c r="E109" i="11"/>
  <c r="G109" i="11"/>
  <c r="H109" i="11"/>
  <c r="C110" i="11"/>
  <c r="E110" i="11"/>
  <c r="G110" i="11"/>
  <c r="H110" i="11"/>
  <c r="C111" i="11"/>
  <c r="E111" i="11"/>
  <c r="G111" i="11"/>
  <c r="H111" i="11"/>
  <c r="C112" i="11"/>
  <c r="E112" i="11"/>
  <c r="G112" i="11"/>
  <c r="H112" i="11"/>
  <c r="C113" i="11"/>
  <c r="E113" i="11"/>
  <c r="G113" i="11"/>
  <c r="H113" i="11"/>
  <c r="C114" i="11"/>
  <c r="E114" i="11"/>
  <c r="G114" i="11"/>
  <c r="H114" i="11"/>
  <c r="C115" i="11"/>
  <c r="E115" i="11"/>
  <c r="G115" i="11"/>
  <c r="H115" i="11"/>
  <c r="C116" i="11"/>
  <c r="E116" i="11"/>
  <c r="G116" i="11"/>
  <c r="H116" i="11"/>
  <c r="C117" i="11"/>
  <c r="E117" i="11"/>
  <c r="G117" i="11"/>
  <c r="H117" i="11"/>
  <c r="C118" i="11"/>
  <c r="E118" i="11"/>
  <c r="G118" i="11"/>
  <c r="H118" i="11"/>
  <c r="C119" i="11"/>
  <c r="E119" i="11"/>
  <c r="G119" i="11"/>
  <c r="H119" i="11"/>
  <c r="C120" i="11"/>
  <c r="E120" i="11"/>
  <c r="G120" i="11"/>
  <c r="H120" i="11"/>
  <c r="C121" i="11"/>
  <c r="E121" i="11"/>
  <c r="G121" i="11"/>
  <c r="H121" i="11"/>
  <c r="C122" i="11"/>
  <c r="E122" i="11"/>
  <c r="G122" i="11"/>
  <c r="H122" i="11"/>
  <c r="C123" i="11"/>
  <c r="E123" i="11"/>
  <c r="G123" i="11"/>
  <c r="H123" i="11"/>
  <c r="C124" i="11"/>
  <c r="E124" i="11"/>
  <c r="G124" i="11"/>
  <c r="H124" i="11"/>
  <c r="C125" i="11"/>
  <c r="E125" i="11"/>
  <c r="G125" i="11"/>
  <c r="H125" i="11"/>
  <c r="C126" i="11"/>
  <c r="E126" i="11"/>
  <c r="G126" i="11"/>
  <c r="H126" i="11"/>
  <c r="C127" i="11"/>
  <c r="E127" i="11"/>
  <c r="G127" i="11"/>
  <c r="H127" i="11"/>
  <c r="C128" i="11"/>
  <c r="E128" i="11"/>
  <c r="G128" i="11"/>
  <c r="H128" i="11"/>
  <c r="C129" i="11"/>
  <c r="E129" i="11"/>
  <c r="G129" i="11"/>
  <c r="H129" i="11"/>
  <c r="C130" i="11"/>
  <c r="E130" i="11"/>
  <c r="G130" i="11"/>
  <c r="H130" i="11"/>
  <c r="C131" i="11"/>
  <c r="E131" i="11"/>
  <c r="G131" i="11"/>
  <c r="H131" i="11"/>
  <c r="C132" i="11"/>
  <c r="E132" i="11"/>
  <c r="G132" i="11"/>
  <c r="H132" i="11"/>
  <c r="C133" i="11"/>
  <c r="E133" i="11"/>
  <c r="G133" i="11"/>
  <c r="H133" i="11"/>
  <c r="C134" i="11"/>
  <c r="E134" i="11"/>
  <c r="G134" i="11"/>
  <c r="H134" i="11"/>
  <c r="C135" i="11"/>
  <c r="E135" i="11"/>
  <c r="G135" i="11"/>
  <c r="H135" i="11"/>
  <c r="C136" i="11"/>
  <c r="E136" i="11"/>
  <c r="G136" i="11"/>
  <c r="H136" i="11"/>
  <c r="C137" i="11"/>
  <c r="E137" i="11"/>
  <c r="G137" i="11"/>
  <c r="H137" i="11"/>
  <c r="C138" i="11"/>
  <c r="E138" i="11"/>
  <c r="G138" i="11"/>
  <c r="H138" i="11"/>
  <c r="C139" i="11"/>
  <c r="E139" i="11"/>
  <c r="G139" i="11"/>
  <c r="H139" i="11"/>
  <c r="C140" i="11"/>
  <c r="E140" i="11"/>
  <c r="G140" i="11"/>
  <c r="H140" i="11"/>
  <c r="C141" i="11"/>
  <c r="E141" i="11"/>
  <c r="G141" i="11"/>
  <c r="H141" i="11"/>
  <c r="C142" i="11"/>
  <c r="E142" i="11"/>
  <c r="G142" i="11"/>
  <c r="H142" i="11"/>
  <c r="C143" i="11"/>
  <c r="E143" i="11"/>
  <c r="G143" i="11"/>
  <c r="H143" i="11"/>
  <c r="C144" i="11"/>
  <c r="E144" i="11"/>
  <c r="G144" i="11"/>
  <c r="H144" i="11"/>
  <c r="C145" i="11"/>
  <c r="E145" i="11"/>
  <c r="G145" i="11"/>
  <c r="H145" i="11"/>
  <c r="C146" i="11"/>
  <c r="E146" i="11"/>
  <c r="G146" i="11"/>
  <c r="C147" i="11"/>
  <c r="E147" i="11"/>
  <c r="G147" i="11"/>
  <c r="C148" i="11"/>
  <c r="E148" i="11"/>
  <c r="G148" i="11"/>
  <c r="C149" i="11"/>
  <c r="E149" i="11"/>
  <c r="G149" i="11"/>
  <c r="C150" i="11"/>
  <c r="E150" i="11"/>
  <c r="G150" i="11"/>
  <c r="C151" i="11"/>
  <c r="E151" i="11"/>
  <c r="G151" i="11"/>
  <c r="C152" i="11"/>
  <c r="E152" i="11"/>
  <c r="G152" i="11"/>
  <c r="C153" i="11"/>
  <c r="E153" i="11"/>
  <c r="G153" i="11"/>
  <c r="C154" i="11"/>
  <c r="E154" i="11"/>
  <c r="G154" i="11"/>
  <c r="C155" i="11"/>
  <c r="E155" i="11"/>
  <c r="G155" i="11"/>
  <c r="C156" i="11"/>
  <c r="E156" i="11"/>
  <c r="G156" i="11"/>
  <c r="C157" i="11"/>
  <c r="E157" i="11"/>
  <c r="G157" i="11"/>
  <c r="C158" i="11"/>
  <c r="E158" i="11"/>
  <c r="G158" i="11"/>
  <c r="C159" i="11"/>
  <c r="E159" i="11"/>
  <c r="G159" i="11"/>
  <c r="C160" i="11"/>
  <c r="E160" i="11"/>
  <c r="G160" i="11"/>
  <c r="C161" i="11"/>
  <c r="E161" i="11"/>
  <c r="G161" i="11"/>
  <c r="C162" i="11"/>
  <c r="E162" i="11"/>
  <c r="G162" i="11"/>
  <c r="C163" i="11"/>
  <c r="E163" i="11"/>
  <c r="G163" i="11"/>
  <c r="C164" i="11"/>
  <c r="E164" i="11"/>
  <c r="G164" i="11"/>
  <c r="C165" i="11"/>
  <c r="E165" i="11"/>
  <c r="G165" i="11"/>
  <c r="C166" i="11"/>
  <c r="E166" i="11"/>
  <c r="G166" i="11"/>
  <c r="C167" i="11"/>
  <c r="E167" i="11"/>
  <c r="G167" i="11"/>
  <c r="C168" i="11"/>
  <c r="E168" i="11"/>
  <c r="G168" i="11"/>
  <c r="C169" i="11"/>
  <c r="E169" i="11"/>
  <c r="G169" i="11"/>
  <c r="C170" i="11"/>
  <c r="E170" i="11"/>
  <c r="G170" i="11"/>
  <c r="C171" i="11"/>
  <c r="E171" i="11"/>
  <c r="G171" i="11"/>
  <c r="C172" i="11"/>
  <c r="E172" i="11"/>
  <c r="G172" i="11"/>
  <c r="C173" i="11"/>
  <c r="E173" i="11"/>
  <c r="G173" i="11"/>
  <c r="C174" i="11"/>
  <c r="E174" i="11"/>
  <c r="G174" i="11"/>
  <c r="C175" i="11"/>
  <c r="E175" i="11"/>
  <c r="G175" i="11"/>
  <c r="C176" i="11"/>
  <c r="E176" i="11"/>
  <c r="G176" i="11"/>
  <c r="C177" i="11"/>
  <c r="E177" i="11"/>
  <c r="G177" i="11"/>
  <c r="C178" i="11"/>
  <c r="E178" i="11"/>
  <c r="G178" i="11"/>
  <c r="C179" i="11"/>
  <c r="E179" i="11"/>
  <c r="G179" i="11"/>
  <c r="C180" i="11"/>
  <c r="E180" i="11"/>
  <c r="G180" i="11"/>
  <c r="C181" i="11"/>
  <c r="E181" i="11"/>
  <c r="G181" i="11"/>
  <c r="C182" i="11"/>
  <c r="E182" i="11"/>
  <c r="G182" i="11"/>
  <c r="C183" i="11"/>
  <c r="E183" i="11"/>
  <c r="G183" i="11"/>
  <c r="C184" i="11"/>
  <c r="E184" i="11"/>
  <c r="G184" i="11"/>
  <c r="C185" i="11"/>
  <c r="E185" i="11"/>
  <c r="G185" i="11"/>
  <c r="C186" i="11"/>
  <c r="E186" i="11"/>
  <c r="G186" i="11"/>
  <c r="C187" i="11"/>
  <c r="E187" i="11"/>
  <c r="G187" i="11"/>
  <c r="C188" i="11"/>
  <c r="E188" i="11"/>
  <c r="G188" i="11"/>
  <c r="C189" i="11"/>
  <c r="E189" i="11"/>
  <c r="G189" i="11"/>
  <c r="C190" i="11"/>
  <c r="E190" i="11"/>
  <c r="G190" i="11"/>
  <c r="C191" i="11"/>
  <c r="E191" i="11"/>
  <c r="G191" i="11"/>
  <c r="C192" i="11"/>
  <c r="E192" i="11"/>
  <c r="G192" i="11"/>
  <c r="C193" i="11"/>
  <c r="E193" i="11"/>
  <c r="G193" i="11"/>
  <c r="C194" i="11"/>
  <c r="E194" i="11"/>
  <c r="G194" i="11"/>
  <c r="C195" i="11"/>
  <c r="E195" i="11"/>
  <c r="G195" i="11"/>
  <c r="C196" i="11"/>
  <c r="E196" i="11"/>
  <c r="G196" i="11"/>
  <c r="C197" i="11"/>
  <c r="E197" i="11"/>
  <c r="G197" i="11"/>
  <c r="C198" i="11"/>
  <c r="E198" i="11"/>
  <c r="G198" i="11"/>
  <c r="H198" i="11"/>
  <c r="C199" i="11"/>
  <c r="E199" i="11"/>
  <c r="G199" i="11"/>
  <c r="H199" i="11"/>
  <c r="C200" i="11"/>
  <c r="E200" i="11"/>
  <c r="G200" i="11"/>
  <c r="H200" i="11"/>
  <c r="C201" i="11"/>
  <c r="E201" i="11"/>
  <c r="G201" i="11"/>
  <c r="C202" i="11"/>
  <c r="E202" i="11"/>
  <c r="G202" i="11"/>
  <c r="C203" i="11"/>
  <c r="E203" i="11"/>
  <c r="G203" i="11"/>
  <c r="C204" i="11"/>
  <c r="E204" i="11"/>
  <c r="G204" i="11"/>
  <c r="C205" i="11"/>
  <c r="E205" i="11"/>
  <c r="G205" i="11"/>
  <c r="C206" i="11"/>
  <c r="E206" i="11"/>
  <c r="G206" i="11"/>
  <c r="C207" i="11"/>
  <c r="E207" i="11"/>
  <c r="G207" i="11"/>
  <c r="C208" i="11"/>
  <c r="E208" i="11"/>
  <c r="G208" i="11"/>
  <c r="C209" i="11"/>
  <c r="E209" i="11"/>
  <c r="G209" i="11"/>
  <c r="C210" i="11"/>
  <c r="E210" i="11"/>
  <c r="G210" i="11"/>
  <c r="C211" i="11"/>
  <c r="E211" i="11"/>
  <c r="G211" i="11"/>
  <c r="C212" i="11"/>
  <c r="E212" i="11"/>
  <c r="G212" i="11"/>
  <c r="C213" i="11"/>
  <c r="E213" i="11"/>
  <c r="G213" i="11"/>
  <c r="C214" i="11"/>
  <c r="E214" i="11"/>
  <c r="G214" i="11"/>
  <c r="C215" i="11"/>
  <c r="E215" i="11"/>
  <c r="G215" i="11"/>
  <c r="C216" i="11"/>
  <c r="E216" i="11"/>
  <c r="G216" i="11"/>
  <c r="C217" i="11"/>
  <c r="E217" i="11"/>
  <c r="G217" i="11"/>
  <c r="C218" i="11"/>
  <c r="E218" i="11"/>
  <c r="G218" i="11"/>
  <c r="C219" i="11"/>
  <c r="E219" i="11"/>
  <c r="G219" i="11"/>
  <c r="C220" i="11"/>
  <c r="E220" i="11"/>
  <c r="G220" i="11"/>
  <c r="C221" i="11"/>
  <c r="E221" i="11"/>
  <c r="G221" i="11"/>
  <c r="C222" i="11"/>
  <c r="E222" i="11"/>
  <c r="G222" i="11"/>
  <c r="C223" i="11"/>
  <c r="E223" i="11"/>
  <c r="G223" i="11"/>
  <c r="C224" i="11"/>
  <c r="E224" i="11"/>
  <c r="G224" i="11"/>
  <c r="H224" i="11"/>
  <c r="C225" i="11"/>
  <c r="E225" i="11"/>
  <c r="G225" i="11"/>
  <c r="H225" i="11"/>
  <c r="C226" i="11"/>
  <c r="E226" i="11"/>
  <c r="G226" i="11"/>
  <c r="H226" i="11"/>
  <c r="C227" i="11"/>
  <c r="E227" i="11"/>
  <c r="G227" i="11"/>
  <c r="H227" i="11"/>
  <c r="G206" i="7"/>
  <c r="G207" i="7"/>
  <c r="G208" i="7"/>
  <c r="G209" i="7"/>
  <c r="G210" i="7"/>
  <c r="G211" i="7"/>
  <c r="G212" i="7"/>
  <c r="G213" i="7"/>
  <c r="G214" i="7"/>
  <c r="G215" i="7"/>
  <c r="G216" i="7"/>
  <c r="G217" i="7"/>
  <c r="G218" i="7"/>
  <c r="G219" i="7"/>
  <c r="G220" i="7"/>
  <c r="G221" i="7"/>
  <c r="G222" i="7"/>
  <c r="G223" i="7"/>
  <c r="N206" i="7"/>
  <c r="P206" i="7" s="1"/>
  <c r="J206" i="11" s="1"/>
  <c r="N207" i="7"/>
  <c r="H207" i="11" s="1"/>
  <c r="N208" i="7"/>
  <c r="H208" i="11" s="1"/>
  <c r="N209" i="7"/>
  <c r="H209" i="11" s="1"/>
  <c r="N210" i="7"/>
  <c r="H210" i="11" s="1"/>
  <c r="N211" i="7"/>
  <c r="H211" i="11" s="1"/>
  <c r="N212" i="7"/>
  <c r="H212" i="11" s="1"/>
  <c r="N213" i="7"/>
  <c r="H213" i="11" s="1"/>
  <c r="N214" i="7"/>
  <c r="N215" i="7"/>
  <c r="P215" i="7" s="1"/>
  <c r="J215" i="11" s="1"/>
  <c r="N216" i="7"/>
  <c r="H216" i="11" s="1"/>
  <c r="N217" i="7"/>
  <c r="H217" i="11" s="1"/>
  <c r="N218" i="7"/>
  <c r="H218" i="11" s="1"/>
  <c r="N219" i="7"/>
  <c r="H219" i="11" s="1"/>
  <c r="N220" i="7"/>
  <c r="H220" i="11" s="1"/>
  <c r="N221" i="7"/>
  <c r="H221" i="11" s="1"/>
  <c r="N222" i="7"/>
  <c r="P222" i="7" s="1"/>
  <c r="J222" i="11" s="1"/>
  <c r="N223" i="7"/>
  <c r="H223" i="11" s="1"/>
  <c r="O206" i="7"/>
  <c r="I206" i="11" s="1"/>
  <c r="O207" i="7"/>
  <c r="I207" i="11" s="1"/>
  <c r="O208" i="7"/>
  <c r="I208" i="11" s="1"/>
  <c r="O209" i="7"/>
  <c r="I209" i="11" s="1"/>
  <c r="O210" i="7"/>
  <c r="I210" i="11" s="1"/>
  <c r="O211" i="7"/>
  <c r="I211" i="11" s="1"/>
  <c r="O212" i="7"/>
  <c r="I212" i="11" s="1"/>
  <c r="O213" i="7"/>
  <c r="I213" i="11" s="1"/>
  <c r="O214" i="7"/>
  <c r="I214" i="11" s="1"/>
  <c r="O215" i="7"/>
  <c r="I215" i="11" s="1"/>
  <c r="O216" i="7"/>
  <c r="I216" i="11" s="1"/>
  <c r="O217" i="7"/>
  <c r="I217" i="11" s="1"/>
  <c r="O218" i="7"/>
  <c r="I218" i="11" s="1"/>
  <c r="O219" i="7"/>
  <c r="I219" i="11" s="1"/>
  <c r="O220" i="7"/>
  <c r="I220" i="11" s="1"/>
  <c r="O221" i="7"/>
  <c r="I221" i="11" s="1"/>
  <c r="O222" i="7"/>
  <c r="I222" i="11" s="1"/>
  <c r="O223" i="7"/>
  <c r="I223" i="11" s="1"/>
  <c r="G153" i="7"/>
  <c r="G155" i="7"/>
  <c r="G157" i="7"/>
  <c r="G159" i="7"/>
  <c r="G161" i="7"/>
  <c r="G163" i="7"/>
  <c r="G165" i="7"/>
  <c r="G167" i="7"/>
  <c r="G169" i="7"/>
  <c r="G171" i="7"/>
  <c r="G173" i="7"/>
  <c r="G175" i="7"/>
  <c r="G177" i="7"/>
  <c r="G179" i="7"/>
  <c r="G181" i="7"/>
  <c r="G183" i="7"/>
  <c r="G185" i="7"/>
  <c r="G187" i="7"/>
  <c r="G189" i="7"/>
  <c r="G191" i="7"/>
  <c r="G193" i="7"/>
  <c r="N153" i="7"/>
  <c r="H153" i="11" s="1"/>
  <c r="N155" i="7"/>
  <c r="P155" i="7" s="1"/>
  <c r="N157" i="7"/>
  <c r="N159" i="7"/>
  <c r="N161" i="7"/>
  <c r="H157" i="11" s="1"/>
  <c r="N163" i="7"/>
  <c r="N165" i="7"/>
  <c r="H159" i="11" s="1"/>
  <c r="N167" i="7"/>
  <c r="H160" i="11" s="1"/>
  <c r="N169" i="7"/>
  <c r="H161" i="11" s="1"/>
  <c r="N171" i="7"/>
  <c r="H162" i="11" s="1"/>
  <c r="N173" i="7"/>
  <c r="N175" i="7"/>
  <c r="P175" i="7" s="1"/>
  <c r="N177" i="7"/>
  <c r="H165" i="11" s="1"/>
  <c r="N179" i="7"/>
  <c r="N181" i="7"/>
  <c r="N183" i="7"/>
  <c r="H168" i="11" s="1"/>
  <c r="N185" i="7"/>
  <c r="H169" i="11" s="1"/>
  <c r="N187" i="7"/>
  <c r="P187" i="7" s="1"/>
  <c r="N189" i="7"/>
  <c r="P189" i="7" s="1"/>
  <c r="N191" i="7"/>
  <c r="P191" i="7" s="1"/>
  <c r="N193" i="7"/>
  <c r="H173" i="11" s="1"/>
  <c r="O153" i="7"/>
  <c r="I153" i="11" s="1"/>
  <c r="O155" i="7"/>
  <c r="O157" i="7"/>
  <c r="I155" i="11" s="1"/>
  <c r="O159" i="7"/>
  <c r="O161" i="7"/>
  <c r="O163" i="7"/>
  <c r="O165" i="7"/>
  <c r="O167" i="7"/>
  <c r="O169" i="7"/>
  <c r="I161" i="11" s="1"/>
  <c r="O171" i="7"/>
  <c r="O173" i="7"/>
  <c r="I163" i="11" s="1"/>
  <c r="O175" i="7"/>
  <c r="O177" i="7"/>
  <c r="O179" i="7"/>
  <c r="O181" i="7"/>
  <c r="O183" i="7"/>
  <c r="O185" i="7"/>
  <c r="I169" i="11" s="1"/>
  <c r="O187" i="7"/>
  <c r="O189" i="7"/>
  <c r="I171" i="11" s="1"/>
  <c r="O191" i="7"/>
  <c r="O193" i="7"/>
  <c r="G201" i="7"/>
  <c r="G202" i="7"/>
  <c r="G203" i="7"/>
  <c r="G204" i="7"/>
  <c r="G205" i="7"/>
  <c r="N201" i="7"/>
  <c r="P201" i="7" s="1"/>
  <c r="J201" i="11" s="1"/>
  <c r="N202" i="7"/>
  <c r="H202" i="11" s="1"/>
  <c r="N203" i="7"/>
  <c r="P203" i="7" s="1"/>
  <c r="J203" i="11" s="1"/>
  <c r="N204" i="7"/>
  <c r="H204" i="11" s="1"/>
  <c r="N205" i="7"/>
  <c r="O201" i="7"/>
  <c r="I201" i="11" s="1"/>
  <c r="O202" i="7"/>
  <c r="I202" i="11" s="1"/>
  <c r="O203" i="7"/>
  <c r="I203" i="11" s="1"/>
  <c r="O204" i="7"/>
  <c r="I204" i="11" s="1"/>
  <c r="O205" i="7"/>
  <c r="I205" i="11" s="1"/>
  <c r="G146" i="7"/>
  <c r="G147" i="7"/>
  <c r="G148" i="7"/>
  <c r="G149" i="7"/>
  <c r="G150" i="7"/>
  <c r="G151" i="7"/>
  <c r="G152" i="7"/>
  <c r="G154" i="7"/>
  <c r="G156" i="7"/>
  <c r="G158" i="7"/>
  <c r="G160" i="7"/>
  <c r="G162" i="7"/>
  <c r="G164" i="7"/>
  <c r="G166" i="7"/>
  <c r="G168" i="7"/>
  <c r="G170" i="7"/>
  <c r="G172" i="7"/>
  <c r="G174" i="7"/>
  <c r="G176" i="7"/>
  <c r="G178" i="7"/>
  <c r="G180" i="7"/>
  <c r="G182" i="7"/>
  <c r="G184" i="7"/>
  <c r="G186" i="7"/>
  <c r="G188" i="7"/>
  <c r="G190" i="7"/>
  <c r="G192" i="7"/>
  <c r="G194" i="7"/>
  <c r="G195" i="7"/>
  <c r="G196" i="7"/>
  <c r="G197" i="7"/>
  <c r="N146" i="7"/>
  <c r="H146" i="11" s="1"/>
  <c r="N147" i="7"/>
  <c r="H147" i="11" s="1"/>
  <c r="N148" i="7"/>
  <c r="H148" i="11" s="1"/>
  <c r="N149" i="7"/>
  <c r="H149" i="11" s="1"/>
  <c r="N150" i="7"/>
  <c r="H150" i="11" s="1"/>
  <c r="N151" i="7"/>
  <c r="H151" i="11" s="1"/>
  <c r="N152" i="7"/>
  <c r="H152" i="11" s="1"/>
  <c r="N154" i="7"/>
  <c r="N156" i="7"/>
  <c r="H175" i="11" s="1"/>
  <c r="N158" i="7"/>
  <c r="H176" i="11" s="1"/>
  <c r="N160" i="7"/>
  <c r="N162" i="7"/>
  <c r="N164" i="7"/>
  <c r="N166" i="7"/>
  <c r="H180" i="11" s="1"/>
  <c r="N168" i="7"/>
  <c r="H181" i="11" s="1"/>
  <c r="N170" i="7"/>
  <c r="N172" i="7"/>
  <c r="H183" i="11" s="1"/>
  <c r="N174" i="7"/>
  <c r="H184" i="11" s="1"/>
  <c r="N176" i="7"/>
  <c r="N178" i="7"/>
  <c r="N180" i="7"/>
  <c r="N182" i="7"/>
  <c r="H188" i="11" s="1"/>
  <c r="N184" i="7"/>
  <c r="H189" i="11" s="1"/>
  <c r="N186" i="7"/>
  <c r="N188" i="7"/>
  <c r="H191" i="11" s="1"/>
  <c r="N190" i="7"/>
  <c r="H192" i="11" s="1"/>
  <c r="N192" i="7"/>
  <c r="N194" i="7"/>
  <c r="H194" i="11" s="1"/>
  <c r="N195" i="7"/>
  <c r="H195" i="11" s="1"/>
  <c r="N196" i="7"/>
  <c r="H196" i="11" s="1"/>
  <c r="N197" i="7"/>
  <c r="H197" i="11" s="1"/>
  <c r="O146" i="7"/>
  <c r="I146" i="11" s="1"/>
  <c r="O147" i="7"/>
  <c r="I147" i="11" s="1"/>
  <c r="O148" i="7"/>
  <c r="I148" i="11" s="1"/>
  <c r="O149" i="7"/>
  <c r="I149" i="11" s="1"/>
  <c r="O150" i="7"/>
  <c r="I150" i="11" s="1"/>
  <c r="O151" i="7"/>
  <c r="I151" i="11" s="1"/>
  <c r="O152" i="7"/>
  <c r="I152" i="11" s="1"/>
  <c r="O154" i="7"/>
  <c r="O156" i="7"/>
  <c r="O158" i="7"/>
  <c r="O160" i="7"/>
  <c r="I177" i="11" s="1"/>
  <c r="O162" i="7"/>
  <c r="O164" i="7"/>
  <c r="I179" i="11" s="1"/>
  <c r="O166" i="7"/>
  <c r="O168" i="7"/>
  <c r="O170" i="7"/>
  <c r="O172" i="7"/>
  <c r="O174" i="7"/>
  <c r="O176" i="7"/>
  <c r="I185" i="11" s="1"/>
  <c r="O178" i="7"/>
  <c r="O180" i="7"/>
  <c r="I187" i="11" s="1"/>
  <c r="O182" i="7"/>
  <c r="O184" i="7"/>
  <c r="O186" i="7"/>
  <c r="O188" i="7"/>
  <c r="O190" i="7"/>
  <c r="O192" i="7"/>
  <c r="I193" i="11" s="1"/>
  <c r="O194" i="7"/>
  <c r="I194" i="11" s="1"/>
  <c r="O195" i="7"/>
  <c r="I195" i="11" s="1"/>
  <c r="O196" i="7"/>
  <c r="I196" i="11" s="1"/>
  <c r="O197" i="7"/>
  <c r="I197" i="11" s="1"/>
  <c r="H156" i="11" l="1"/>
  <c r="H166" i="11"/>
  <c r="H158" i="11"/>
  <c r="H187" i="11"/>
  <c r="H179" i="11"/>
  <c r="I191" i="11"/>
  <c r="I183" i="11"/>
  <c r="I175" i="11"/>
  <c r="H190" i="11"/>
  <c r="H186" i="11"/>
  <c r="H182" i="11"/>
  <c r="H178" i="11"/>
  <c r="H174" i="11"/>
  <c r="I167" i="11"/>
  <c r="I159" i="11"/>
  <c r="I190" i="11"/>
  <c r="I182" i="11"/>
  <c r="I174" i="11"/>
  <c r="H193" i="11"/>
  <c r="H177" i="11"/>
  <c r="H167" i="11"/>
  <c r="H163" i="11"/>
  <c r="H185" i="11"/>
  <c r="I189" i="11"/>
  <c r="I181" i="11"/>
  <c r="I173" i="11"/>
  <c r="I165" i="11"/>
  <c r="I157" i="11"/>
  <c r="I186" i="11"/>
  <c r="I178" i="11"/>
  <c r="I170" i="11"/>
  <c r="I166" i="11"/>
  <c r="I162" i="11"/>
  <c r="I158" i="11"/>
  <c r="I154" i="11"/>
  <c r="I192" i="11"/>
  <c r="I188" i="11"/>
  <c r="I184" i="11"/>
  <c r="I180" i="11"/>
  <c r="I176" i="11"/>
  <c r="I172" i="11"/>
  <c r="I168" i="11"/>
  <c r="I164" i="11"/>
  <c r="I160" i="11"/>
  <c r="I156" i="11"/>
  <c r="P159" i="7"/>
  <c r="H164" i="11"/>
  <c r="P219" i="7"/>
  <c r="J219" i="11" s="1"/>
  <c r="P197" i="7"/>
  <c r="J197" i="11" s="1"/>
  <c r="P192" i="7"/>
  <c r="P184" i="7"/>
  <c r="J189" i="11" s="1"/>
  <c r="P176" i="7"/>
  <c r="P168" i="7"/>
  <c r="P160" i="7"/>
  <c r="P152" i="7"/>
  <c r="J152" i="11" s="1"/>
  <c r="P148" i="7"/>
  <c r="J148" i="11" s="1"/>
  <c r="P183" i="7"/>
  <c r="J168" i="11" s="1"/>
  <c r="P218" i="7"/>
  <c r="J218" i="11" s="1"/>
  <c r="P221" i="7"/>
  <c r="J221" i="11" s="1"/>
  <c r="P217" i="7"/>
  <c r="J217" i="11" s="1"/>
  <c r="P213" i="7"/>
  <c r="J213" i="11" s="1"/>
  <c r="P209" i="7"/>
  <c r="J209" i="11" s="1"/>
  <c r="H206" i="11"/>
  <c r="H172" i="11"/>
  <c r="P210" i="7"/>
  <c r="J210" i="11" s="1"/>
  <c r="P157" i="7"/>
  <c r="J155" i="11" s="1"/>
  <c r="H155" i="11"/>
  <c r="P207" i="7"/>
  <c r="J207" i="11" s="1"/>
  <c r="H215" i="11"/>
  <c r="H203" i="11"/>
  <c r="P205" i="7"/>
  <c r="J205" i="11" s="1"/>
  <c r="H205" i="11"/>
  <c r="P193" i="7"/>
  <c r="P185" i="7"/>
  <c r="P177" i="7"/>
  <c r="P169" i="7"/>
  <c r="P161" i="7"/>
  <c r="P153" i="7"/>
  <c r="J153" i="11" s="1"/>
  <c r="H214" i="11"/>
  <c r="P214" i="7"/>
  <c r="J214" i="11" s="1"/>
  <c r="H171" i="11"/>
  <c r="P167" i="7"/>
  <c r="J160" i="11" s="1"/>
  <c r="P223" i="7"/>
  <c r="J223" i="11" s="1"/>
  <c r="P211" i="7"/>
  <c r="J211" i="11" s="1"/>
  <c r="H222" i="11"/>
  <c r="H201" i="11"/>
  <c r="P194" i="7"/>
  <c r="J194" i="11" s="1"/>
  <c r="P186" i="7"/>
  <c r="P178" i="7"/>
  <c r="P170" i="7"/>
  <c r="P162" i="7"/>
  <c r="P154" i="7"/>
  <c r="J154" i="11" s="1"/>
  <c r="P149" i="7"/>
  <c r="J149" i="11" s="1"/>
  <c r="P204" i="7"/>
  <c r="J204" i="11" s="1"/>
  <c r="P220" i="7"/>
  <c r="J220" i="11" s="1"/>
  <c r="P216" i="7"/>
  <c r="J216" i="11" s="1"/>
  <c r="P212" i="7"/>
  <c r="J212" i="11" s="1"/>
  <c r="P208" i="7"/>
  <c r="J208" i="11" s="1"/>
  <c r="H170" i="11"/>
  <c r="H154" i="11"/>
  <c r="C228" i="11"/>
  <c r="G228" i="11"/>
  <c r="P179" i="7"/>
  <c r="P171" i="7"/>
  <c r="P163" i="7"/>
  <c r="P181" i="7"/>
  <c r="J167" i="11" s="1"/>
  <c r="P173" i="7"/>
  <c r="P165" i="7"/>
  <c r="P188" i="7"/>
  <c r="J191" i="11" s="1"/>
  <c r="P172" i="7"/>
  <c r="J172" i="11" s="1"/>
  <c r="P156" i="7"/>
  <c r="J175" i="11" s="1"/>
  <c r="P146" i="7"/>
  <c r="J146" i="11" s="1"/>
  <c r="P202" i="7"/>
  <c r="J202" i="11" s="1"/>
  <c r="P196" i="7"/>
  <c r="J196" i="11" s="1"/>
  <c r="P190" i="7"/>
  <c r="P182" i="7"/>
  <c r="P174" i="7"/>
  <c r="P166" i="7"/>
  <c r="P158" i="7"/>
  <c r="P151" i="7"/>
  <c r="J151" i="11" s="1"/>
  <c r="P147" i="7"/>
  <c r="J147" i="11" s="1"/>
  <c r="P195" i="7"/>
  <c r="J195" i="11" s="1"/>
  <c r="P180" i="7"/>
  <c r="J187" i="11" s="1"/>
  <c r="P164" i="7"/>
  <c r="P150" i="7"/>
  <c r="J150" i="11" s="1"/>
  <c r="J52" i="6"/>
  <c r="J45" i="6"/>
  <c r="J44" i="6"/>
  <c r="J184" i="11" l="1"/>
  <c r="J158" i="11"/>
  <c r="J179" i="11"/>
  <c r="J162" i="11"/>
  <c r="J190" i="11"/>
  <c r="J159" i="11"/>
  <c r="J185" i="11"/>
  <c r="J176" i="11"/>
  <c r="J192" i="11"/>
  <c r="J166" i="11"/>
  <c r="J171" i="11"/>
  <c r="J164" i="11"/>
  <c r="J186" i="11"/>
  <c r="J157" i="11"/>
  <c r="J173" i="11"/>
  <c r="J181" i="11"/>
  <c r="J188" i="11"/>
  <c r="J163" i="11"/>
  <c r="J178" i="11"/>
  <c r="J165" i="11"/>
  <c r="J180" i="11"/>
  <c r="J183" i="11"/>
  <c r="J182" i="11"/>
  <c r="J169" i="11"/>
  <c r="J177" i="11"/>
  <c r="J193" i="11"/>
  <c r="J156" i="11"/>
  <c r="J170" i="11"/>
  <c r="J174" i="11"/>
  <c r="J161" i="11"/>
  <c r="H228" i="11"/>
  <c r="Y103" i="3"/>
  <c r="Y102" i="3"/>
  <c r="Y101" i="3"/>
  <c r="Y100" i="3"/>
  <c r="Y99" i="3"/>
  <c r="Y98" i="3"/>
  <c r="Y97" i="3"/>
  <c r="Y96" i="3"/>
  <c r="Y95" i="3"/>
  <c r="Y94" i="3"/>
  <c r="X94" i="3" s="1"/>
  <c r="Z94" i="3" s="1"/>
  <c r="Y93" i="3"/>
  <c r="X93" i="3" s="1"/>
  <c r="Z93" i="3" s="1"/>
  <c r="Y92" i="3"/>
  <c r="X92" i="3" s="1"/>
  <c r="Z92" i="3" s="1"/>
  <c r="Y91" i="3"/>
  <c r="X91" i="3" s="1"/>
  <c r="Z91" i="3" s="1"/>
  <c r="Y90" i="3"/>
  <c r="X90" i="3" s="1"/>
  <c r="Z90" i="3" s="1"/>
  <c r="Y89" i="3"/>
  <c r="X89" i="3" s="1"/>
  <c r="Z89" i="3" s="1"/>
  <c r="Y88" i="3"/>
  <c r="X88" i="3" s="1"/>
  <c r="Z88" i="3" s="1"/>
  <c r="Y87" i="3"/>
  <c r="X87" i="3" s="1"/>
  <c r="Z87" i="3" s="1"/>
  <c r="Y86" i="3"/>
  <c r="X86" i="3" s="1"/>
  <c r="Z86" i="3" s="1"/>
  <c r="Y85" i="3"/>
  <c r="X85" i="3" s="1"/>
  <c r="Z85" i="3" s="1"/>
  <c r="Y84" i="3"/>
  <c r="X84" i="3" s="1"/>
  <c r="Z84" i="3" s="1"/>
  <c r="Y83" i="3"/>
  <c r="X83" i="3" s="1"/>
  <c r="Z83" i="3" s="1"/>
  <c r="Y82" i="3"/>
  <c r="X82" i="3" s="1"/>
  <c r="Z82" i="3" s="1"/>
  <c r="Y81" i="3"/>
  <c r="X81" i="3" s="1"/>
  <c r="Z81" i="3" s="1"/>
  <c r="Y80" i="3"/>
  <c r="X80" i="3" s="1"/>
  <c r="Z80" i="3" s="1"/>
  <c r="Y79" i="3"/>
  <c r="X79" i="3" s="1"/>
  <c r="Z79" i="3" s="1"/>
  <c r="Y78" i="3"/>
  <c r="X78" i="3" s="1"/>
  <c r="Z78" i="3" s="1"/>
  <c r="Y77" i="3"/>
  <c r="X77" i="3" s="1"/>
  <c r="Z77" i="3" s="1"/>
  <c r="Y76" i="3"/>
  <c r="X76" i="3" s="1"/>
  <c r="Z76" i="3" s="1"/>
  <c r="Y75" i="3"/>
  <c r="X75" i="3" s="1"/>
  <c r="Z75" i="3" s="1"/>
  <c r="Y74" i="3"/>
  <c r="X74" i="3" s="1"/>
  <c r="Z74" i="3" s="1"/>
  <c r="Y73" i="3"/>
  <c r="X73" i="3" s="1"/>
  <c r="Z73" i="3" s="1"/>
  <c r="Y72" i="3"/>
  <c r="X72" i="3" s="1"/>
  <c r="Z72" i="3" s="1"/>
  <c r="Y71" i="3"/>
  <c r="X71" i="3" s="1"/>
  <c r="Z71" i="3" s="1"/>
  <c r="Y70" i="3"/>
  <c r="X70" i="3" s="1"/>
  <c r="Z70" i="3" s="1"/>
  <c r="Y69" i="3"/>
  <c r="X69" i="3" s="1"/>
  <c r="Z69" i="3" s="1"/>
  <c r="Y68" i="3"/>
  <c r="X68" i="3" s="1"/>
  <c r="Z68" i="3" s="1"/>
  <c r="Y67" i="3"/>
  <c r="X67" i="3" s="1"/>
  <c r="Z67" i="3" s="1"/>
  <c r="Y66" i="3"/>
  <c r="X66" i="3" s="1"/>
  <c r="Z66" i="3" s="1"/>
  <c r="Y65" i="3"/>
  <c r="X65" i="3" s="1"/>
  <c r="Z65" i="3" s="1"/>
  <c r="Y64" i="3"/>
  <c r="X64" i="3" s="1"/>
  <c r="Z64" i="3" s="1"/>
  <c r="Y63" i="3"/>
  <c r="X63" i="3" s="1"/>
  <c r="Z63" i="3" s="1"/>
  <c r="Y62" i="3"/>
  <c r="X62" i="3" s="1"/>
  <c r="Z62" i="3" s="1"/>
  <c r="W93" i="3"/>
  <c r="W94" i="3"/>
  <c r="X96" i="3" l="1"/>
  <c r="Z96" i="3" s="1"/>
  <c r="X98" i="3"/>
  <c r="Z98" i="3" s="1"/>
  <c r="X100" i="3"/>
  <c r="Z100" i="3" s="1"/>
  <c r="X102" i="3"/>
  <c r="Z102" i="3" s="1"/>
  <c r="X95" i="3"/>
  <c r="Z95" i="3" s="1"/>
  <c r="X97" i="3"/>
  <c r="Z97" i="3"/>
  <c r="X99" i="3"/>
  <c r="Z99" i="3" s="1"/>
  <c r="X101" i="3"/>
  <c r="Z101" i="3" s="1"/>
  <c r="X103" i="3"/>
  <c r="Z103" i="3" s="1"/>
  <c r="H4" i="7" l="1"/>
  <c r="B228" i="7"/>
  <c r="G92" i="7" l="1"/>
  <c r="G100" i="7"/>
  <c r="G101" i="7"/>
  <c r="G102" i="7"/>
  <c r="G103" i="7"/>
  <c r="G93" i="7"/>
  <c r="G94" i="7"/>
  <c r="G110" i="7"/>
  <c r="G111" i="7"/>
  <c r="G106" i="7"/>
  <c r="G112" i="7"/>
  <c r="G113" i="7"/>
  <c r="G114" i="7"/>
  <c r="G115" i="7"/>
  <c r="G96" i="7"/>
  <c r="G95" i="7"/>
  <c r="G116" i="7"/>
  <c r="G117" i="7"/>
  <c r="G118" i="7"/>
  <c r="G97" i="7"/>
  <c r="G104" i="7"/>
  <c r="G98" i="7"/>
  <c r="G99" i="7"/>
  <c r="G105" i="7"/>
  <c r="G107" i="7"/>
  <c r="G108" i="7"/>
  <c r="G119" i="7"/>
  <c r="G120" i="7"/>
  <c r="G109"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98" i="7"/>
  <c r="G199" i="7"/>
  <c r="G200" i="7"/>
  <c r="G224" i="7"/>
  <c r="G225" i="7"/>
  <c r="G226" i="7"/>
  <c r="G227" i="7"/>
  <c r="V62" i="3" l="1"/>
  <c r="W62" i="3" s="1"/>
  <c r="V91" i="3"/>
  <c r="W91" i="3" s="1"/>
  <c r="V90" i="3"/>
  <c r="W90" i="3" s="1"/>
  <c r="V89" i="3"/>
  <c r="W89" i="3" s="1"/>
  <c r="V88" i="3"/>
  <c r="W88" i="3" s="1"/>
  <c r="V87" i="3"/>
  <c r="W87" i="3" s="1"/>
  <c r="V86" i="3"/>
  <c r="W86" i="3" s="1"/>
  <c r="V85" i="3"/>
  <c r="W85" i="3" s="1"/>
  <c r="V84" i="3"/>
  <c r="W84" i="3" s="1"/>
  <c r="V83" i="3"/>
  <c r="W83" i="3" s="1"/>
  <c r="V82" i="3"/>
  <c r="W82" i="3" s="1"/>
  <c r="V81" i="3"/>
  <c r="W81" i="3" s="1"/>
  <c r="V80" i="3"/>
  <c r="W80" i="3" s="1"/>
  <c r="V79" i="3"/>
  <c r="W79" i="3" s="1"/>
  <c r="V78" i="3"/>
  <c r="W78" i="3" s="1"/>
  <c r="V77" i="3"/>
  <c r="W77" i="3" s="1"/>
  <c r="V76" i="3"/>
  <c r="W76" i="3" s="1"/>
  <c r="V75" i="3"/>
  <c r="W75" i="3" s="1"/>
  <c r="V74" i="3"/>
  <c r="W74" i="3" s="1"/>
  <c r="V73" i="3"/>
  <c r="W73" i="3" s="1"/>
  <c r="V72" i="3"/>
  <c r="W72" i="3" s="1"/>
  <c r="V71" i="3"/>
  <c r="W71" i="3" s="1"/>
  <c r="V70" i="3"/>
  <c r="W70" i="3" s="1"/>
  <c r="V69" i="3"/>
  <c r="W69" i="3" s="1"/>
  <c r="V68" i="3"/>
  <c r="W68" i="3" s="1"/>
  <c r="V67" i="3"/>
  <c r="W67" i="3" s="1"/>
  <c r="V66" i="3"/>
  <c r="W66" i="3" s="1"/>
  <c r="V65" i="3"/>
  <c r="W65" i="3" s="1"/>
  <c r="V64" i="3"/>
  <c r="W64" i="3" s="1"/>
  <c r="V63" i="3"/>
  <c r="W63" i="3" s="1"/>
  <c r="V61" i="3"/>
  <c r="V60" i="3"/>
  <c r="V57" i="3"/>
  <c r="V56" i="3"/>
  <c r="V55" i="3"/>
  <c r="V54" i="3"/>
  <c r="V53" i="3"/>
  <c r="V52" i="3"/>
  <c r="V51" i="3"/>
  <c r="V50" i="3"/>
  <c r="V49" i="3"/>
  <c r="V48" i="3"/>
  <c r="V47" i="3"/>
  <c r="V46" i="3"/>
  <c r="V45" i="3"/>
  <c r="V44" i="3"/>
  <c r="V43" i="3"/>
  <c r="V42" i="3"/>
  <c r="V41" i="3"/>
  <c r="V40" i="3"/>
  <c r="V39" i="3"/>
  <c r="V36" i="3"/>
  <c r="V35" i="3"/>
  <c r="V33" i="3"/>
  <c r="V32" i="3"/>
  <c r="V31" i="3"/>
  <c r="V30" i="3"/>
  <c r="V29" i="3"/>
  <c r="V28" i="3"/>
  <c r="V27" i="3"/>
  <c r="V26" i="3"/>
  <c r="V25" i="3"/>
  <c r="V24" i="3"/>
  <c r="V23" i="3"/>
  <c r="V22" i="3"/>
  <c r="V21" i="3"/>
  <c r="V20" i="3"/>
  <c r="V19" i="3"/>
  <c r="V18" i="3"/>
  <c r="V17" i="3"/>
  <c r="V16" i="3"/>
  <c r="V15" i="3"/>
  <c r="V14" i="3"/>
  <c r="V13" i="3"/>
  <c r="V12" i="3"/>
  <c r="V11" i="3"/>
  <c r="W11" i="3" s="1"/>
  <c r="C11" i="1" l="1"/>
  <c r="W14" i="3"/>
  <c r="C15" i="1"/>
  <c r="W18" i="3"/>
  <c r="C19" i="1"/>
  <c r="W22" i="3"/>
  <c r="C23" i="1"/>
  <c r="W26" i="3"/>
  <c r="C27" i="1"/>
  <c r="W30" i="3"/>
  <c r="C32" i="1"/>
  <c r="W35" i="3"/>
  <c r="C38" i="1"/>
  <c r="W41" i="3"/>
  <c r="C42" i="1"/>
  <c r="W45" i="3"/>
  <c r="C46" i="1"/>
  <c r="W49" i="3"/>
  <c r="C50" i="1"/>
  <c r="W53" i="3"/>
  <c r="C54" i="1"/>
  <c r="W57" i="3"/>
  <c r="C12" i="1"/>
  <c r="W15" i="3"/>
  <c r="C16" i="1"/>
  <c r="W19" i="3"/>
  <c r="C20" i="1"/>
  <c r="W23" i="3"/>
  <c r="C24" i="1"/>
  <c r="W27" i="3"/>
  <c r="C28" i="1"/>
  <c r="W31" i="3"/>
  <c r="C33" i="1"/>
  <c r="W36" i="3"/>
  <c r="C39" i="1"/>
  <c r="W42" i="3"/>
  <c r="C43" i="1"/>
  <c r="W46" i="3"/>
  <c r="C47" i="1"/>
  <c r="W50" i="3"/>
  <c r="C51" i="1"/>
  <c r="W54" i="3"/>
  <c r="C57" i="1"/>
  <c r="W60" i="3"/>
  <c r="C9" i="1"/>
  <c r="W12" i="3"/>
  <c r="C13" i="1"/>
  <c r="W16" i="3"/>
  <c r="C17" i="1"/>
  <c r="W20" i="3"/>
  <c r="C21" i="1"/>
  <c r="W24" i="3"/>
  <c r="C25" i="1"/>
  <c r="W28" i="3"/>
  <c r="C29" i="1"/>
  <c r="W32" i="3"/>
  <c r="C36" i="1"/>
  <c r="W39" i="3"/>
  <c r="C40" i="1"/>
  <c r="W43" i="3"/>
  <c r="C44" i="1"/>
  <c r="W47" i="3"/>
  <c r="C48" i="1"/>
  <c r="W51" i="3"/>
  <c r="C52" i="1"/>
  <c r="W55" i="3"/>
  <c r="C58" i="1"/>
  <c r="W61" i="3"/>
  <c r="C10" i="1"/>
  <c r="W13" i="3"/>
  <c r="C14" i="1"/>
  <c r="W17" i="3"/>
  <c r="C18" i="1"/>
  <c r="W21" i="3"/>
  <c r="C22" i="1"/>
  <c r="W25" i="3"/>
  <c r="C26" i="1"/>
  <c r="W29" i="3"/>
  <c r="C30" i="1"/>
  <c r="W33" i="3"/>
  <c r="C37" i="1"/>
  <c r="W40" i="3"/>
  <c r="C41" i="1"/>
  <c r="W44" i="3"/>
  <c r="C45" i="1"/>
  <c r="W48" i="3"/>
  <c r="C49" i="1"/>
  <c r="W52" i="3"/>
  <c r="C53" i="1"/>
  <c r="W56" i="3"/>
  <c r="C60" i="1"/>
  <c r="C64" i="1"/>
  <c r="C68" i="1"/>
  <c r="C72" i="1"/>
  <c r="C76" i="1"/>
  <c r="C80" i="1"/>
  <c r="C84" i="1"/>
  <c r="C88" i="1"/>
  <c r="C61" i="1"/>
  <c r="C65" i="1"/>
  <c r="C69" i="1"/>
  <c r="C73" i="1"/>
  <c r="C77" i="1"/>
  <c r="C81" i="1"/>
  <c r="C85" i="1"/>
  <c r="C62" i="1"/>
  <c r="C66" i="1"/>
  <c r="C70" i="1"/>
  <c r="C74" i="1"/>
  <c r="C78" i="1"/>
  <c r="C82" i="1"/>
  <c r="C86" i="1"/>
  <c r="C59" i="1"/>
  <c r="C63" i="1"/>
  <c r="C67" i="1"/>
  <c r="C71" i="1"/>
  <c r="C75" i="1"/>
  <c r="C79" i="1"/>
  <c r="C83" i="1"/>
  <c r="C87" i="1"/>
  <c r="G76" i="1"/>
  <c r="G77" i="1"/>
  <c r="G78" i="1"/>
  <c r="G79" i="1"/>
  <c r="G80" i="1"/>
  <c r="G81" i="1"/>
  <c r="G82" i="1"/>
  <c r="G83" i="1"/>
  <c r="G84" i="1"/>
  <c r="G85" i="1"/>
  <c r="G86" i="1"/>
  <c r="G87" i="1"/>
  <c r="G88" i="1"/>
  <c r="G89" i="1"/>
  <c r="G58" i="1"/>
  <c r="G59" i="1"/>
  <c r="G60" i="1"/>
  <c r="G61" i="1"/>
  <c r="G62" i="1"/>
  <c r="G63" i="1"/>
  <c r="G64" i="1"/>
  <c r="G65" i="1"/>
  <c r="G66" i="1"/>
  <c r="G67" i="1"/>
  <c r="G68" i="1"/>
  <c r="G69" i="1"/>
  <c r="G70" i="1"/>
  <c r="G71" i="1"/>
  <c r="G72" i="1"/>
  <c r="G73" i="1"/>
  <c r="G74" i="1"/>
  <c r="G75" i="1"/>
  <c r="C62" i="3" l="1"/>
  <c r="Y61" i="3"/>
  <c r="X61" i="3" s="1"/>
  <c r="Z61" i="3" s="1"/>
  <c r="C61" i="3"/>
  <c r="H19" i="7" l="1"/>
  <c r="H18" i="7"/>
  <c r="H16" i="7"/>
  <c r="H14" i="7"/>
  <c r="H17" i="7"/>
  <c r="H15" i="7"/>
  <c r="H13" i="7"/>
  <c r="H12" i="7"/>
  <c r="H11" i="7"/>
  <c r="H10" i="7"/>
  <c r="H9" i="7"/>
  <c r="H6" i="7"/>
  <c r="H8" i="7"/>
  <c r="H7" i="7"/>
  <c r="H5" i="7"/>
  <c r="G91" i="7"/>
  <c r="G90" i="7"/>
  <c r="G89" i="7"/>
  <c r="G79" i="7"/>
  <c r="G78" i="7"/>
  <c r="G76" i="7"/>
  <c r="G75" i="7"/>
  <c r="G77" i="7"/>
  <c r="G74" i="7"/>
  <c r="G73" i="7"/>
  <c r="G72" i="7"/>
  <c r="G71" i="7"/>
  <c r="G70" i="7"/>
  <c r="G68" i="7"/>
  <c r="G69" i="7"/>
  <c r="G67" i="7"/>
  <c r="G66" i="7"/>
  <c r="G64" i="7"/>
  <c r="G65" i="7"/>
  <c r="G63" i="7"/>
  <c r="G62" i="7"/>
  <c r="G83" i="7"/>
  <c r="G82" i="7"/>
  <c r="G81" i="7"/>
  <c r="G87" i="7"/>
  <c r="G86" i="7"/>
  <c r="G88" i="7"/>
  <c r="G80" i="7"/>
  <c r="G85" i="7"/>
  <c r="G84" i="7"/>
  <c r="H228" i="7" l="1"/>
  <c r="E56" i="1"/>
  <c r="E57" i="1"/>
  <c r="E58" i="1"/>
  <c r="E59" i="1"/>
  <c r="E60" i="1"/>
  <c r="E61" i="1"/>
  <c r="E62" i="1"/>
  <c r="E63" i="1"/>
  <c r="E64" i="1"/>
  <c r="E65" i="1"/>
  <c r="E66" i="1"/>
  <c r="E67" i="1"/>
  <c r="E68" i="1"/>
  <c r="E69" i="1"/>
  <c r="E70" i="1"/>
  <c r="E71" i="1"/>
  <c r="E72" i="1"/>
  <c r="E73" i="1"/>
  <c r="E74" i="1"/>
  <c r="E75" i="1"/>
  <c r="E76" i="1"/>
  <c r="E112" i="1"/>
  <c r="E113" i="1"/>
  <c r="J34" i="3" l="1"/>
  <c r="P53" i="7"/>
  <c r="P54" i="7"/>
  <c r="P4" i="7"/>
  <c r="G5" i="7"/>
  <c r="G7" i="7"/>
  <c r="G8" i="7"/>
  <c r="G6" i="7"/>
  <c r="G9" i="7"/>
  <c r="G10" i="7"/>
  <c r="G11" i="7"/>
  <c r="G12" i="7"/>
  <c r="G13" i="7"/>
  <c r="G15" i="7"/>
  <c r="G17" i="7"/>
  <c r="G14" i="7"/>
  <c r="G16"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P52" i="7" s="1"/>
  <c r="G53" i="7"/>
  <c r="G54" i="7"/>
  <c r="G55" i="7"/>
  <c r="P55" i="7" s="1"/>
  <c r="P84" i="7"/>
  <c r="G56" i="7"/>
  <c r="P56" i="7" s="1"/>
  <c r="G57" i="7"/>
  <c r="P57" i="7" s="1"/>
  <c r="P85" i="7"/>
  <c r="P80" i="7"/>
  <c r="P88" i="7"/>
  <c r="P86" i="7"/>
  <c r="P87" i="7"/>
  <c r="P81" i="7"/>
  <c r="P82" i="7"/>
  <c r="P83" i="7"/>
  <c r="G58" i="7"/>
  <c r="P58" i="7" s="1"/>
  <c r="P62" i="7"/>
  <c r="G59" i="7"/>
  <c r="P59" i="7" s="1"/>
  <c r="G60" i="7"/>
  <c r="P60" i="7" s="1"/>
  <c r="G61" i="7"/>
  <c r="P61" i="7" s="1"/>
  <c r="P63" i="7"/>
  <c r="J63" i="11" s="1"/>
  <c r="P65" i="7"/>
  <c r="P64" i="7"/>
  <c r="P66" i="7"/>
  <c r="P67" i="7"/>
  <c r="J67" i="11" s="1"/>
  <c r="P69" i="7"/>
  <c r="P68" i="7"/>
  <c r="P70" i="7"/>
  <c r="P71" i="7"/>
  <c r="J71" i="11" s="1"/>
  <c r="P72" i="7"/>
  <c r="P73" i="7"/>
  <c r="P74" i="7"/>
  <c r="P77" i="7"/>
  <c r="P75" i="7"/>
  <c r="P76" i="7"/>
  <c r="P78" i="7"/>
  <c r="P79" i="7"/>
  <c r="P100" i="7"/>
  <c r="P101" i="7"/>
  <c r="P102" i="7"/>
  <c r="P103" i="7"/>
  <c r="P89" i="7"/>
  <c r="P93" i="7"/>
  <c r="P90" i="7"/>
  <c r="P94" i="7"/>
  <c r="P110" i="7"/>
  <c r="P111" i="7"/>
  <c r="P106" i="7"/>
  <c r="P91" i="7"/>
  <c r="P112" i="7"/>
  <c r="P113" i="7"/>
  <c r="P114" i="7"/>
  <c r="P115" i="7"/>
  <c r="P96" i="7"/>
  <c r="J106" i="11" s="1"/>
  <c r="P95" i="7"/>
  <c r="J107" i="11" s="1"/>
  <c r="P116" i="7"/>
  <c r="P117" i="7"/>
  <c r="P118" i="7"/>
  <c r="P97" i="7"/>
  <c r="P104" i="7"/>
  <c r="P98" i="7"/>
  <c r="P99" i="7"/>
  <c r="P105" i="7"/>
  <c r="P107" i="7"/>
  <c r="P108" i="7"/>
  <c r="P119" i="7"/>
  <c r="J118" i="11" s="1"/>
  <c r="P120" i="7"/>
  <c r="J119" i="11" s="1"/>
  <c r="P109" i="7"/>
  <c r="P121" i="7"/>
  <c r="J121" i="11" s="1"/>
  <c r="P122" i="7"/>
  <c r="J122" i="11" s="1"/>
  <c r="P123" i="7"/>
  <c r="J123" i="11" s="1"/>
  <c r="P124" i="7"/>
  <c r="J124" i="11" s="1"/>
  <c r="P125" i="7"/>
  <c r="J125" i="11" s="1"/>
  <c r="P126" i="7"/>
  <c r="J126" i="11" s="1"/>
  <c r="P127" i="7"/>
  <c r="J127" i="11" s="1"/>
  <c r="P128" i="7"/>
  <c r="J128" i="11" s="1"/>
  <c r="P129" i="7"/>
  <c r="J129" i="11" s="1"/>
  <c r="P130" i="7"/>
  <c r="J130" i="11" s="1"/>
  <c r="P131" i="7"/>
  <c r="J131" i="11" s="1"/>
  <c r="P132" i="7"/>
  <c r="J132" i="11" s="1"/>
  <c r="P133" i="7"/>
  <c r="J133" i="11" s="1"/>
  <c r="P134" i="7"/>
  <c r="J134" i="11" s="1"/>
  <c r="P135" i="7"/>
  <c r="J135" i="11" s="1"/>
  <c r="P136" i="7"/>
  <c r="J136" i="11" s="1"/>
  <c r="P137" i="7"/>
  <c r="J137" i="11" s="1"/>
  <c r="P138" i="7"/>
  <c r="J138" i="11" s="1"/>
  <c r="P139" i="7"/>
  <c r="J139" i="11" s="1"/>
  <c r="P140" i="7"/>
  <c r="J140" i="11" s="1"/>
  <c r="P141" i="7"/>
  <c r="J141" i="11" s="1"/>
  <c r="P142" i="7"/>
  <c r="J142" i="11" s="1"/>
  <c r="P143" i="7"/>
  <c r="J143" i="11" s="1"/>
  <c r="P144" i="7"/>
  <c r="J144" i="11" s="1"/>
  <c r="P145" i="7"/>
  <c r="J145" i="11" s="1"/>
  <c r="P198" i="7"/>
  <c r="J198" i="11" s="1"/>
  <c r="P199" i="7"/>
  <c r="J199" i="11" s="1"/>
  <c r="P200" i="7"/>
  <c r="J200" i="11" s="1"/>
  <c r="P224" i="7"/>
  <c r="J224" i="11" s="1"/>
  <c r="P225" i="7"/>
  <c r="J225" i="11" s="1"/>
  <c r="P226" i="7"/>
  <c r="J226" i="11" s="1"/>
  <c r="P227" i="7"/>
  <c r="J227" i="11" s="1"/>
  <c r="O4" i="7"/>
  <c r="O5" i="7"/>
  <c r="O7" i="7"/>
  <c r="O8" i="7"/>
  <c r="O6" i="7"/>
  <c r="O9" i="7"/>
  <c r="O10" i="7"/>
  <c r="O11" i="7"/>
  <c r="O12" i="7"/>
  <c r="O13" i="7"/>
  <c r="O15" i="7"/>
  <c r="O17" i="7"/>
  <c r="O14" i="7"/>
  <c r="O16" i="7"/>
  <c r="O18" i="7"/>
  <c r="O19" i="7"/>
  <c r="O20" i="7"/>
  <c r="O21" i="7"/>
  <c r="O22" i="7"/>
  <c r="O23" i="7"/>
  <c r="O24" i="7"/>
  <c r="O25" i="7"/>
  <c r="O26" i="7"/>
  <c r="O27" i="7"/>
  <c r="O28" i="7"/>
  <c r="O29" i="7"/>
  <c r="O30" i="7"/>
  <c r="O31" i="7"/>
  <c r="O32" i="7"/>
  <c r="O33" i="7"/>
  <c r="O34" i="7"/>
  <c r="O35" i="7"/>
  <c r="O36" i="7"/>
  <c r="O37" i="7"/>
  <c r="O38" i="7"/>
  <c r="O39" i="7"/>
  <c r="O40" i="7"/>
  <c r="O41" i="7"/>
  <c r="O42" i="7"/>
  <c r="O43" i="7"/>
  <c r="O44" i="7"/>
  <c r="I44" i="11" s="1"/>
  <c r="O45" i="7"/>
  <c r="O46" i="7"/>
  <c r="O47" i="7"/>
  <c r="O48" i="7"/>
  <c r="I48" i="11" s="1"/>
  <c r="O49" i="7"/>
  <c r="O50" i="7"/>
  <c r="O51" i="7"/>
  <c r="O52" i="7"/>
  <c r="O53" i="7"/>
  <c r="O54" i="7"/>
  <c r="I54" i="11" s="1"/>
  <c r="O55" i="7"/>
  <c r="O84" i="7"/>
  <c r="O56" i="7"/>
  <c r="O57" i="7"/>
  <c r="O85" i="7"/>
  <c r="O80" i="7"/>
  <c r="O88" i="7"/>
  <c r="O86" i="7"/>
  <c r="O87" i="7"/>
  <c r="O81" i="7"/>
  <c r="O82" i="7"/>
  <c r="O83" i="7"/>
  <c r="O58" i="7"/>
  <c r="O62" i="7"/>
  <c r="I62" i="11" s="1"/>
  <c r="O59" i="7"/>
  <c r="O60" i="7"/>
  <c r="O61" i="7"/>
  <c r="O63" i="7"/>
  <c r="I63" i="11" s="1"/>
  <c r="O65" i="7"/>
  <c r="O64" i="7"/>
  <c r="O66" i="7"/>
  <c r="O67" i="7"/>
  <c r="I67" i="11" s="1"/>
  <c r="O69" i="7"/>
  <c r="O68" i="7"/>
  <c r="O70" i="7"/>
  <c r="O71" i="7"/>
  <c r="O72" i="7"/>
  <c r="O73" i="7"/>
  <c r="O74" i="7"/>
  <c r="O77" i="7"/>
  <c r="O75" i="7"/>
  <c r="O76" i="7"/>
  <c r="O92" i="7"/>
  <c r="O78" i="7"/>
  <c r="I78" i="11" s="1"/>
  <c r="O79" i="7"/>
  <c r="O100" i="7"/>
  <c r="O101" i="7"/>
  <c r="O102" i="7"/>
  <c r="I95" i="11" s="1"/>
  <c r="O103" i="7"/>
  <c r="O89" i="7"/>
  <c r="O93" i="7"/>
  <c r="O90" i="7"/>
  <c r="I90" i="11" s="1"/>
  <c r="O94" i="7"/>
  <c r="O110" i="7"/>
  <c r="O111" i="7"/>
  <c r="O106" i="7"/>
  <c r="O91" i="7"/>
  <c r="O112" i="7"/>
  <c r="O113" i="7"/>
  <c r="O114" i="7"/>
  <c r="O115" i="7"/>
  <c r="O96" i="7"/>
  <c r="I106" i="11" s="1"/>
  <c r="O95" i="7"/>
  <c r="O116" i="7"/>
  <c r="O117" i="7"/>
  <c r="O118" i="7"/>
  <c r="I110" i="11" s="1"/>
  <c r="O97" i="7"/>
  <c r="O104" i="7"/>
  <c r="O98" i="7"/>
  <c r="O99" i="7"/>
  <c r="I114" i="11" s="1"/>
  <c r="O105" i="7"/>
  <c r="O107" i="7"/>
  <c r="O108" i="7"/>
  <c r="O119" i="7"/>
  <c r="I118" i="11" s="1"/>
  <c r="O120" i="7"/>
  <c r="O109" i="7"/>
  <c r="I120" i="11" s="1"/>
  <c r="O121" i="7"/>
  <c r="I121" i="11" s="1"/>
  <c r="O122" i="7"/>
  <c r="I122" i="11" s="1"/>
  <c r="O123" i="7"/>
  <c r="I123" i="11" s="1"/>
  <c r="O124" i="7"/>
  <c r="I124" i="11" s="1"/>
  <c r="O125" i="7"/>
  <c r="I125" i="11" s="1"/>
  <c r="O126" i="7"/>
  <c r="I126" i="11" s="1"/>
  <c r="O127" i="7"/>
  <c r="I127" i="11" s="1"/>
  <c r="O128" i="7"/>
  <c r="I128" i="11" s="1"/>
  <c r="O129" i="7"/>
  <c r="I129" i="11" s="1"/>
  <c r="O130" i="7"/>
  <c r="I130" i="11" s="1"/>
  <c r="O131" i="7"/>
  <c r="I131" i="11" s="1"/>
  <c r="O132" i="7"/>
  <c r="I132" i="11" s="1"/>
  <c r="O133" i="7"/>
  <c r="I133" i="11" s="1"/>
  <c r="O134" i="7"/>
  <c r="I134" i="11" s="1"/>
  <c r="O135" i="7"/>
  <c r="I135" i="11" s="1"/>
  <c r="O136" i="7"/>
  <c r="I136" i="11" s="1"/>
  <c r="O137" i="7"/>
  <c r="I137" i="11" s="1"/>
  <c r="O138" i="7"/>
  <c r="I138" i="11" s="1"/>
  <c r="O139" i="7"/>
  <c r="I139" i="11" s="1"/>
  <c r="O140" i="7"/>
  <c r="I140" i="11" s="1"/>
  <c r="O141" i="7"/>
  <c r="I141" i="11" s="1"/>
  <c r="O142" i="7"/>
  <c r="I142" i="11" s="1"/>
  <c r="O143" i="7"/>
  <c r="I143" i="11" s="1"/>
  <c r="O144" i="7"/>
  <c r="I144" i="11" s="1"/>
  <c r="O145" i="7"/>
  <c r="I145" i="11" s="1"/>
  <c r="O198" i="7"/>
  <c r="I198" i="11" s="1"/>
  <c r="O199" i="7"/>
  <c r="I199" i="11" s="1"/>
  <c r="O200" i="7"/>
  <c r="I200" i="11" s="1"/>
  <c r="O224" i="7"/>
  <c r="I224" i="11" s="1"/>
  <c r="O225" i="7"/>
  <c r="I225" i="11" s="1"/>
  <c r="O226" i="7"/>
  <c r="I226" i="11" s="1"/>
  <c r="O227" i="7"/>
  <c r="I227" i="11" s="1"/>
  <c r="Y3" i="5"/>
  <c r="I119" i="11" l="1"/>
  <c r="J120" i="11"/>
  <c r="I93" i="11"/>
  <c r="I76" i="11"/>
  <c r="I68" i="11"/>
  <c r="I64" i="11"/>
  <c r="J68" i="11"/>
  <c r="J83" i="11"/>
  <c r="I116" i="11"/>
  <c r="I112" i="11"/>
  <c r="I108" i="11"/>
  <c r="I101" i="11"/>
  <c r="I77" i="11"/>
  <c r="I81" i="11"/>
  <c r="J117" i="11"/>
  <c r="J113" i="11"/>
  <c r="J77" i="11"/>
  <c r="I91" i="11"/>
  <c r="I107" i="11"/>
  <c r="I103" i="11"/>
  <c r="J116" i="11"/>
  <c r="J108" i="11"/>
  <c r="I117" i="11"/>
  <c r="I50" i="11"/>
  <c r="I69" i="11"/>
  <c r="J69" i="11"/>
  <c r="J80" i="11"/>
  <c r="J84" i="11"/>
  <c r="I66" i="11"/>
  <c r="J66" i="11"/>
  <c r="I46" i="11"/>
  <c r="J109" i="11"/>
  <c r="J79" i="11"/>
  <c r="J62" i="11"/>
  <c r="J115" i="11"/>
  <c r="J111" i="11"/>
  <c r="J64" i="11"/>
  <c r="J86" i="11"/>
  <c r="I104" i="11"/>
  <c r="I97" i="11"/>
  <c r="I102" i="11"/>
  <c r="I99" i="11"/>
  <c r="I89" i="11"/>
  <c r="I105" i="11"/>
  <c r="I71" i="11"/>
  <c r="I80" i="11"/>
  <c r="I84" i="11"/>
  <c r="I52" i="11"/>
  <c r="I40" i="11"/>
  <c r="I36" i="11"/>
  <c r="I32" i="11"/>
  <c r="I28" i="11"/>
  <c r="I24" i="11"/>
  <c r="I20" i="11"/>
  <c r="I16" i="11"/>
  <c r="I12" i="11"/>
  <c r="I8" i="11"/>
  <c r="I4" i="11"/>
  <c r="J98" i="11"/>
  <c r="J81" i="11"/>
  <c r="J4" i="11"/>
  <c r="I115" i="11"/>
  <c r="I111" i="11"/>
  <c r="I100" i="11"/>
  <c r="I94" i="11"/>
  <c r="I92" i="11"/>
  <c r="I74" i="11"/>
  <c r="I70" i="11"/>
  <c r="I61" i="11"/>
  <c r="I58" i="11"/>
  <c r="I87" i="11"/>
  <c r="I85" i="11"/>
  <c r="I55" i="11"/>
  <c r="I51" i="11"/>
  <c r="I47" i="11"/>
  <c r="I43" i="11"/>
  <c r="I39" i="11"/>
  <c r="I35" i="11"/>
  <c r="I31" i="11"/>
  <c r="I27" i="11"/>
  <c r="I23" i="11"/>
  <c r="I19" i="11"/>
  <c r="I15" i="11"/>
  <c r="I11" i="11"/>
  <c r="I7" i="11"/>
  <c r="J112" i="11"/>
  <c r="J90" i="11"/>
  <c r="J95" i="11"/>
  <c r="J78" i="11"/>
  <c r="J74" i="11"/>
  <c r="J70" i="11"/>
  <c r="J61" i="11"/>
  <c r="J58" i="11"/>
  <c r="J85" i="11"/>
  <c r="I73" i="11"/>
  <c r="I60" i="11"/>
  <c r="I83" i="11"/>
  <c r="I86" i="11"/>
  <c r="I57" i="11"/>
  <c r="I42" i="11"/>
  <c r="I38" i="11"/>
  <c r="I34" i="11"/>
  <c r="I30" i="11"/>
  <c r="I26" i="11"/>
  <c r="I22" i="11"/>
  <c r="I18" i="11"/>
  <c r="I14" i="11"/>
  <c r="I10" i="11"/>
  <c r="I6" i="11"/>
  <c r="J73" i="11"/>
  <c r="J60" i="11"/>
  <c r="J57" i="11"/>
  <c r="I113" i="11"/>
  <c r="I109" i="11"/>
  <c r="I98" i="11"/>
  <c r="I96" i="11"/>
  <c r="I79" i="11"/>
  <c r="I75" i="11"/>
  <c r="I72" i="11"/>
  <c r="I65" i="11"/>
  <c r="I59" i="11"/>
  <c r="I82" i="11"/>
  <c r="I88" i="11"/>
  <c r="I56" i="11"/>
  <c r="I53" i="11"/>
  <c r="I49" i="11"/>
  <c r="I45" i="11"/>
  <c r="I41" i="11"/>
  <c r="I37" i="11"/>
  <c r="I33" i="11"/>
  <c r="I29" i="11"/>
  <c r="I25" i="11"/>
  <c r="I21" i="11"/>
  <c r="I17" i="11"/>
  <c r="I13" i="11"/>
  <c r="I9" i="11"/>
  <c r="I5" i="11"/>
  <c r="J114" i="11"/>
  <c r="J110" i="11"/>
  <c r="J93" i="11"/>
  <c r="J75" i="11"/>
  <c r="J72" i="11"/>
  <c r="J65" i="11"/>
  <c r="J59" i="11"/>
  <c r="J82" i="11"/>
  <c r="J88" i="11"/>
  <c r="J56" i="11"/>
  <c r="V34" i="3"/>
  <c r="P48" i="7"/>
  <c r="E48" i="11"/>
  <c r="P44" i="7"/>
  <c r="E44" i="11"/>
  <c r="P40" i="7"/>
  <c r="J40" i="11" s="1"/>
  <c r="E40" i="11"/>
  <c r="P36" i="7"/>
  <c r="E36" i="11"/>
  <c r="P32" i="7"/>
  <c r="E32" i="11"/>
  <c r="P28" i="7"/>
  <c r="E28" i="11"/>
  <c r="P24" i="7"/>
  <c r="E24" i="11"/>
  <c r="P20" i="7"/>
  <c r="E20" i="11"/>
  <c r="P14" i="7"/>
  <c r="E16" i="11"/>
  <c r="P12" i="7"/>
  <c r="E12" i="11"/>
  <c r="P6" i="7"/>
  <c r="E8" i="11"/>
  <c r="P92" i="7"/>
  <c r="J87" i="11" s="1"/>
  <c r="E92" i="11"/>
  <c r="P51" i="7"/>
  <c r="J54" i="11" s="1"/>
  <c r="E51" i="11"/>
  <c r="P47" i="7"/>
  <c r="E47" i="11"/>
  <c r="P43" i="7"/>
  <c r="J55" i="11" s="1"/>
  <c r="E43" i="11"/>
  <c r="P39" i="7"/>
  <c r="E39" i="11"/>
  <c r="P35" i="7"/>
  <c r="E35" i="11"/>
  <c r="P31" i="7"/>
  <c r="E31" i="11"/>
  <c r="P27" i="7"/>
  <c r="E27" i="11"/>
  <c r="P23" i="7"/>
  <c r="J23" i="11" s="1"/>
  <c r="E23" i="11"/>
  <c r="P19" i="7"/>
  <c r="E19" i="11"/>
  <c r="P17" i="7"/>
  <c r="E15" i="11"/>
  <c r="P11" i="7"/>
  <c r="J11" i="11" s="1"/>
  <c r="E11" i="11"/>
  <c r="P8" i="7"/>
  <c r="E7" i="11"/>
  <c r="P50" i="7"/>
  <c r="J53" i="11" s="1"/>
  <c r="E50" i="11"/>
  <c r="P46" i="7"/>
  <c r="E46" i="11"/>
  <c r="P42" i="7"/>
  <c r="E42" i="11"/>
  <c r="P38" i="7"/>
  <c r="J38" i="11" s="1"/>
  <c r="E38" i="11"/>
  <c r="P34" i="7"/>
  <c r="E34" i="11"/>
  <c r="P30" i="7"/>
  <c r="E30" i="11"/>
  <c r="P26" i="7"/>
  <c r="E26" i="11"/>
  <c r="P22" i="7"/>
  <c r="E22" i="11"/>
  <c r="P18" i="7"/>
  <c r="J18" i="11" s="1"/>
  <c r="E18" i="11"/>
  <c r="P15" i="7"/>
  <c r="E14" i="11"/>
  <c r="P10" i="7"/>
  <c r="J10" i="11" s="1"/>
  <c r="E10" i="11"/>
  <c r="P7" i="7"/>
  <c r="E6" i="11"/>
  <c r="P49" i="7"/>
  <c r="J49" i="11" s="1"/>
  <c r="E49" i="11"/>
  <c r="P45" i="7"/>
  <c r="J45" i="11" s="1"/>
  <c r="E45" i="11"/>
  <c r="P41" i="7"/>
  <c r="J41" i="11" s="1"/>
  <c r="E41" i="11"/>
  <c r="P37" i="7"/>
  <c r="E37" i="11"/>
  <c r="P33" i="7"/>
  <c r="E33" i="11"/>
  <c r="P29" i="7"/>
  <c r="E29" i="11"/>
  <c r="P25" i="7"/>
  <c r="J25" i="11" s="1"/>
  <c r="E25" i="11"/>
  <c r="P21" i="7"/>
  <c r="E21" i="11"/>
  <c r="P16" i="7"/>
  <c r="E17" i="11"/>
  <c r="P13" i="7"/>
  <c r="E13" i="11"/>
  <c r="P9" i="7"/>
  <c r="J9" i="11" s="1"/>
  <c r="E9" i="11"/>
  <c r="P5" i="7"/>
  <c r="J5" i="11" s="1"/>
  <c r="E5" i="11"/>
  <c r="K228" i="7"/>
  <c r="K230" i="7" s="1"/>
  <c r="O228" i="7"/>
  <c r="J38" i="3"/>
  <c r="V38" i="3" s="1"/>
  <c r="J19" i="11" l="1"/>
  <c r="J13" i="11"/>
  <c r="J29" i="11"/>
  <c r="J37" i="11"/>
  <c r="J22" i="11"/>
  <c r="J46" i="11"/>
  <c r="J39" i="11"/>
  <c r="J47" i="11"/>
  <c r="J12" i="11"/>
  <c r="J28" i="11"/>
  <c r="J50" i="11"/>
  <c r="J6" i="11"/>
  <c r="J14" i="11"/>
  <c r="J31" i="11"/>
  <c r="J20" i="11"/>
  <c r="J36" i="11"/>
  <c r="J89" i="11"/>
  <c r="I228" i="11"/>
  <c r="J51" i="11"/>
  <c r="J24" i="11"/>
  <c r="J30" i="11"/>
  <c r="J7" i="11"/>
  <c r="J15" i="11"/>
  <c r="J44" i="11"/>
  <c r="J17" i="11"/>
  <c r="J33" i="11"/>
  <c r="J26" i="11"/>
  <c r="J34" i="11"/>
  <c r="J42" i="11"/>
  <c r="J27" i="11"/>
  <c r="J35" i="11"/>
  <c r="J43" i="11"/>
  <c r="J8" i="11"/>
  <c r="J16" i="11"/>
  <c r="J32" i="11"/>
  <c r="J48" i="11"/>
  <c r="J52" i="11"/>
  <c r="J102" i="11"/>
  <c r="J96" i="11"/>
  <c r="J21" i="11"/>
  <c r="J97" i="11"/>
  <c r="J92" i="11"/>
  <c r="J100" i="11"/>
  <c r="J101" i="11"/>
  <c r="J91" i="11"/>
  <c r="J99" i="11"/>
  <c r="J76" i="11"/>
  <c r="J103" i="11"/>
  <c r="J104" i="11"/>
  <c r="J105" i="11"/>
  <c r="J94" i="11"/>
  <c r="C35" i="1"/>
  <c r="W38" i="3"/>
  <c r="C31" i="1"/>
  <c r="W34" i="3"/>
  <c r="Y12" i="3"/>
  <c r="X12" i="3" s="1"/>
  <c r="Z12" i="3" s="1"/>
  <c r="Y13" i="3"/>
  <c r="X13" i="3" s="1"/>
  <c r="Z13" i="3" s="1"/>
  <c r="Y14" i="3"/>
  <c r="X14" i="3" s="1"/>
  <c r="Z14" i="3" s="1"/>
  <c r="Y15" i="3"/>
  <c r="X15" i="3" s="1"/>
  <c r="Z15" i="3" s="1"/>
  <c r="Y16" i="3"/>
  <c r="X16" i="3" s="1"/>
  <c r="Z16" i="3" s="1"/>
  <c r="Y17" i="3"/>
  <c r="X17" i="3" s="1"/>
  <c r="Z17" i="3" s="1"/>
  <c r="Y18" i="3"/>
  <c r="X18" i="3" s="1"/>
  <c r="Z18" i="3" s="1"/>
  <c r="Y19" i="3"/>
  <c r="X19" i="3" s="1"/>
  <c r="Z19" i="3" s="1"/>
  <c r="Y20" i="3"/>
  <c r="X20" i="3" s="1"/>
  <c r="Z20" i="3" s="1"/>
  <c r="Y21" i="3"/>
  <c r="X21" i="3" s="1"/>
  <c r="Z21" i="3" s="1"/>
  <c r="Y22" i="3"/>
  <c r="X22" i="3" s="1"/>
  <c r="Z22" i="3" s="1"/>
  <c r="Y23" i="3"/>
  <c r="X23" i="3" s="1"/>
  <c r="Z23" i="3" s="1"/>
  <c r="Y24" i="3"/>
  <c r="X24" i="3" s="1"/>
  <c r="Z24" i="3" s="1"/>
  <c r="Y25" i="3"/>
  <c r="X25" i="3" s="1"/>
  <c r="Z25" i="3" s="1"/>
  <c r="Y26" i="3"/>
  <c r="X26" i="3" s="1"/>
  <c r="Z26" i="3" s="1"/>
  <c r="Y27" i="3"/>
  <c r="X27" i="3" s="1"/>
  <c r="Z27" i="3" s="1"/>
  <c r="Y28" i="3"/>
  <c r="X28" i="3" s="1"/>
  <c r="Z28" i="3" s="1"/>
  <c r="Y29" i="3"/>
  <c r="X29" i="3" s="1"/>
  <c r="Z29" i="3" s="1"/>
  <c r="Y30" i="3"/>
  <c r="X30" i="3" s="1"/>
  <c r="Z30" i="3" s="1"/>
  <c r="Y31" i="3"/>
  <c r="X31" i="3" s="1"/>
  <c r="Z31" i="3" s="1"/>
  <c r="Y32" i="3"/>
  <c r="X32" i="3" s="1"/>
  <c r="Z32" i="3" s="1"/>
  <c r="Y33" i="3"/>
  <c r="X33" i="3" s="1"/>
  <c r="Z33" i="3" s="1"/>
  <c r="Y34" i="3"/>
  <c r="X34" i="3" s="1"/>
  <c r="Z34" i="3" s="1"/>
  <c r="Y35" i="3"/>
  <c r="X35" i="3" s="1"/>
  <c r="Z35" i="3" s="1"/>
  <c r="Y36" i="3"/>
  <c r="X36" i="3" s="1"/>
  <c r="Z36" i="3" s="1"/>
  <c r="Y37" i="3"/>
  <c r="X37" i="3" s="1"/>
  <c r="Z37" i="3" s="1"/>
  <c r="Y38" i="3"/>
  <c r="X38" i="3" s="1"/>
  <c r="Z38" i="3" s="1"/>
  <c r="Y39" i="3"/>
  <c r="X39" i="3" s="1"/>
  <c r="Z39" i="3" s="1"/>
  <c r="Y40" i="3"/>
  <c r="X40" i="3" s="1"/>
  <c r="Z40" i="3" s="1"/>
  <c r="Y41" i="3"/>
  <c r="X41" i="3" s="1"/>
  <c r="Z41" i="3" s="1"/>
  <c r="Y42" i="3"/>
  <c r="X42" i="3" s="1"/>
  <c r="Z42" i="3" s="1"/>
  <c r="Y43" i="3"/>
  <c r="X43" i="3" s="1"/>
  <c r="Z43" i="3" s="1"/>
  <c r="Y44" i="3"/>
  <c r="X44" i="3" s="1"/>
  <c r="Z44" i="3" s="1"/>
  <c r="Y45" i="3"/>
  <c r="X45" i="3" s="1"/>
  <c r="Z45" i="3" s="1"/>
  <c r="Y46" i="3"/>
  <c r="X46" i="3" s="1"/>
  <c r="Z46" i="3" s="1"/>
  <c r="Y47" i="3"/>
  <c r="X47" i="3" s="1"/>
  <c r="Z47" i="3" s="1"/>
  <c r="Y48" i="3"/>
  <c r="X48" i="3" s="1"/>
  <c r="Z48" i="3" s="1"/>
  <c r="Y49" i="3"/>
  <c r="X49" i="3" s="1"/>
  <c r="Z49" i="3" s="1"/>
  <c r="Y50" i="3"/>
  <c r="X50" i="3" s="1"/>
  <c r="Z50" i="3" s="1"/>
  <c r="Y51" i="3"/>
  <c r="X51" i="3" s="1"/>
  <c r="Z51" i="3" s="1"/>
  <c r="Y52" i="3"/>
  <c r="X52" i="3" s="1"/>
  <c r="Z52" i="3" s="1"/>
  <c r="Y53" i="3"/>
  <c r="X53" i="3" s="1"/>
  <c r="Z53" i="3" s="1"/>
  <c r="Y54" i="3"/>
  <c r="X54" i="3" s="1"/>
  <c r="Z54" i="3" s="1"/>
  <c r="Y55" i="3"/>
  <c r="X55" i="3" s="1"/>
  <c r="Z55" i="3" s="1"/>
  <c r="Y56" i="3"/>
  <c r="X56" i="3" s="1"/>
  <c r="Z56" i="3" s="1"/>
  <c r="Y57" i="3"/>
  <c r="X57" i="3" s="1"/>
  <c r="Z57" i="3" s="1"/>
  <c r="Y58" i="3"/>
  <c r="X58" i="3" s="1"/>
  <c r="Z58" i="3" s="1"/>
  <c r="Y59" i="3"/>
  <c r="X59" i="3" s="1"/>
  <c r="Z59" i="3" s="1"/>
  <c r="Y60" i="3"/>
  <c r="X60" i="3" s="1"/>
  <c r="Z60" i="3" s="1"/>
  <c r="Y11" i="3"/>
  <c r="X11" i="3" s="1"/>
  <c r="Z11" i="3" s="1"/>
  <c r="J58" i="3" l="1"/>
  <c r="V58" i="3" s="1"/>
  <c r="J59" i="3"/>
  <c r="V59" i="3" s="1"/>
  <c r="J37" i="3"/>
  <c r="C55" i="1" l="1"/>
  <c r="W58" i="3"/>
  <c r="C56" i="1"/>
  <c r="W59" i="3"/>
  <c r="V37" i="3"/>
  <c r="J105" i="3"/>
  <c r="F63" i="5"/>
  <c r="F62" i="5"/>
  <c r="E62" i="5"/>
  <c r="F61" i="5"/>
  <c r="E61" i="5"/>
  <c r="F60" i="5"/>
  <c r="E60" i="5"/>
  <c r="F59" i="5"/>
  <c r="E59" i="5"/>
  <c r="F58" i="5"/>
  <c r="E58" i="5"/>
  <c r="F57" i="5"/>
  <c r="E57" i="5"/>
  <c r="F56" i="5"/>
  <c r="E56" i="5"/>
  <c r="F55" i="5"/>
  <c r="E55" i="5"/>
  <c r="F54" i="5"/>
  <c r="E54" i="5"/>
  <c r="F53" i="5"/>
  <c r="E53" i="5"/>
  <c r="F52" i="5"/>
  <c r="E52" i="5"/>
  <c r="F51" i="5"/>
  <c r="E51" i="5"/>
  <c r="F50" i="5"/>
  <c r="E50" i="5"/>
  <c r="F49" i="5"/>
  <c r="E49" i="5"/>
  <c r="F48" i="5"/>
  <c r="E48" i="5"/>
  <c r="F47" i="5"/>
  <c r="E47" i="5"/>
  <c r="F46" i="5"/>
  <c r="E46" i="5"/>
  <c r="F45" i="5"/>
  <c r="E45" i="5"/>
  <c r="F44" i="5"/>
  <c r="E44" i="5"/>
  <c r="U43" i="5"/>
  <c r="F43" i="5"/>
  <c r="E43" i="5"/>
  <c r="U42" i="5"/>
  <c r="F42" i="5"/>
  <c r="E42" i="5"/>
  <c r="U41" i="5"/>
  <c r="F41" i="5"/>
  <c r="E41" i="5"/>
  <c r="U40" i="5"/>
  <c r="F40" i="5"/>
  <c r="E40" i="5"/>
  <c r="U39" i="5"/>
  <c r="F39" i="5"/>
  <c r="E39" i="5"/>
  <c r="U38" i="5"/>
  <c r="F38" i="5"/>
  <c r="E38" i="5"/>
  <c r="U37" i="5"/>
  <c r="F37" i="5"/>
  <c r="E37" i="5"/>
  <c r="U36" i="5"/>
  <c r="F36" i="5"/>
  <c r="E36" i="5"/>
  <c r="U35" i="5"/>
  <c r="F35" i="5"/>
  <c r="E35" i="5"/>
  <c r="U34" i="5"/>
  <c r="F34" i="5"/>
  <c r="E34" i="5"/>
  <c r="U33" i="5"/>
  <c r="F33" i="5"/>
  <c r="E33" i="5"/>
  <c r="U32" i="5"/>
  <c r="F32" i="5"/>
  <c r="E32" i="5"/>
  <c r="U31" i="5"/>
  <c r="F31" i="5"/>
  <c r="E31" i="5"/>
  <c r="U30" i="5"/>
  <c r="F30" i="5"/>
  <c r="E30" i="5"/>
  <c r="U29" i="5"/>
  <c r="F29" i="5"/>
  <c r="E29" i="5"/>
  <c r="U28" i="5"/>
  <c r="F28" i="5"/>
  <c r="E28" i="5"/>
  <c r="U27" i="5"/>
  <c r="F27" i="5"/>
  <c r="E27" i="5"/>
  <c r="U26" i="5"/>
  <c r="F26" i="5"/>
  <c r="E26" i="5"/>
  <c r="U25" i="5"/>
  <c r="F25" i="5"/>
  <c r="E25" i="5"/>
  <c r="U24" i="5"/>
  <c r="F24" i="5"/>
  <c r="E24" i="5"/>
  <c r="U23" i="5"/>
  <c r="F23" i="5"/>
  <c r="E23" i="5"/>
  <c r="U22" i="5"/>
  <c r="F22" i="5"/>
  <c r="E22" i="5"/>
  <c r="U21" i="5"/>
  <c r="F21" i="5"/>
  <c r="E21" i="5"/>
  <c r="U20" i="5"/>
  <c r="F20" i="5"/>
  <c r="E20" i="5"/>
  <c r="U19" i="5"/>
  <c r="F19" i="5"/>
  <c r="E19" i="5"/>
  <c r="U18" i="5"/>
  <c r="F18" i="5"/>
  <c r="E18" i="5"/>
  <c r="U17" i="5"/>
  <c r="F17" i="5"/>
  <c r="E17" i="5"/>
  <c r="U16" i="5"/>
  <c r="F16" i="5"/>
  <c r="E16" i="5"/>
  <c r="U15" i="5"/>
  <c r="F15" i="5"/>
  <c r="E15" i="5"/>
  <c r="U14" i="5"/>
  <c r="F14" i="5"/>
  <c r="E14" i="5"/>
  <c r="U13" i="5"/>
  <c r="F13" i="5"/>
  <c r="E13" i="5"/>
  <c r="U12" i="5"/>
  <c r="F12" i="5"/>
  <c r="E12" i="5"/>
  <c r="U11" i="5"/>
  <c r="F11" i="5"/>
  <c r="E11" i="5"/>
  <c r="U10" i="5"/>
  <c r="F10" i="5"/>
  <c r="E10" i="5"/>
  <c r="U9" i="5"/>
  <c r="F9" i="5"/>
  <c r="E9" i="5"/>
  <c r="U8" i="5"/>
  <c r="F8" i="5"/>
  <c r="E8" i="5"/>
  <c r="U7" i="5"/>
  <c r="F7" i="5"/>
  <c r="E7" i="5"/>
  <c r="U6" i="5"/>
  <c r="F6" i="5"/>
  <c r="E6" i="5"/>
  <c r="U5" i="5"/>
  <c r="F5" i="5"/>
  <c r="E5" i="5"/>
  <c r="F4" i="5"/>
  <c r="E4" i="5"/>
  <c r="M3" i="5"/>
  <c r="M4" i="5" s="1"/>
  <c r="M5" i="5" s="1"/>
  <c r="M6" i="5" s="1"/>
  <c r="M7" i="5" s="1"/>
  <c r="M8" i="5" s="1"/>
  <c r="M9" i="5" s="1"/>
  <c r="M10" i="5" s="1"/>
  <c r="M11" i="5" s="1"/>
  <c r="M12" i="5" s="1"/>
  <c r="M13" i="5" s="1"/>
  <c r="M14" i="5" s="1"/>
  <c r="M15" i="5" s="1"/>
  <c r="M16" i="5" s="1"/>
  <c r="M17" i="5" s="1"/>
  <c r="M18" i="5" s="1"/>
  <c r="M19" i="5" s="1"/>
  <c r="M20" i="5" s="1"/>
  <c r="M21" i="5" s="1"/>
  <c r="M22" i="5" s="1"/>
  <c r="M23" i="5" s="1"/>
  <c r="F3" i="5"/>
  <c r="E3" i="5"/>
  <c r="N228" i="7"/>
  <c r="M228" i="7"/>
  <c r="E63" i="6"/>
  <c r="J29" i="6"/>
  <c r="AF62" i="8"/>
  <c r="AC62" i="8"/>
  <c r="F62" i="8"/>
  <c r="AC61" i="8"/>
  <c r="AA61" i="8" s="1"/>
  <c r="AE61" i="8" s="1"/>
  <c r="Y61" i="8"/>
  <c r="W61" i="8"/>
  <c r="U61" i="8"/>
  <c r="S61" i="8"/>
  <c r="U60" i="8"/>
  <c r="S60" i="8"/>
  <c r="AE59" i="8"/>
  <c r="AA59" i="8"/>
  <c r="Y59" i="8"/>
  <c r="U59" i="8"/>
  <c r="S59" i="8"/>
  <c r="AC58" i="8"/>
  <c r="AA58" i="8" s="1"/>
  <c r="AE58" i="8" s="1"/>
  <c r="Y58" i="8"/>
  <c r="W58" i="8"/>
  <c r="U58" i="8"/>
  <c r="S58" i="8"/>
  <c r="AC57" i="8"/>
  <c r="AA57" i="8" s="1"/>
  <c r="AE57" i="8" s="1"/>
  <c r="Y57" i="8"/>
  <c r="W57" i="8"/>
  <c r="U57" i="8"/>
  <c r="S57" i="8"/>
  <c r="AC56" i="8"/>
  <c r="AA56" i="8" s="1"/>
  <c r="AE56" i="8" s="1"/>
  <c r="Y56" i="8"/>
  <c r="W56" i="8"/>
  <c r="U56" i="8"/>
  <c r="S56" i="8"/>
  <c r="AC55" i="8"/>
  <c r="AA55" i="8" s="1"/>
  <c r="AE55" i="8" s="1"/>
  <c r="Y55" i="8"/>
  <c r="W55" i="8"/>
  <c r="U55" i="8"/>
  <c r="S55" i="8"/>
  <c r="AC54" i="8"/>
  <c r="AA54" i="8" s="1"/>
  <c r="AE54" i="8" s="1"/>
  <c r="Y54" i="8"/>
  <c r="W54" i="8"/>
  <c r="U54" i="8"/>
  <c r="S54" i="8"/>
  <c r="AC53" i="8"/>
  <c r="AA53" i="8" s="1"/>
  <c r="AE53" i="8" s="1"/>
  <c r="Y53" i="8"/>
  <c r="W53" i="8"/>
  <c r="U53" i="8"/>
  <c r="S53" i="8"/>
  <c r="AC52" i="8"/>
  <c r="AA52" i="8" s="1"/>
  <c r="AE52" i="8" s="1"/>
  <c r="Y52" i="8"/>
  <c r="W52" i="8"/>
  <c r="U52" i="8"/>
  <c r="S52" i="8"/>
  <c r="AC51" i="8"/>
  <c r="AA51" i="8" s="1"/>
  <c r="AE51" i="8" s="1"/>
  <c r="Y51" i="8"/>
  <c r="W51" i="8"/>
  <c r="U51" i="8"/>
  <c r="S51" i="8"/>
  <c r="AC50" i="8"/>
  <c r="AA50" i="8" s="1"/>
  <c r="AE50" i="8" s="1"/>
  <c r="Y50" i="8"/>
  <c r="W50" i="8"/>
  <c r="U50" i="8"/>
  <c r="S50" i="8"/>
  <c r="AC49" i="8"/>
  <c r="AA49" i="8" s="1"/>
  <c r="AE49" i="8" s="1"/>
  <c r="Y49" i="8"/>
  <c r="W49" i="8"/>
  <c r="U49" i="8"/>
  <c r="S49" i="8"/>
  <c r="AC48" i="8"/>
  <c r="AA48" i="8" s="1"/>
  <c r="AE48" i="8" s="1"/>
  <c r="Y48" i="8"/>
  <c r="W48" i="8"/>
  <c r="U48" i="8"/>
  <c r="S48" i="8"/>
  <c r="AC47" i="8"/>
  <c r="AA47" i="8" s="1"/>
  <c r="AE47" i="8" s="1"/>
  <c r="Y47" i="8"/>
  <c r="W47" i="8"/>
  <c r="U47" i="8"/>
  <c r="S47" i="8"/>
  <c r="AC46" i="8"/>
  <c r="AA46" i="8" s="1"/>
  <c r="AE46" i="8" s="1"/>
  <c r="Y46" i="8"/>
  <c r="W46" i="8"/>
  <c r="U46" i="8"/>
  <c r="S46" i="8"/>
  <c r="AC45" i="8"/>
  <c r="AA45" i="8" s="1"/>
  <c r="AE45" i="8" s="1"/>
  <c r="Y45" i="8"/>
  <c r="W45" i="8"/>
  <c r="U45" i="8"/>
  <c r="S45" i="8"/>
  <c r="AC44" i="8"/>
  <c r="AA44" i="8" s="1"/>
  <c r="AE44" i="8" s="1"/>
  <c r="Y44" i="8"/>
  <c r="W44" i="8"/>
  <c r="U44" i="8"/>
  <c r="S44" i="8"/>
  <c r="AC43" i="8"/>
  <c r="AA43" i="8" s="1"/>
  <c r="AE43" i="8" s="1"/>
  <c r="Y43" i="8"/>
  <c r="W43" i="8"/>
  <c r="U43" i="8"/>
  <c r="S43" i="8"/>
  <c r="AC42" i="8"/>
  <c r="AA42" i="8" s="1"/>
  <c r="AE42" i="8" s="1"/>
  <c r="Y42" i="8"/>
  <c r="W42" i="8"/>
  <c r="U42" i="8"/>
  <c r="S42" i="8"/>
  <c r="AC41" i="8"/>
  <c r="AA41" i="8" s="1"/>
  <c r="AE41" i="8" s="1"/>
  <c r="Y41" i="8"/>
  <c r="W41" i="8"/>
  <c r="U41" i="8"/>
  <c r="S41" i="8"/>
  <c r="AC40" i="8"/>
  <c r="AA40" i="8" s="1"/>
  <c r="AE40" i="8" s="1"/>
  <c r="Y40" i="8"/>
  <c r="W40" i="8"/>
  <c r="U40" i="8"/>
  <c r="S40" i="8"/>
  <c r="AC39" i="8"/>
  <c r="AA39" i="8" s="1"/>
  <c r="AE39" i="8" s="1"/>
  <c r="Y39" i="8"/>
  <c r="W39" i="8"/>
  <c r="U39" i="8"/>
  <c r="S39" i="8"/>
  <c r="AC38" i="8"/>
  <c r="AA38" i="8" s="1"/>
  <c r="AE38" i="8" s="1"/>
  <c r="Y38" i="8"/>
  <c r="W38" i="8"/>
  <c r="U38" i="8"/>
  <c r="S38" i="8"/>
  <c r="AC37" i="8"/>
  <c r="AA37" i="8" s="1"/>
  <c r="AE37" i="8" s="1"/>
  <c r="Y37" i="8"/>
  <c r="W37" i="8"/>
  <c r="U37" i="8"/>
  <c r="S37" i="8"/>
  <c r="AC36" i="8"/>
  <c r="AA36" i="8" s="1"/>
  <c r="AE36" i="8" s="1"/>
  <c r="Y36" i="8"/>
  <c r="W36" i="8"/>
  <c r="U36" i="8"/>
  <c r="S36" i="8"/>
  <c r="AC35" i="8"/>
  <c r="AA35" i="8" s="1"/>
  <c r="AE35" i="8" s="1"/>
  <c r="Y35" i="8"/>
  <c r="W35" i="8"/>
  <c r="U35" i="8"/>
  <c r="S35" i="8"/>
  <c r="AC34" i="8"/>
  <c r="AA34" i="8" s="1"/>
  <c r="AE34" i="8" s="1"/>
  <c r="Y34" i="8"/>
  <c r="W34" i="8"/>
  <c r="U34" i="8"/>
  <c r="S34" i="8"/>
  <c r="AC33" i="8"/>
  <c r="AA33" i="8" s="1"/>
  <c r="AE33" i="8" s="1"/>
  <c r="Y33" i="8"/>
  <c r="W33" i="8"/>
  <c r="U33" i="8"/>
  <c r="S33" i="8"/>
  <c r="AC32" i="8"/>
  <c r="AA32" i="8" s="1"/>
  <c r="AE32" i="8" s="1"/>
  <c r="Y32" i="8"/>
  <c r="W32" i="8"/>
  <c r="U32" i="8"/>
  <c r="S32" i="8"/>
  <c r="AC31" i="8"/>
  <c r="AA31" i="8" s="1"/>
  <c r="AE31" i="8" s="1"/>
  <c r="Y31" i="8"/>
  <c r="W31" i="8"/>
  <c r="U31" i="8"/>
  <c r="S31" i="8"/>
  <c r="AC30" i="8"/>
  <c r="AA30" i="8" s="1"/>
  <c r="AE30" i="8" s="1"/>
  <c r="Y30" i="8"/>
  <c r="W30" i="8"/>
  <c r="U30" i="8"/>
  <c r="S30" i="8"/>
  <c r="AC29" i="8"/>
  <c r="AA29" i="8" s="1"/>
  <c r="AE29" i="8" s="1"/>
  <c r="Y29" i="8"/>
  <c r="W29" i="8"/>
  <c r="U29" i="8"/>
  <c r="S29" i="8"/>
  <c r="AC28" i="8"/>
  <c r="AA28" i="8" s="1"/>
  <c r="AE28" i="8" s="1"/>
  <c r="Y28" i="8"/>
  <c r="W28" i="8"/>
  <c r="U28" i="8"/>
  <c r="S28" i="8"/>
  <c r="AC27" i="8"/>
  <c r="AA27" i="8" s="1"/>
  <c r="AE27" i="8" s="1"/>
  <c r="Y27" i="8"/>
  <c r="W27" i="8"/>
  <c r="U27" i="8"/>
  <c r="S27" i="8"/>
  <c r="AC26" i="8"/>
  <c r="AA26" i="8" s="1"/>
  <c r="AE26" i="8" s="1"/>
  <c r="Y26" i="8"/>
  <c r="W26" i="8"/>
  <c r="U26" i="8"/>
  <c r="S26" i="8"/>
  <c r="AC25" i="8"/>
  <c r="AA25" i="8" s="1"/>
  <c r="AE25" i="8" s="1"/>
  <c r="Y25" i="8"/>
  <c r="W25" i="8"/>
  <c r="U25" i="8"/>
  <c r="S25" i="8"/>
  <c r="AC24" i="8"/>
  <c r="AA24" i="8" s="1"/>
  <c r="AE24" i="8" s="1"/>
  <c r="Y24" i="8"/>
  <c r="W24" i="8"/>
  <c r="U24" i="8"/>
  <c r="S24" i="8"/>
  <c r="AC23" i="8"/>
  <c r="AA23" i="8" s="1"/>
  <c r="AE23" i="8" s="1"/>
  <c r="Y23" i="8"/>
  <c r="W23" i="8"/>
  <c r="U23" i="8"/>
  <c r="S23" i="8"/>
  <c r="AC22" i="8"/>
  <c r="AA22" i="8" s="1"/>
  <c r="AE22" i="8" s="1"/>
  <c r="Y22" i="8"/>
  <c r="W22" i="8"/>
  <c r="U22" i="8"/>
  <c r="S22" i="8"/>
  <c r="AC21" i="8"/>
  <c r="AA21" i="8" s="1"/>
  <c r="AE21" i="8" s="1"/>
  <c r="Y21" i="8"/>
  <c r="W21" i="8"/>
  <c r="U21" i="8"/>
  <c r="S21" i="8"/>
  <c r="AC20" i="8"/>
  <c r="AA20" i="8" s="1"/>
  <c r="AE20" i="8" s="1"/>
  <c r="Y20" i="8"/>
  <c r="W20" i="8"/>
  <c r="U20" i="8"/>
  <c r="S20" i="8"/>
  <c r="AC19" i="8"/>
  <c r="AA19" i="8" s="1"/>
  <c r="AE19" i="8" s="1"/>
  <c r="Y19" i="8"/>
  <c r="W19" i="8"/>
  <c r="U19" i="8"/>
  <c r="S19" i="8"/>
  <c r="AC18" i="8"/>
  <c r="AA18" i="8" s="1"/>
  <c r="AE18" i="8" s="1"/>
  <c r="Y18" i="8"/>
  <c r="W18" i="8"/>
  <c r="U18" i="8"/>
  <c r="S18" i="8"/>
  <c r="AC17" i="8"/>
  <c r="AA17" i="8" s="1"/>
  <c r="AE17" i="8" s="1"/>
  <c r="Y17" i="8"/>
  <c r="W17" i="8"/>
  <c r="U17" i="8"/>
  <c r="S17" i="8"/>
  <c r="AC16" i="8"/>
  <c r="AA16" i="8" s="1"/>
  <c r="Y16" i="8"/>
  <c r="W16" i="8"/>
  <c r="U16" i="8"/>
  <c r="S16" i="8"/>
  <c r="AC15" i="8"/>
  <c r="AA15" i="8" s="1"/>
  <c r="AE15" i="8" s="1"/>
  <c r="Y15" i="8"/>
  <c r="W15" i="8"/>
  <c r="U15" i="8"/>
  <c r="S15" i="8"/>
  <c r="AC14" i="8"/>
  <c r="AA14" i="8" s="1"/>
  <c r="AE14" i="8" s="1"/>
  <c r="Y14" i="8"/>
  <c r="W14" i="8"/>
  <c r="U14" i="8"/>
  <c r="S14" i="8"/>
  <c r="R14" i="8"/>
  <c r="AC13" i="8"/>
  <c r="AA13" i="8" s="1"/>
  <c r="AE13" i="8" s="1"/>
  <c r="Y13" i="8"/>
  <c r="W13" i="8"/>
  <c r="U13" i="8"/>
  <c r="S13" i="8"/>
  <c r="AC12" i="8"/>
  <c r="AA12" i="8" s="1"/>
  <c r="AE12" i="8" s="1"/>
  <c r="Y12" i="8"/>
  <c r="W12" i="8"/>
  <c r="U12" i="8"/>
  <c r="S12" i="8"/>
  <c r="AC11" i="8"/>
  <c r="AA11" i="8" s="1"/>
  <c r="AE11" i="8" s="1"/>
  <c r="Y11" i="8"/>
  <c r="W11" i="8"/>
  <c r="U11" i="8"/>
  <c r="S11" i="8"/>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U14" i="3"/>
  <c r="C14" i="3"/>
  <c r="C13" i="3"/>
  <c r="C12" i="3"/>
  <c r="C11" i="3"/>
  <c r="G57" i="1"/>
  <c r="G56" i="1"/>
  <c r="G55" i="1"/>
  <c r="E55" i="1"/>
  <c r="G54" i="1"/>
  <c r="E54" i="1"/>
  <c r="G53" i="1"/>
  <c r="E53" i="1"/>
  <c r="G52" i="1"/>
  <c r="E52" i="1"/>
  <c r="G51" i="1"/>
  <c r="E51" i="1"/>
  <c r="G50" i="1"/>
  <c r="G49" i="1"/>
  <c r="G48" i="1"/>
  <c r="G47" i="1"/>
  <c r="G46" i="1"/>
  <c r="G45" i="1"/>
  <c r="G44" i="1"/>
  <c r="G43" i="1"/>
  <c r="G42" i="1"/>
  <c r="G41" i="1"/>
  <c r="G40" i="1"/>
  <c r="G39" i="1"/>
  <c r="G38" i="1"/>
  <c r="G37" i="1"/>
  <c r="E37" i="1"/>
  <c r="G36" i="1"/>
  <c r="G35" i="1"/>
  <c r="G34" i="1"/>
  <c r="G33" i="1"/>
  <c r="G32" i="1"/>
  <c r="G31" i="1"/>
  <c r="G30" i="1"/>
  <c r="G29" i="1"/>
  <c r="G28" i="1"/>
  <c r="G27" i="1"/>
  <c r="G26" i="1"/>
  <c r="G25" i="1"/>
  <c r="G24" i="1"/>
  <c r="G23" i="1"/>
  <c r="G22" i="1"/>
  <c r="G21" i="1"/>
  <c r="G20" i="1"/>
  <c r="G19" i="1"/>
  <c r="G18" i="1"/>
  <c r="G17" i="1"/>
  <c r="G16" i="1"/>
  <c r="G15" i="1"/>
  <c r="G14" i="1"/>
  <c r="G13" i="1"/>
  <c r="G12" i="1"/>
  <c r="G11" i="1"/>
  <c r="G10" i="1"/>
  <c r="E10" i="1"/>
  <c r="G9" i="1"/>
  <c r="E9" i="1"/>
  <c r="G8" i="1"/>
  <c r="E8" i="1"/>
  <c r="K5" i="1"/>
  <c r="AC64" i="8" s="1"/>
  <c r="H5" i="1"/>
  <c r="C5" i="1"/>
  <c r="C4" i="1"/>
  <c r="C34" i="1" l="1"/>
  <c r="W37" i="3"/>
  <c r="U62" i="8"/>
  <c r="C62" i="8"/>
  <c r="C8" i="1"/>
  <c r="L117" i="1"/>
  <c r="Y109" i="3"/>
  <c r="P228" i="7" l="1"/>
  <c r="E228" i="11" l="1"/>
  <c r="J228" i="11"/>
  <c r="V92" i="3"/>
  <c r="C89" i="1" l="1"/>
  <c r="W92" i="3"/>
  <c r="W62" i="8" s="1"/>
  <c r="Y62" i="8"/>
  <c r="AA62" i="8" l="1"/>
  <c r="Z105" i="3"/>
  <c r="AE62" i="8" l="1"/>
</calcChain>
</file>

<file path=xl/connections.xml><?xml version="1.0" encoding="utf-8"?>
<connections xmlns="http://schemas.openxmlformats.org/spreadsheetml/2006/main">
  <connection id="1" name="LinkedTable_Accruals" type="102" refreshedVersion="6" minRefreshableVersion="5">
    <extLst>
      <ext xmlns:x15="http://schemas.microsoft.com/office/spreadsheetml/2010/11/main" uri="{DE250136-89BD-433C-8126-D09CA5730AF9}">
        <x15:connection id="Accruals">
          <x15:rangePr sourceName="_xlcn.LinkedTable_Accruals1"/>
        </x15:connection>
      </ext>
    </extLst>
  </connection>
  <connection id="2" name="LinkedTable_CavityStatus" type="102" refreshedVersion="6" minRefreshableVersion="5">
    <extLst>
      <ext xmlns:x15="http://schemas.microsoft.com/office/spreadsheetml/2010/11/main" uri="{DE250136-89BD-433C-8126-D09CA5730AF9}">
        <x15:connection id="CavityStatus">
          <x15:rangePr sourceName="_xlcn.LinkedTable_CavityStatus1"/>
        </x15:connection>
      </ext>
    </extLst>
  </connection>
  <connection id="3"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<sst xmlns="http://schemas.openxmlformats.org/spreadsheetml/2006/main" count="1205" uniqueCount="515">
  <si>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</si>
  <si>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</si>
  <si>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</si>
  <si>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</si>
  <si>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</si>
  <si>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</si>
  <si>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</si>
  <si>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</si>
  <si>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</si>
  <si>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</si>
  <si>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</si>
  <si>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</si>
  <si>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</si>
  <si>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</si>
  <si>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</si>
  <si>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</si>
  <si>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</si>
  <si>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</si>
  <si>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</si>
  <si>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</si>
  <si>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</si>
  <si>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</si>
  <si>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</si>
  <si>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</si>
  <si>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</si>
  <si>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</si>
  <si>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</si>
  <si>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</si>
  <si>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</si>
  <si>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</si>
  <si>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</si>
  <si>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</si>
  <si>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</si>
  <si>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</si>
  <si>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</si>
  <si>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</si>
  <si>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</si>
  <si>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</si>
  <si>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</si>
  <si>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</si>
  <si>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</si>
  <si>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</si>
  <si>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</si>
  <si>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</si>
  <si>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</si>
  <si>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</si>
  <si>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</si>
  <si>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Proof of completed furnace uprade</t>
  </si>
  <si>
    <t>Description</t>
  </si>
  <si>
    <t>Proof of equipment order furnace uprade</t>
  </si>
  <si>
    <t>15-C0587</t>
  </si>
  <si>
    <t>Est Date</t>
  </si>
  <si>
    <t>% Complete</t>
  </si>
  <si>
    <t>Acceptance of Ni doping process - Cav 1 (of 2)</t>
  </si>
  <si>
    <t>Acceptance of Ni doping process - Cav 2 (of 2)</t>
  </si>
  <si>
    <t>Eden Evans for Ed Daly</t>
  </si>
  <si>
    <t>RI Research Instruments</t>
  </si>
  <si>
    <t>Fitzpatrick</t>
  </si>
  <si>
    <t xml:space="preserve">PH III: Mech Pre-Fab Cavities (73-133) </t>
  </si>
  <si>
    <t xml:space="preserve">PH II: First Articles Deliver &amp; Accept (1-8) </t>
  </si>
  <si>
    <t>PH III:  Deliver &amp; Accept  Cavities (9-12)</t>
  </si>
  <si>
    <t>PH III:  Deliver &amp; Accept  Cavities (13-16)</t>
  </si>
  <si>
    <t>PH III:  Deliver &amp; Accept  Cavities (17-20)</t>
  </si>
  <si>
    <t>PH III:  Deliver &amp; Accept  Cavities (21-24)</t>
  </si>
  <si>
    <t>PH III:  Deliver &amp; Accept  Cavities (25-28)</t>
  </si>
  <si>
    <t>PH III:  Deliver &amp; Accept  Cavities (29-32)</t>
  </si>
  <si>
    <t>PH III:  Deliver &amp; Accept  Cavities (33-36)</t>
  </si>
  <si>
    <t>PH III:  Deliver &amp; Accept  Cavities (37-40)</t>
  </si>
  <si>
    <t>PH III:  Deliver &amp; Accept  Cavities (41-44)</t>
  </si>
  <si>
    <t>PH III:  Deliver &amp; Accept  Cavities (45-48)</t>
  </si>
  <si>
    <t>PH III:  Deliver &amp; Accept  Cavities (49-52)</t>
  </si>
  <si>
    <t>PH III:  Deliver &amp; Accept  Cavities (53-56)</t>
  </si>
  <si>
    <t>PH III:  Deliver &amp; Accept  Cavities (57-60)</t>
  </si>
  <si>
    <t>PH III:  Deliver &amp; Accept  Cavities (61-64)</t>
  </si>
  <si>
    <t>PH III:  Deliver &amp; Accept  Cavities (65-68)</t>
  </si>
  <si>
    <t>PH III:  Deliver &amp; Accept  Cavities (69-72)</t>
  </si>
  <si>
    <t>PH III:  Deliver &amp; Accept  Cavities (73-76)</t>
  </si>
  <si>
    <t>PH III:  Deliver &amp; Accept  Cavities (77-80)</t>
  </si>
  <si>
    <t>PH III:  Deliver &amp; Accept  Cavities (81-84)</t>
  </si>
  <si>
    <t>PH III:  Deliver &amp; Accept  Cavities (85-88)</t>
  </si>
  <si>
    <t>PH III:  Deliver &amp; Accept  Cavities (89-92)</t>
  </si>
  <si>
    <t>PH III:  Deliver &amp; Accept  Cavities (93-96)</t>
  </si>
  <si>
    <t>PH III:  Deliver &amp; Accept  Cavities (97-100)</t>
  </si>
  <si>
    <t>PH III:  Deliver &amp; Accept  Cavities (101-104)</t>
  </si>
  <si>
    <t>PH III:  Deliver &amp; Accept  Cavities (105-108)</t>
  </si>
  <si>
    <t>PH III:  Deliver &amp; Accept  Cavities (109-112)</t>
  </si>
  <si>
    <t>PH III:  Deliver &amp; Accept  Cavities (113-116)</t>
  </si>
  <si>
    <t>PH III:  Deliver &amp; Accept  Cavities (117-120)</t>
  </si>
  <si>
    <t>PH III:  Deliver &amp; Accept  Cavities (121-124)</t>
  </si>
  <si>
    <t>PH III:  Deliver &amp; Accept  Cavities (125-128)</t>
  </si>
  <si>
    <t>PH III:  Deliver &amp; Accept  Cavities (129-133)</t>
  </si>
  <si>
    <r>
      <rPr>
        <u/>
        <sz val="10"/>
        <rFont val="Arial"/>
        <family val="2"/>
      </rPr>
      <t>MOD 002</t>
    </r>
    <r>
      <rPr>
        <sz val="10"/>
        <rFont val="Arial"/>
        <family val="2"/>
      </rPr>
      <t>: DESY Equip Refurbishment</t>
    </r>
  </si>
  <si>
    <r>
      <rPr>
        <u/>
        <sz val="10"/>
        <rFont val="Arial"/>
        <family val="2"/>
      </rPr>
      <t>MOD 002</t>
    </r>
    <r>
      <rPr>
        <sz val="10"/>
        <rFont val="Arial"/>
        <family val="2"/>
      </rPr>
      <t xml:space="preserve">: DESY Equip Service &amp; Support Costs  </t>
    </r>
  </si>
  <si>
    <r>
      <rPr>
        <u/>
        <sz val="10"/>
        <rFont val="Arial"/>
        <family val="2"/>
      </rPr>
      <t>MOD 003</t>
    </r>
    <r>
      <rPr>
        <sz val="10"/>
        <rFont val="Arial"/>
        <family val="2"/>
      </rPr>
      <t>: Accel Shipment (1-16) Incentives (Max of $323,136)</t>
    </r>
  </si>
  <si>
    <r>
      <rPr>
        <u/>
        <sz val="10"/>
        <rFont val="Arial"/>
        <family val="2"/>
      </rPr>
      <t>MOD 004</t>
    </r>
    <r>
      <rPr>
        <sz val="10"/>
        <rFont val="Arial"/>
        <family val="2"/>
      </rPr>
      <t>: Incentives for Accelerated Production Deliveries</t>
    </r>
  </si>
  <si>
    <r>
      <rPr>
        <u/>
        <sz val="10"/>
        <rFont val="Arial"/>
        <family val="2"/>
      </rPr>
      <t>MOD 005</t>
    </r>
    <r>
      <rPr>
        <sz val="10"/>
        <rFont val="Arial"/>
        <family val="2"/>
      </rPr>
      <t>: DESY Equipment Lease ($9,200/ month)</t>
    </r>
  </si>
  <si>
    <r>
      <rPr>
        <u/>
        <sz val="10"/>
        <rFont val="Arial"/>
        <family val="2"/>
      </rPr>
      <t>MOD 007</t>
    </r>
    <r>
      <rPr>
        <sz val="10"/>
        <rFont val="Arial"/>
        <family val="2"/>
      </rPr>
      <t>: LCLS-II R&amp;D Cavities (4)</t>
    </r>
  </si>
  <si>
    <t>Invoice #</t>
  </si>
  <si>
    <t>Milestone/ Line</t>
  </si>
  <si>
    <t>MOD 003: Accel Shipment (1-16) Incentives (Max of $323,136)</t>
  </si>
  <si>
    <t>MOD 008: CTM Spare Parts</t>
  </si>
  <si>
    <t>Invoice Amount</t>
  </si>
  <si>
    <t>MOD 002: DESY Equip Refurbishment</t>
  </si>
  <si>
    <r>
      <rPr>
        <u/>
        <sz val="10"/>
        <rFont val="Arial"/>
        <family val="2"/>
      </rPr>
      <t>MOD 008</t>
    </r>
    <r>
      <rPr>
        <sz val="10"/>
        <rFont val="Arial"/>
        <family val="2"/>
      </rPr>
      <t>: CTM Spare Parts</t>
    </r>
  </si>
  <si>
    <t>PH II: Mfg Drawings Accepted by JLab</t>
  </si>
  <si>
    <t>PH II: FAs Mech Pre-fab (Deep Draw)</t>
  </si>
  <si>
    <t xml:space="preserve">PH III: Mech Pre-Fab Cavities (9-72) </t>
  </si>
  <si>
    <t>#</t>
  </si>
  <si>
    <t>Total</t>
  </si>
  <si>
    <t>Remaining $7,344 to be de-obligated.</t>
  </si>
  <si>
    <t>MOD 005: DESY Equipment Lease ($9,200/ month)</t>
  </si>
  <si>
    <t>MOD 007: LCLS-II R&amp;D Cavities (4)</t>
  </si>
  <si>
    <t>PO#</t>
  </si>
  <si>
    <t>Cavities 17-20.</t>
  </si>
  <si>
    <t>6.25% for October</t>
  </si>
  <si>
    <t>Material</t>
  </si>
  <si>
    <t>Ship Date</t>
  </si>
  <si>
    <t>Receipt Date</t>
  </si>
  <si>
    <t>TD</t>
  </si>
  <si>
    <t>JLab</t>
  </si>
  <si>
    <t>FNAL</t>
  </si>
  <si>
    <t>RI</t>
  </si>
  <si>
    <t>EZ</t>
  </si>
  <si>
    <t xml:space="preserve"> 1-4</t>
  </si>
  <si>
    <t>JLab 02</t>
  </si>
  <si>
    <t>FNAL 03</t>
  </si>
  <si>
    <t xml:space="preserve"> 5-8</t>
  </si>
  <si>
    <t>FNAL 02</t>
  </si>
  <si>
    <t xml:space="preserve"> 9-12</t>
  </si>
  <si>
    <t>FNAL 05</t>
  </si>
  <si>
    <t xml:space="preserve"> 13-16</t>
  </si>
  <si>
    <t xml:space="preserve"> 17-20</t>
  </si>
  <si>
    <t>FNAL 04</t>
  </si>
  <si>
    <t>JLab 04</t>
  </si>
  <si>
    <t xml:space="preserve"> 21-24</t>
  </si>
  <si>
    <t xml:space="preserve"> 25-28</t>
  </si>
  <si>
    <t>JLab 03</t>
  </si>
  <si>
    <t>JLab 06</t>
  </si>
  <si>
    <t xml:space="preserve"> 29-32</t>
  </si>
  <si>
    <t xml:space="preserve"> 33-36</t>
  </si>
  <si>
    <t>JLab 05</t>
  </si>
  <si>
    <t>FNAL 06</t>
  </si>
  <si>
    <t xml:space="preserve"> 37-40</t>
  </si>
  <si>
    <t xml:space="preserve"> 41-44</t>
  </si>
  <si>
    <t>JLab 07</t>
  </si>
  <si>
    <t>FNAL 07</t>
  </si>
  <si>
    <t xml:space="preserve"> 45-48</t>
  </si>
  <si>
    <t xml:space="preserve"> 49-52</t>
  </si>
  <si>
    <t>FNAL 08</t>
  </si>
  <si>
    <t>FNAL 09</t>
  </si>
  <si>
    <t xml:space="preserve"> 53-56</t>
  </si>
  <si>
    <t xml:space="preserve"> 57-60</t>
  </si>
  <si>
    <t>FNAL 11</t>
  </si>
  <si>
    <t>FNAL 10</t>
  </si>
  <si>
    <t xml:space="preserve"> 61-64</t>
  </si>
  <si>
    <t xml:space="preserve"> 65-68</t>
  </si>
  <si>
    <t>JLab 09</t>
  </si>
  <si>
    <t>JLab 08</t>
  </si>
  <si>
    <t xml:space="preserve"> 69-72</t>
  </si>
  <si>
    <t xml:space="preserve"> 73-76</t>
  </si>
  <si>
    <t>JLab 11</t>
  </si>
  <si>
    <t>JLab 10</t>
  </si>
  <si>
    <t xml:space="preserve"> 77-80</t>
  </si>
  <si>
    <t>Jlab 10</t>
  </si>
  <si>
    <t xml:space="preserve"> 81-84</t>
  </si>
  <si>
    <t>JLab 14</t>
  </si>
  <si>
    <t>JLab 12</t>
  </si>
  <si>
    <t xml:space="preserve"> 85-88</t>
  </si>
  <si>
    <t xml:space="preserve"> 89-92</t>
  </si>
  <si>
    <t>JLab 15</t>
  </si>
  <si>
    <t>JLab 13</t>
  </si>
  <si>
    <t xml:space="preserve"> 93-96</t>
  </si>
  <si>
    <t xml:space="preserve"> 97-100</t>
  </si>
  <si>
    <t>FNAL 13</t>
  </si>
  <si>
    <t>FNAL 12</t>
  </si>
  <si>
    <t xml:space="preserve"> 101-104</t>
  </si>
  <si>
    <t xml:space="preserve"> 105-108</t>
  </si>
  <si>
    <t>FNAL 14</t>
  </si>
  <si>
    <t>JLab 16</t>
  </si>
  <si>
    <t xml:space="preserve"> 109-112</t>
  </si>
  <si>
    <t xml:space="preserve"> 113-116</t>
  </si>
  <si>
    <t>FNAL 16</t>
  </si>
  <si>
    <t>JLab 17</t>
  </si>
  <si>
    <t xml:space="preserve"> 117-120</t>
  </si>
  <si>
    <t xml:space="preserve"> 121-124</t>
  </si>
  <si>
    <t>FNAL 17</t>
  </si>
  <si>
    <t>FNAL 15</t>
  </si>
  <si>
    <t xml:space="preserve"> 125-128</t>
  </si>
  <si>
    <t xml:space="preserve"> 129-130</t>
  </si>
  <si>
    <t>Jlab 18</t>
  </si>
  <si>
    <t xml:space="preserve"> 129-133</t>
  </si>
  <si>
    <t>131-133</t>
  </si>
  <si>
    <t>NX</t>
  </si>
  <si>
    <t>Ship Loc</t>
  </si>
  <si>
    <t>c</t>
  </si>
  <si>
    <t>Note</t>
  </si>
  <si>
    <t>Completed Work Amt2</t>
  </si>
  <si>
    <t>-3</t>
  </si>
  <si>
    <t>=4</t>
  </si>
  <si>
    <t>Status</t>
  </si>
  <si>
    <t>Pre-Fab</t>
  </si>
  <si>
    <t>HP1</t>
  </si>
  <si>
    <t>HP2</t>
  </si>
  <si>
    <t>HP3</t>
  </si>
  <si>
    <t>Shipped</t>
  </si>
  <si>
    <t>Received</t>
  </si>
  <si>
    <t>Accepted</t>
  </si>
  <si>
    <t>Complete</t>
  </si>
  <si>
    <t>Column1</t>
  </si>
  <si>
    <t>PO Line Total2</t>
  </si>
  <si>
    <t>Prior % Complete</t>
  </si>
  <si>
    <t>MOD 004: Incentives for Accelerated Production Deliveries</t>
  </si>
  <si>
    <r>
      <rPr>
        <u/>
        <sz val="10"/>
        <rFont val="Arial"/>
        <family val="2"/>
      </rPr>
      <t>MOD 009</t>
    </r>
    <r>
      <rPr>
        <sz val="10"/>
        <rFont val="Arial"/>
        <family val="2"/>
      </rPr>
      <t>: Recipe Modification (21-133) ($4283.19/cavity)</t>
    </r>
  </si>
  <si>
    <t>Approval Date</t>
  </si>
  <si>
    <t>Unit #</t>
  </si>
  <si>
    <t>Incentivized Ship Date</t>
  </si>
  <si>
    <t>Incentive Earned</t>
  </si>
  <si>
    <t>Serial #</t>
  </si>
  <si>
    <t>Actual Ship Date</t>
  </si>
  <si>
    <r>
      <rPr>
        <u/>
        <sz val="10"/>
        <rFont val="Arial"/>
        <family val="2"/>
      </rPr>
      <t>MOD 011</t>
    </r>
    <r>
      <rPr>
        <sz val="10"/>
        <rFont val="Arial"/>
        <family val="2"/>
      </rPr>
      <t>: Optional Cavities 1-8</t>
    </r>
  </si>
  <si>
    <r>
      <rPr>
        <u/>
        <sz val="10"/>
        <rFont val="Arial"/>
        <family val="2"/>
      </rPr>
      <t>MOD 010</t>
    </r>
    <r>
      <rPr>
        <sz val="10"/>
        <rFont val="Arial"/>
        <family val="2"/>
      </rPr>
      <t>: Ningxia Material Sorting</t>
    </r>
  </si>
  <si>
    <r>
      <rPr>
        <u/>
        <sz val="10"/>
        <rFont val="Arial"/>
        <family val="2"/>
      </rPr>
      <t>MOD 010</t>
    </r>
    <r>
      <rPr>
        <sz val="10"/>
        <rFont val="Arial"/>
        <family val="2"/>
      </rPr>
      <t>: Niobium Caps  (Cavs 21-133) $511.504/cavity</t>
    </r>
  </si>
  <si>
    <t>Recipe Modification (Mod 9)</t>
  </si>
  <si>
    <t>Accept Date</t>
  </si>
  <si>
    <t>Caps            
 (Mod 10)</t>
  </si>
  <si>
    <t xml:space="preserve">MOD 002: DESY Equip Service &amp; Support Costs  </t>
  </si>
  <si>
    <t>MOD 010: Ningxia Material Sorting</t>
  </si>
  <si>
    <t xml:space="preserve">MOD 010: Niobium Caps $494.02/ea (Cavs 17-133)  </t>
  </si>
  <si>
    <t>MOD 009: Recipe Modification (21-133) ($4283.18/cavity)</t>
  </si>
  <si>
    <t>Line</t>
  </si>
  <si>
    <t>Amount</t>
  </si>
  <si>
    <t>PO Line</t>
  </si>
  <si>
    <t>Wks +/- Incentive Date</t>
  </si>
  <si>
    <t>CavityMilestone</t>
  </si>
  <si>
    <t>Cavity</t>
  </si>
  <si>
    <t>Incentive Date</t>
  </si>
  <si>
    <t>Incentive</t>
  </si>
  <si>
    <t>MOD 012: DESY Testing 4X RF Tests</t>
  </si>
  <si>
    <t>MOD 012: Add DESY Testing Costs (Not to Exceed)</t>
  </si>
  <si>
    <t>CAV001</t>
  </si>
  <si>
    <t>CAV002</t>
  </si>
  <si>
    <t>CAV003</t>
  </si>
  <si>
    <t>CAV004</t>
  </si>
  <si>
    <t>CAV005</t>
  </si>
  <si>
    <t>CAV006</t>
  </si>
  <si>
    <t>CAV007</t>
  </si>
  <si>
    <t>CAV008</t>
  </si>
  <si>
    <t>CAV009</t>
  </si>
  <si>
    <t>CAV010</t>
  </si>
  <si>
    <t>CAV011</t>
  </si>
  <si>
    <t>CAV012</t>
  </si>
  <si>
    <t>CAV013</t>
  </si>
  <si>
    <t>CAV014</t>
  </si>
  <si>
    <t>CAV015</t>
  </si>
  <si>
    <t>CAV016</t>
  </si>
  <si>
    <t>CAV017</t>
  </si>
  <si>
    <t>CAV018</t>
  </si>
  <si>
    <t>CAV019</t>
  </si>
  <si>
    <t>CAV020</t>
  </si>
  <si>
    <t>CAV021</t>
  </si>
  <si>
    <t>CAV022</t>
  </si>
  <si>
    <t>CAV023</t>
  </si>
  <si>
    <t>CAV024</t>
  </si>
  <si>
    <t>CAV025</t>
  </si>
  <si>
    <t>CAV026</t>
  </si>
  <si>
    <t>CAV027</t>
  </si>
  <si>
    <t>CAV028</t>
  </si>
  <si>
    <t>CAV029</t>
  </si>
  <si>
    <t>CAV030</t>
  </si>
  <si>
    <t>CAV031</t>
  </si>
  <si>
    <t>CAV032</t>
  </si>
  <si>
    <t>CAV033</t>
  </si>
  <si>
    <t>CAV034</t>
  </si>
  <si>
    <t>CAV035</t>
  </si>
  <si>
    <t>CAV036</t>
  </si>
  <si>
    <t>CAV037</t>
  </si>
  <si>
    <t>CAV038</t>
  </si>
  <si>
    <t>CAV039</t>
  </si>
  <si>
    <t>CAV040</t>
  </si>
  <si>
    <t>CAV041</t>
  </si>
  <si>
    <t>CAV042</t>
  </si>
  <si>
    <t>CAV043</t>
  </si>
  <si>
    <t>CAV044</t>
  </si>
  <si>
    <t>CAV045</t>
  </si>
  <si>
    <t>CAV046</t>
  </si>
  <si>
    <t>CAV047</t>
  </si>
  <si>
    <t>CAV048</t>
  </si>
  <si>
    <t>CAV049</t>
  </si>
  <si>
    <t>CAV050</t>
  </si>
  <si>
    <t>CAV051</t>
  </si>
  <si>
    <t>CAV052</t>
  </si>
  <si>
    <t>CAV053</t>
  </si>
  <si>
    <t>CAV054</t>
  </si>
  <si>
    <t>CAV055</t>
  </si>
  <si>
    <t>CAV056</t>
  </si>
  <si>
    <t>CAV057</t>
  </si>
  <si>
    <t>CAV058</t>
  </si>
  <si>
    <t>CAV059</t>
  </si>
  <si>
    <t>CAV060</t>
  </si>
  <si>
    <t>CAV061</t>
  </si>
  <si>
    <t>CAV062</t>
  </si>
  <si>
    <t>CAV063</t>
  </si>
  <si>
    <t>CAV064</t>
  </si>
  <si>
    <t>CAV065</t>
  </si>
  <si>
    <t>CAV066</t>
  </si>
  <si>
    <t>CAV067</t>
  </si>
  <si>
    <t>CAV068</t>
  </si>
  <si>
    <t>CAV069</t>
  </si>
  <si>
    <t>CAV070</t>
  </si>
  <si>
    <t>CAV071</t>
  </si>
  <si>
    <t>CAV072</t>
  </si>
  <si>
    <t>CAV073</t>
  </si>
  <si>
    <t>CAV074</t>
  </si>
  <si>
    <t>CAV075</t>
  </si>
  <si>
    <t>CAV076</t>
  </si>
  <si>
    <t>CAV077</t>
  </si>
  <si>
    <t>CAV078</t>
  </si>
  <si>
    <t>CAV079</t>
  </si>
  <si>
    <t>CAV080</t>
  </si>
  <si>
    <t>CAV081</t>
  </si>
  <si>
    <t>CAV082</t>
  </si>
  <si>
    <t>CAV083</t>
  </si>
  <si>
    <t>CAV084</t>
  </si>
  <si>
    <t>CAV085</t>
  </si>
  <si>
    <t>CAV086</t>
  </si>
  <si>
    <t>CAV087</t>
  </si>
  <si>
    <t>CAV088</t>
  </si>
  <si>
    <t>CAV089</t>
  </si>
  <si>
    <t>CAV090</t>
  </si>
  <si>
    <t>CAV091</t>
  </si>
  <si>
    <t>CAV092</t>
  </si>
  <si>
    <t>CAV093</t>
  </si>
  <si>
    <t>CAV094</t>
  </si>
  <si>
    <t>CAV095</t>
  </si>
  <si>
    <t>CAV096</t>
  </si>
  <si>
    <t>CAV097</t>
  </si>
  <si>
    <t>CAV098</t>
  </si>
  <si>
    <t>CAV099</t>
  </si>
  <si>
    <t>CAV100</t>
  </si>
  <si>
    <t>CAV101</t>
  </si>
  <si>
    <t>CAV102</t>
  </si>
  <si>
    <t>CAV103</t>
  </si>
  <si>
    <t>CAV104</t>
  </si>
  <si>
    <t>CAV105</t>
  </si>
  <si>
    <t>CAV106</t>
  </si>
  <si>
    <t>CAV107</t>
  </si>
  <si>
    <t>CAV108</t>
  </si>
  <si>
    <t>CAV109</t>
  </si>
  <si>
    <t>CAV110</t>
  </si>
  <si>
    <t>CAV111</t>
  </si>
  <si>
    <t>CAV112</t>
  </si>
  <si>
    <t>CAV113</t>
  </si>
  <si>
    <t>CAV114</t>
  </si>
  <si>
    <t>CAV115</t>
  </si>
  <si>
    <t>CAV116</t>
  </si>
  <si>
    <t>CAV117</t>
  </si>
  <si>
    <t>CAV118</t>
  </si>
  <si>
    <t>CAV119</t>
  </si>
  <si>
    <t>CAV120</t>
  </si>
  <si>
    <t>CAV121</t>
  </si>
  <si>
    <t>CAV122</t>
  </si>
  <si>
    <t>CAV123</t>
  </si>
  <si>
    <t>CAV124</t>
  </si>
  <si>
    <t>CAV125</t>
  </si>
  <si>
    <t>CAV126</t>
  </si>
  <si>
    <t>CAV127</t>
  </si>
  <si>
    <t>CAV128</t>
  </si>
  <si>
    <t>CAV129</t>
  </si>
  <si>
    <t>CAV130</t>
  </si>
  <si>
    <t>CAV131</t>
  </si>
  <si>
    <t>CAV132</t>
  </si>
  <si>
    <t>CAV133</t>
  </si>
  <si>
    <t>MOD013-32+3: Material Supply, 1st lot</t>
  </si>
  <si>
    <t>MOD013-32+3: Material Supply, 2nd lot</t>
  </si>
  <si>
    <t>MOD013-32+3: DESY QA of 1st material lot</t>
  </si>
  <si>
    <t>MOD013-32+3: DESY Q of 2nd material lot</t>
  </si>
  <si>
    <t>MOD013-32+3: Deliver &amp; Accept 4 Cavities</t>
  </si>
  <si>
    <t>MOD013-32+3: Deliver &amp; Accept 2 Single Cell Cavities</t>
  </si>
  <si>
    <t>MOD013-32+3: Lease/Maintenance DESY Equipment</t>
  </si>
  <si>
    <t>MOD013-Add Mat'l: Material Supply, 1st lot</t>
  </si>
  <si>
    <t>MOD013-Add Mat'l: DESY QA of 1st material lot</t>
  </si>
  <si>
    <t>MOD013-Add Mat'l: Material Supply, 2nd lot</t>
  </si>
  <si>
    <t>MOD013-Add Mat'l: DESY QA of 2nd material lot</t>
  </si>
  <si>
    <t>MOD013-Add Mat'l: Material Supply, 3rd lot</t>
  </si>
  <si>
    <t>MOD013-Add Mat'l: DESY QA of 3rd material lot</t>
  </si>
  <si>
    <t>MOD013-Add Mat'l: Material Supply, 4th lot</t>
  </si>
  <si>
    <t>MOD013-Add Mat'l: DESY QA of 4th material lot</t>
  </si>
  <si>
    <t xml:space="preserve">MOD013-Add Mat'l: Storage of material for up to 6 months </t>
  </si>
  <si>
    <t>MOD013-Add Mat'l: Package and air shipment of material</t>
  </si>
  <si>
    <t>MOD013-Add Mat'l: Deliver &amp; Accept 1-Cell Cavites (Lot 1)</t>
  </si>
  <si>
    <t>MOD013-Add Mat'l: Deliver &amp; Accept  1-Cell Cavites (Lot 2)</t>
  </si>
  <si>
    <t>MOD013-Add Mat'l: Deliver &amp; Accept  1-Cell Cavites (Lot 3)</t>
  </si>
  <si>
    <t>MOD013-Add Mat'l: Deliver &amp; Accept  1-Cell Cavites (Lot 4)</t>
  </si>
  <si>
    <t>MOD014: Supply &amp; QC of 320 TD Sheets</t>
  </si>
  <si>
    <t>MOD015: Acceptance of Optional Cavities (9-16)</t>
  </si>
  <si>
    <t>MOD015: Incentive- Accelerated Delivery $5K/ cavities (9-16)</t>
  </si>
  <si>
    <t>3991-01</t>
  </si>
  <si>
    <t xml:space="preserve">MOD 010: Niobium Caps $490.00/ea (Cavs 17-133)  </t>
  </si>
  <si>
    <t>Ship#</t>
  </si>
  <si>
    <t>RI CAVITY DELIVERY/ ACCEPTANCE</t>
  </si>
  <si>
    <t>First Articles</t>
  </si>
  <si>
    <t>Production</t>
  </si>
  <si>
    <t>CAV134</t>
  </si>
  <si>
    <t>CAV135</t>
  </si>
  <si>
    <t>CAV136</t>
  </si>
  <si>
    <t>CAV137</t>
  </si>
  <si>
    <t>CAV138</t>
  </si>
  <si>
    <t>CAV139</t>
  </si>
  <si>
    <t>CAV140</t>
  </si>
  <si>
    <t>CAV141</t>
  </si>
  <si>
    <t>Options (1-16)</t>
  </si>
  <si>
    <t>CAV142</t>
  </si>
  <si>
    <t>CAV143</t>
  </si>
  <si>
    <t>CAV144</t>
  </si>
  <si>
    <t>CAV145</t>
  </si>
  <si>
    <t>CAV146</t>
  </si>
  <si>
    <t>CAV147</t>
  </si>
  <si>
    <t>CAV148</t>
  </si>
  <si>
    <t>CAV149</t>
  </si>
  <si>
    <t>CAV150</t>
  </si>
  <si>
    <t>CAV151</t>
  </si>
  <si>
    <t>CAV152</t>
  </si>
  <si>
    <t>CAV153</t>
  </si>
  <si>
    <t>CAV154</t>
  </si>
  <si>
    <t>CAV155</t>
  </si>
  <si>
    <t>CAV156</t>
  </si>
  <si>
    <t>CAV157</t>
  </si>
  <si>
    <t>CAV158</t>
  </si>
  <si>
    <t>CAV159</t>
  </si>
  <si>
    <t>CAV160</t>
  </si>
  <si>
    <t>CAV161</t>
  </si>
  <si>
    <t>CAV162</t>
  </si>
  <si>
    <t>CAV163</t>
  </si>
  <si>
    <t>CAV164</t>
  </si>
  <si>
    <t>CAV165</t>
  </si>
  <si>
    <t>CAV166</t>
  </si>
  <si>
    <t>CAV167</t>
  </si>
  <si>
    <t>CAV168</t>
  </si>
  <si>
    <t>CAV169</t>
  </si>
  <si>
    <t>CAV170</t>
  </si>
  <si>
    <t>CAV171</t>
  </si>
  <si>
    <t>CAV172</t>
  </si>
  <si>
    <t>CAV173</t>
  </si>
  <si>
    <t>CAV174</t>
  </si>
  <si>
    <t>CAV175</t>
  </si>
  <si>
    <t>CAV176</t>
  </si>
  <si>
    <t>CAV177</t>
  </si>
  <si>
    <t>CAV178</t>
  </si>
  <si>
    <t>CAV179</t>
  </si>
  <si>
    <t>CAV180</t>
  </si>
  <si>
    <t>CAV181</t>
  </si>
  <si>
    <t>Excess Cavs (TD)</t>
  </si>
  <si>
    <t>Excess Cavs (NX)</t>
  </si>
  <si>
    <t>32+3 (MOD13)</t>
  </si>
  <si>
    <t>CAV182</t>
  </si>
  <si>
    <t>CAV183</t>
  </si>
  <si>
    <t>CAV184</t>
  </si>
  <si>
    <t>CAV185</t>
  </si>
  <si>
    <t>CAV186</t>
  </si>
  <si>
    <t>CAV187</t>
  </si>
  <si>
    <t>CAV188</t>
  </si>
  <si>
    <t>CAV189</t>
  </si>
  <si>
    <t>CAV190</t>
  </si>
  <si>
    <t>CAV191</t>
  </si>
  <si>
    <t>CAV192</t>
  </si>
  <si>
    <t>CAV193</t>
  </si>
  <si>
    <t>CAV194</t>
  </si>
  <si>
    <t>CAV195</t>
  </si>
  <si>
    <t>CAV196</t>
  </si>
  <si>
    <t>CAV197</t>
  </si>
  <si>
    <t>CAV198</t>
  </si>
  <si>
    <t>CAV199</t>
  </si>
  <si>
    <t>CAV200</t>
  </si>
  <si>
    <t>CAV201</t>
  </si>
  <si>
    <t>CAV202</t>
  </si>
  <si>
    <t>RI Cavity Acceptance</t>
  </si>
  <si>
    <t>Delivery &amp; Acceptance</t>
  </si>
  <si>
    <t>Feb-17</t>
  </si>
  <si>
    <t>Mar-17</t>
  </si>
  <si>
    <t>Apr-17</t>
  </si>
  <si>
    <t>May-17</t>
  </si>
  <si>
    <t>Jun-17</t>
  </si>
  <si>
    <t>Jul-17</t>
  </si>
  <si>
    <t>Aug-17</t>
  </si>
  <si>
    <t>Sep-17</t>
  </si>
  <si>
    <t>Oct-17</t>
  </si>
  <si>
    <t>Nov-17</t>
  </si>
  <si>
    <t>Dec-17</t>
  </si>
  <si>
    <t>Recipe Mod (Mod 9)</t>
  </si>
  <si>
    <r>
      <rPr>
        <u/>
        <sz val="10"/>
        <color theme="1"/>
        <rFont val="Arial"/>
        <family val="2"/>
      </rPr>
      <t>MOD 002</t>
    </r>
    <r>
      <rPr>
        <sz val="10"/>
        <color theme="1"/>
        <rFont val="Arial"/>
        <family val="2"/>
      </rPr>
      <t>: DESY Equip Refurbishment</t>
    </r>
  </si>
  <si>
    <r>
      <rPr>
        <u/>
        <sz val="10"/>
        <color theme="1"/>
        <rFont val="Arial"/>
        <family val="2"/>
      </rPr>
      <t>MOD 002</t>
    </r>
    <r>
      <rPr>
        <sz val="10"/>
        <color theme="1"/>
        <rFont val="Arial"/>
        <family val="2"/>
      </rPr>
      <t xml:space="preserve">: DESY Equip Service &amp; Support Costs  </t>
    </r>
  </si>
  <si>
    <r>
      <rPr>
        <u/>
        <sz val="10"/>
        <color theme="1"/>
        <rFont val="Arial"/>
        <family val="2"/>
      </rPr>
      <t>MOD 003</t>
    </r>
    <r>
      <rPr>
        <sz val="10"/>
        <color theme="1"/>
        <rFont val="Arial"/>
        <family val="2"/>
      </rPr>
      <t>: Accel Shipment (1-16) Incentives (Max of $323,136)</t>
    </r>
  </si>
  <si>
    <r>
      <rPr>
        <u/>
        <sz val="10"/>
        <color theme="1"/>
        <rFont val="Arial"/>
        <family val="2"/>
      </rPr>
      <t>MOD 004</t>
    </r>
    <r>
      <rPr>
        <sz val="10"/>
        <color theme="1"/>
        <rFont val="Arial"/>
        <family val="2"/>
      </rPr>
      <t>: Incentives for Accelerated Production Deliveries</t>
    </r>
  </si>
  <si>
    <r>
      <rPr>
        <u/>
        <sz val="10"/>
        <color theme="1"/>
        <rFont val="Arial"/>
        <family val="2"/>
      </rPr>
      <t>MOD 005</t>
    </r>
    <r>
      <rPr>
        <sz val="10"/>
        <color theme="1"/>
        <rFont val="Arial"/>
        <family val="2"/>
      </rPr>
      <t>: DESY Equipment Lease ($9,200/ month)</t>
    </r>
  </si>
  <si>
    <r>
      <rPr>
        <u/>
        <sz val="10"/>
        <color theme="1"/>
        <rFont val="Arial"/>
        <family val="2"/>
      </rPr>
      <t>MOD 007</t>
    </r>
    <r>
      <rPr>
        <sz val="10"/>
        <color theme="1"/>
        <rFont val="Arial"/>
        <family val="2"/>
      </rPr>
      <t>: LCLS-II R&amp;D Cavities (4)</t>
    </r>
  </si>
  <si>
    <r>
      <rPr>
        <u/>
        <sz val="10"/>
        <color theme="1"/>
        <rFont val="Arial"/>
        <family val="2"/>
      </rPr>
      <t>MOD 008</t>
    </r>
    <r>
      <rPr>
        <sz val="10"/>
        <color theme="1"/>
        <rFont val="Arial"/>
        <family val="2"/>
      </rPr>
      <t>: CTM Spare Parts</t>
    </r>
  </si>
  <si>
    <r>
      <rPr>
        <u/>
        <sz val="10"/>
        <color theme="1"/>
        <rFont val="Arial"/>
        <family val="2"/>
      </rPr>
      <t>MOD 009</t>
    </r>
    <r>
      <rPr>
        <sz val="10"/>
        <color theme="1"/>
        <rFont val="Arial"/>
        <family val="2"/>
      </rPr>
      <t>: Recipe Modification (21-133) ($4283.18/cavity)</t>
    </r>
  </si>
  <si>
    <r>
      <rPr>
        <u/>
        <sz val="10"/>
        <color theme="1"/>
        <rFont val="Arial"/>
        <family val="2"/>
      </rPr>
      <t>MOD 010</t>
    </r>
    <r>
      <rPr>
        <sz val="10"/>
        <color theme="1"/>
        <rFont val="Arial"/>
        <family val="2"/>
      </rPr>
      <t xml:space="preserve">: Niobium Caps $490.00/ea (Cavs 17-133)  </t>
    </r>
  </si>
  <si>
    <r>
      <rPr>
        <u/>
        <sz val="10"/>
        <color theme="1"/>
        <rFont val="Arial"/>
        <family val="2"/>
      </rPr>
      <t>MOD 010</t>
    </r>
    <r>
      <rPr>
        <sz val="10"/>
        <color theme="1"/>
        <rFont val="Arial"/>
        <family val="2"/>
      </rPr>
      <t>: Ningxia Material Sorting</t>
    </r>
  </si>
  <si>
    <r>
      <rPr>
        <u/>
        <sz val="10"/>
        <color theme="1"/>
        <rFont val="Arial"/>
        <family val="2"/>
      </rPr>
      <t>MOD 011</t>
    </r>
    <r>
      <rPr>
        <sz val="10"/>
        <color theme="1"/>
        <rFont val="Arial"/>
        <family val="2"/>
      </rPr>
      <t>: Optional Cavities 1-8</t>
    </r>
  </si>
  <si>
    <t>Vendor</t>
  </si>
  <si>
    <t>PO</t>
  </si>
  <si>
    <t>Complete thru</t>
  </si>
  <si>
    <r>
      <t>"</t>
    </r>
    <r>
      <rPr>
        <sz val="16"/>
        <rFont val="Arial"/>
        <family val="2"/>
      </rPr>
      <t>+</t>
    </r>
    <r>
      <rPr>
        <sz val="12"/>
        <rFont val="Arial"/>
        <family val="2"/>
      </rPr>
      <t>"Monthly Accruals</t>
    </r>
  </si>
  <si>
    <t>PO Line Beg Bal</t>
  </si>
  <si>
    <t>Est Complete Date</t>
  </si>
  <si>
    <t>FA Incentive</t>
  </si>
  <si>
    <t>Prod Incentive Avail</t>
  </si>
  <si>
    <t>FA Incentive Avail</t>
  </si>
  <si>
    <t>MOD016: Transport Excess Zanon Cavity Materials to RI</t>
  </si>
  <si>
    <t>MOD016: Delivery &amp; Accept TD Cavities (Zanon Material 1-4 of 18)</t>
  </si>
  <si>
    <t>MOD016: Delivery &amp; Accept 4 TD Cavities  (Zanon Material 5-8 of 18)</t>
  </si>
  <si>
    <t>MOD016: Delivery &amp; Accept 4 TD Cavities (Zanon Material 9-12 of 18)</t>
  </si>
  <si>
    <t>MOD016: Delivery &amp; Accept 4 TD Cavities (Zanon Material 13-16 of 18)</t>
  </si>
  <si>
    <t>MOD016: Delivery &amp; Accept 2 TD Cavities (Zanon Material 17-18 of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</si>
</sst>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164" formatCode="m/d/yyyy;@"/>
    <numFmt numFmtId="165" formatCode="m/d/yy;@"/>
    <numFmt numFmtId="166" formatCode="[$-409]d\-mmm\-yy;@"/>
    <numFmt numFmtId="167" formatCode="_(&quot;$&quot;* #,##0_);_(&quot;$&quot;* \(#,##0\);_(&quot;$&quot;* &quot;-&quot;??_);_(@_)"/>
    <numFmt numFmtId="168" formatCode="[$-409]mmm\-yy;@"/>
    <numFmt numFmtId="169" formatCode="0.0%"/>
  </numFmts>
  <fonts count="3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b/>
      <sz val="11"/>
      <name val="Arial"/>
      <family val="2"/>
    </font>
    <font>
      <sz val="12"/>
      <name val="Arial"/>
      <family val="2"/>
    </font>
    <font>
      <u/>
      <sz val="10"/>
      <name val="Arial"/>
      <family val="2"/>
    </font>
    <font>
      <sz val="10"/>
      <name val="Arial"/>
      <family val="2"/>
    </font>
    <font>
      <b/>
      <sz val="10"/>
      <color theme="1"/>
      <name val="Arial"/>
      <family val="2"/>
    </font>
    <font>
      <sz val="14"/>
      <color theme="1"/>
      <name val="Calibri"/>
      <family val="2"/>
      <scheme val="minor"/>
    </font>
    <font>
      <sz val="14"/>
      <color theme="1"/>
      <name val="Calibri"/>
      <family val="2"/>
      <scheme val="minor"/>
    </font>
    <font>
      <sz val="12"/>
      <color theme="0"/>
      <name val="Arial"/>
      <family val="2"/>
    </font>
    <font>
      <sz val="10"/>
      <color theme="0"/>
      <name val="Arial"/>
      <family val="2"/>
    </font>
    <font>
      <sz val="11"/>
      <color theme="0"/>
      <name val="Calibri"/>
      <family val="2"/>
      <scheme val="minor"/>
    </font>
    <font>
      <sz val="12"/>
      <color theme="0"/>
      <name val="Calibri"/>
      <family val="2"/>
      <scheme val="minor"/>
    </font>
    <font>
      <sz val="18"/>
      <color theme="1"/>
      <name val="Arial Black"/>
      <family val="2"/>
    </font>
    <font>
      <sz val="10"/>
      <color theme="1"/>
      <name val="Calibri"/>
      <family val="2"/>
      <scheme val="minor"/>
    </font>
    <font>
      <sz val="11"/>
      <name val="Arial"/>
      <family val="2"/>
    </font>
    <font>
      <sz val="16"/>
      <name val="Arial"/>
      <family val="2"/>
    </font>
    <font>
      <b/>
      <sz val="18"/>
      <name val="Arial"/>
      <family val="2"/>
    </font>
    <font>
      <u/>
      <sz val="10"/>
      <color theme="1"/>
      <name val="Arial"/>
      <family val="2"/>
    </font>
  </fonts>
  <fills count="19">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solid">
        <fgColor rgb="FFFFFF00"/>
        <bgColor indexed="64"/>
      </patternFill>
    </fill>
    <fill>
      <patternFill patternType="solid">
        <fgColor theme="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6"/>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2" tint="-0.499984740745262"/>
        <bgColor indexed="64"/>
      </patternFill>
    </fill>
  </fills>
  <borders count="52">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theme="1"/>
      </top>
      <bottom/>
      <diagonal/>
    </border>
    <border>
      <left/>
      <right/>
      <top style="thin">
        <color theme="1"/>
      </top>
      <bottom style="thin">
        <color theme="1"/>
      </bottom>
      <diagonal/>
    </border>
    <border>
      <left/>
      <right/>
      <top style="thin">
        <color theme="4" tint="0.39997558519241921"/>
      </top>
      <bottom style="thin">
        <color theme="4" tint="0.39997558519241921"/>
      </bottom>
      <diagonal/>
    </border>
    <border>
      <left style="thin">
        <color indexed="64"/>
      </left>
      <right/>
      <top style="thin">
        <color indexed="64"/>
      </top>
      <bottom/>
      <diagonal/>
    </border>
    <border>
      <left style="medium">
        <color theme="0" tint="-0.14993743705557422"/>
      </left>
      <right style="thin">
        <color theme="0" tint="-0.14996795556505021"/>
      </right>
      <top style="medium">
        <color theme="0" tint="-0.14993743705557422"/>
      </top>
      <bottom/>
      <diagonal/>
    </border>
    <border>
      <left style="thin">
        <color theme="0" tint="-0.14996795556505021"/>
      </left>
      <right style="medium">
        <color theme="0" tint="-0.14993743705557422"/>
      </right>
      <top style="medium">
        <color theme="0" tint="-0.14993743705557422"/>
      </top>
      <bottom/>
      <diagonal/>
    </border>
    <border>
      <left style="thin">
        <color theme="0" tint="-0.14996795556505021"/>
      </left>
      <right style="thin">
        <color theme="0" tint="-0.14996795556505021"/>
      </right>
      <top style="medium">
        <color theme="0" tint="-0.14993743705557422"/>
      </top>
      <bottom/>
      <diagonal/>
    </border>
    <border>
      <left style="thin">
        <color theme="0" tint="-0.24994659260841701"/>
      </left>
      <right style="thin">
        <color theme="0" tint="-0.24994659260841701"/>
      </right>
      <top/>
      <bottom/>
      <diagonal/>
    </border>
    <border>
      <left/>
      <right style="thin">
        <color theme="0" tint="-0.2499465926084170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theme="0" tint="-0.14993743705557422"/>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ck">
        <color indexed="64"/>
      </left>
      <right style="thin">
        <color theme="0" tint="-0.14996795556505021"/>
      </right>
      <top style="thick">
        <color indexed="64"/>
      </top>
      <bottom style="thick">
        <color indexed="64"/>
      </bottom>
      <diagonal/>
    </border>
    <border>
      <left style="thin">
        <color theme="0" tint="-0.14996795556505021"/>
      </left>
      <right style="medium">
        <color theme="0" tint="-0.14993743705557422"/>
      </right>
      <top style="thick">
        <color indexed="64"/>
      </top>
      <bottom style="thick">
        <color indexed="64"/>
      </bottom>
      <diagonal/>
    </border>
    <border>
      <left style="thin">
        <color theme="0" tint="-0.14996795556505021"/>
      </left>
      <right style="thin">
        <color theme="0" tint="-0.14996795556505021"/>
      </right>
      <top style="thick">
        <color indexed="64"/>
      </top>
      <bottom style="thick">
        <color indexed="64"/>
      </bottom>
      <diagonal/>
    </border>
    <border>
      <left style="thin">
        <color theme="0" tint="-0.24994659260841701"/>
      </left>
      <right style="thin">
        <color theme="0" tint="-0.24994659260841701"/>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theme="1"/>
      </left>
      <right style="thin">
        <color theme="0"/>
      </right>
      <top style="thin">
        <color theme="1"/>
      </top>
      <bottom/>
      <diagonal/>
    </border>
    <border>
      <left style="thin">
        <color theme="0"/>
      </left>
      <right style="thin">
        <color theme="0"/>
      </right>
      <top style="thin">
        <color theme="1"/>
      </top>
      <bottom/>
      <diagonal/>
    </border>
    <border>
      <left style="thin">
        <color theme="0"/>
      </left>
      <right style="thin">
        <color theme="0"/>
      </right>
      <top style="thin">
        <color indexed="64"/>
      </top>
      <bottom/>
      <diagonal/>
    </border>
    <border>
      <left style="thin">
        <color theme="0"/>
      </left>
      <right style="thin">
        <color theme="1"/>
      </right>
      <top style="thin">
        <color theme="1"/>
      </top>
      <bottom/>
      <diagonal/>
    </border>
    <border>
      <left style="thin">
        <color theme="0"/>
      </left>
      <right/>
      <top/>
      <bottom/>
      <diagonal/>
    </border>
    <border>
      <left style="thin">
        <color theme="1"/>
      </left>
      <right style="thin">
        <color theme="0"/>
      </right>
      <top style="double">
        <color theme="1"/>
      </top>
      <bottom style="thin">
        <color theme="1"/>
      </bottom>
      <diagonal/>
    </border>
    <border>
      <left style="thin">
        <color theme="0"/>
      </left>
      <right style="thin">
        <color theme="0"/>
      </right>
      <top style="double">
        <color theme="1"/>
      </top>
      <bottom style="thin">
        <color theme="1"/>
      </bottom>
      <diagonal/>
    </border>
  </borders>
  <cellStyleXfs count="14">
    <xf numFmtId="0" fontId="0" fillId="0" borderId="0"/>
    <xf numFmtId="9" fontId="10" fillId="0" borderId="0" applyFont="0" applyFill="0" applyBorder="0" applyAlignment="0" applyProtection="0"/>
    <xf numFmtId="0" fontId="8" fillId="0" borderId="0"/>
    <xf numFmtId="44" fontId="8"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9" fillId="0" borderId="0" applyFont="0" applyFill="0" applyBorder="0" applyAlignment="0" applyProtection="0"/>
  </cellStyleXfs>
  <cellXfs count="358">
    <xf numFmtId="0" fontId="0" fillId="0" borderId="0" xfId="0"/>
    <xf numFmtId="0" fontId="0" fillId="0" borderId="1" xfId="0" applyBorder="1" applyProtection="1">
      <protection locked="0"/>
    </xf>
    <xf numFmtId="0" fontId="0" fillId="0" borderId="0" xfId="0" applyAlignment="1">
      <alignment wrapText="1"/>
    </xf>
    <xf numFmtId="0" fontId="8"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9" fillId="0" borderId="1" xfId="0" applyFont="1" applyBorder="1" applyAlignment="1" applyProtection="1">
      <alignment horizontal="center" wrapText="1"/>
    </xf>
    <xf numFmtId="0" fontId="0" fillId="0" borderId="0" xfId="0" applyAlignment="1" applyProtection="1">
      <alignment horizontal="center" wrapText="1"/>
    </xf>
    <xf numFmtId="0" fontId="9"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5" fillId="0" borderId="1" xfId="0" applyFont="1" applyBorder="1" applyProtection="1">
      <protection locked="0"/>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8" fillId="0" borderId="0" xfId="0" applyFont="1" applyBorder="1" applyProtection="1">
      <protection locked="0"/>
    </xf>
    <xf numFmtId="0" fontId="8"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8" fillId="0" borderId="1" xfId="0" applyFont="1" applyBorder="1" applyAlignment="1" applyProtection="1">
      <alignment horizontal="left"/>
    </xf>
    <xf numFmtId="0" fontId="11" fillId="0" borderId="0" xfId="0" applyFont="1"/>
    <xf numFmtId="0" fontId="13" fillId="0" borderId="0" xfId="0" applyFont="1"/>
    <xf numFmtId="0" fontId="8" fillId="0" borderId="1" xfId="0" applyFont="1" applyBorder="1" applyAlignment="1" applyProtection="1">
      <alignment horizontal="center" wrapText="1"/>
    </xf>
    <xf numFmtId="0" fontId="0" fillId="0" borderId="0" xfId="0" applyAlignment="1"/>
    <xf numFmtId="0" fontId="8" fillId="0" borderId="0" xfId="0" applyFont="1" applyBorder="1" applyAlignment="1" applyProtection="1">
      <alignment horizontal="right"/>
      <protection locked="0"/>
    </xf>
    <xf numFmtId="0" fontId="0" fillId="0" borderId="1" xfId="0" applyBorder="1" applyProtection="1"/>
    <xf numFmtId="0" fontId="8" fillId="0" borderId="0" xfId="0" applyFont="1" applyBorder="1" applyAlignment="1" applyProtection="1">
      <alignment horizontal="center" wrapText="1"/>
    </xf>
    <xf numFmtId="0" fontId="7" fillId="0" borderId="1" xfId="0" applyFont="1" applyBorder="1" applyAlignment="1" applyProtection="1">
      <alignment horizontal="center" wrapText="1"/>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8" fillId="0" borderId="1" xfId="0" applyFont="1" applyFill="1" applyBorder="1" applyAlignment="1" applyProtection="1">
      <alignment horizontal="center"/>
      <protection locked="0"/>
    </xf>
    <xf numFmtId="10" fontId="0" fillId="0" borderId="0" xfId="1" applyNumberFormat="1" applyFont="1" applyBorder="1" applyProtection="1"/>
    <xf numFmtId="10" fontId="0" fillId="0" borderId="0" xfId="0" applyNumberFormat="1" applyBorder="1" applyProtection="1"/>
    <xf numFmtId="14" fontId="8" fillId="0" borderId="1" xfId="0" applyNumberFormat="1" applyFont="1" applyBorder="1" applyAlignment="1" applyProtection="1">
      <alignment wrapText="1"/>
      <protection locked="0"/>
    </xf>
    <xf numFmtId="0" fontId="5" fillId="0" borderId="0" xfId="0" applyFont="1" applyAlignment="1">
      <alignment wrapText="1"/>
    </xf>
    <xf numFmtId="164" fontId="0" fillId="0" borderId="1" xfId="0" applyNumberFormat="1" applyBorder="1" applyProtection="1">
      <protection locked="0"/>
    </xf>
    <xf numFmtId="0" fontId="15" fillId="8" borderId="4" xfId="0" applyFont="1" applyFill="1" applyBorder="1" applyAlignment="1">
      <alignment horizontal="center"/>
    </xf>
    <xf numFmtId="9" fontId="0" fillId="0" borderId="4" xfId="1" applyFont="1" applyBorder="1" applyAlignment="1">
      <alignment horizontal="center"/>
    </xf>
    <xf numFmtId="0" fontId="8" fillId="0" borderId="0" xfId="0" applyFont="1"/>
    <xf numFmtId="0" fontId="5" fillId="0" borderId="0" xfId="0" applyFont="1" applyAlignment="1">
      <alignment horizontal="center" wrapText="1"/>
    </xf>
    <xf numFmtId="0" fontId="5" fillId="0" borderId="0" xfId="0" applyFont="1" applyBorder="1" applyAlignment="1">
      <alignment horizontal="center"/>
    </xf>
    <xf numFmtId="0" fontId="8" fillId="0" borderId="0" xfId="0" applyFont="1" applyAlignment="1"/>
    <xf numFmtId="0" fontId="8" fillId="0" borderId="0" xfId="0" applyFont="1" applyAlignment="1">
      <alignment horizontal="left" wrapText="1"/>
    </xf>
    <xf numFmtId="0" fontId="8" fillId="0" borderId="0" xfId="0" applyFont="1" applyBorder="1"/>
    <xf numFmtId="0" fontId="8" fillId="0" borderId="0" xfId="0" applyFont="1" applyBorder="1" applyAlignment="1">
      <alignment wrapText="1"/>
    </xf>
    <xf numFmtId="0" fontId="8" fillId="0" borderId="0" xfId="0" applyFont="1" applyAlignment="1">
      <alignment horizontal="center" wrapText="1"/>
    </xf>
    <xf numFmtId="0" fontId="8" fillId="0" borderId="0" xfId="0" applyFont="1" applyAlignment="1">
      <alignment horizontal="left"/>
    </xf>
    <xf numFmtId="0" fontId="8" fillId="0" borderId="0" xfId="0" applyFont="1" applyBorder="1" applyAlignment="1" applyProtection="1">
      <alignment horizontal="center"/>
      <protection locked="0"/>
    </xf>
    <xf numFmtId="0" fontId="8" fillId="0" borderId="1" xfId="0" applyFont="1" applyBorder="1" applyAlignment="1" applyProtection="1">
      <alignment wrapText="1"/>
      <protection locked="0"/>
    </xf>
    <xf numFmtId="0" fontId="8" fillId="0" borderId="2" xfId="0" applyFont="1" applyBorder="1" applyAlignment="1">
      <alignment horizontal="left"/>
    </xf>
    <xf numFmtId="10" fontId="8" fillId="0" borderId="1" xfId="1" applyNumberFormat="1" applyFont="1" applyBorder="1" applyAlignment="1" applyProtection="1">
      <alignment horizontal="center"/>
      <protection locked="0"/>
    </xf>
    <xf numFmtId="4" fontId="8" fillId="3" borderId="1" xfId="0" applyNumberFormat="1" applyFont="1" applyFill="1" applyBorder="1" applyAlignment="1" applyProtection="1">
      <alignment wrapText="1"/>
      <protection locked="0"/>
    </xf>
    <xf numFmtId="4" fontId="8" fillId="2" borderId="0" xfId="0" applyNumberFormat="1" applyFont="1" applyFill="1" applyBorder="1" applyAlignment="1">
      <alignment horizontal="center"/>
    </xf>
    <xf numFmtId="4" fontId="8" fillId="0" borderId="1" xfId="0" applyNumberFormat="1" applyFont="1" applyBorder="1"/>
    <xf numFmtId="4" fontId="8" fillId="0" borderId="0" xfId="0" applyNumberFormat="1" applyFont="1" applyBorder="1" applyAlignment="1">
      <alignment horizontal="center" wrapText="1"/>
    </xf>
    <xf numFmtId="4" fontId="8" fillId="0" borderId="0" xfId="0" applyNumberFormat="1" applyFont="1" applyAlignment="1">
      <alignment horizontal="center" wrapText="1"/>
    </xf>
    <xf numFmtId="4" fontId="8" fillId="4" borderId="1" xfId="0" applyNumberFormat="1" applyFont="1" applyFill="1" applyBorder="1" applyAlignment="1">
      <alignment wrapText="1"/>
    </xf>
    <xf numFmtId="4" fontId="8" fillId="3" borderId="2" xfId="0" applyNumberFormat="1" applyFont="1" applyFill="1" applyBorder="1" applyAlignment="1" applyProtection="1">
      <alignment wrapText="1"/>
      <protection locked="0"/>
    </xf>
    <xf numFmtId="9" fontId="8" fillId="0" borderId="0" xfId="1" applyFont="1"/>
    <xf numFmtId="0" fontId="8" fillId="0" borderId="0" xfId="0" applyFont="1" applyProtection="1">
      <protection locked="0"/>
    </xf>
    <xf numFmtId="0" fontId="8" fillId="0" borderId="0" xfId="0" applyFont="1" applyBorder="1" applyAlignment="1">
      <alignment horizontal="center" vertical="top"/>
    </xf>
    <xf numFmtId="0" fontId="8" fillId="0" borderId="0" xfId="0" applyFont="1" applyAlignment="1">
      <alignment horizontal="center" vertical="top" wrapText="1"/>
    </xf>
    <xf numFmtId="0" fontId="8" fillId="0" borderId="0" xfId="0" applyFont="1" applyBorder="1" applyAlignment="1" applyProtection="1">
      <alignment wrapText="1"/>
      <protection locked="0"/>
    </xf>
    <xf numFmtId="0" fontId="8" fillId="0" borderId="0" xfId="0" applyFont="1" applyBorder="1" applyAlignment="1" applyProtection="1">
      <alignment horizontal="center" vertical="top"/>
      <protection locked="0"/>
    </xf>
    <xf numFmtId="0" fontId="8" fillId="0" borderId="0" xfId="0" applyFont="1" applyAlignment="1" applyProtection="1">
      <alignment wrapText="1"/>
      <protection locked="0"/>
    </xf>
    <xf numFmtId="165" fontId="8" fillId="0" borderId="4" xfId="2" applyNumberFormat="1" applyFont="1" applyFill="1" applyBorder="1" applyAlignment="1">
      <alignment horizontal="center" vertical="center" wrapText="1"/>
    </xf>
    <xf numFmtId="165" fontId="8" fillId="0" borderId="5" xfId="2" applyNumberFormat="1" applyFont="1" applyFill="1" applyBorder="1" applyAlignment="1">
      <alignment horizontal="center" vertical="center" wrapText="1"/>
    </xf>
    <xf numFmtId="0" fontId="8" fillId="0" borderId="4" xfId="0" applyFont="1" applyBorder="1" applyAlignment="1">
      <alignment wrapText="1"/>
    </xf>
    <xf numFmtId="0" fontId="8" fillId="0" borderId="7" xfId="2" applyNumberFormat="1" applyFont="1" applyBorder="1" applyAlignment="1">
      <alignment vertical="center"/>
    </xf>
    <xf numFmtId="165" fontId="8" fillId="0" borderId="5" xfId="2" applyNumberFormat="1" applyFont="1" applyBorder="1" applyAlignment="1">
      <alignment horizontal="center" vertical="center" wrapText="1"/>
    </xf>
    <xf numFmtId="165" fontId="8" fillId="0" borderId="4" xfId="2" applyNumberFormat="1" applyFont="1" applyBorder="1" applyAlignment="1">
      <alignment horizontal="center" vertical="center" wrapText="1"/>
    </xf>
    <xf numFmtId="4" fontId="8" fillId="0" borderId="4" xfId="11" applyNumberFormat="1" applyFont="1" applyFill="1" applyBorder="1" applyAlignment="1">
      <alignment vertical="center" wrapText="1"/>
    </xf>
    <xf numFmtId="4" fontId="8" fillId="0" borderId="5" xfId="11" applyNumberFormat="1" applyFont="1" applyFill="1" applyBorder="1" applyAlignment="1">
      <alignment vertical="center" wrapText="1"/>
    </xf>
    <xf numFmtId="0" fontId="0" fillId="0" borderId="0" xfId="0" applyAlignment="1">
      <alignment horizontal="left"/>
    </xf>
    <xf numFmtId="10" fontId="8" fillId="0" borderId="1" xfId="1" applyNumberFormat="1" applyFont="1" applyFill="1" applyBorder="1" applyAlignment="1" applyProtection="1">
      <alignment horizontal="center"/>
      <protection locked="0"/>
    </xf>
    <xf numFmtId="4" fontId="8" fillId="0" borderId="4" xfId="0" applyNumberFormat="1" applyFont="1" applyBorder="1" applyProtection="1">
      <protection locked="0"/>
    </xf>
    <xf numFmtId="4" fontId="8" fillId="0" borderId="8" xfId="0" applyNumberFormat="1" applyFont="1" applyBorder="1" applyProtection="1">
      <protection locked="0"/>
    </xf>
    <xf numFmtId="14" fontId="5" fillId="0" borderId="1" xfId="0" applyNumberFormat="1" applyFont="1" applyBorder="1" applyAlignment="1" applyProtection="1">
      <alignment wrapText="1"/>
      <protection locked="0"/>
    </xf>
    <xf numFmtId="0" fontId="0" fillId="0" borderId="0" xfId="0" applyAlignment="1">
      <alignment horizontal="center"/>
    </xf>
    <xf numFmtId="0" fontId="12" fillId="0" borderId="0" xfId="0" applyFont="1" applyFill="1" applyBorder="1" applyAlignment="1">
      <alignment horizontal="center"/>
    </xf>
    <xf numFmtId="0" fontId="20" fillId="0" borderId="0" xfId="0" applyFont="1" applyFill="1" applyBorder="1" applyAlignment="1">
      <alignment horizontal="center"/>
    </xf>
    <xf numFmtId="0" fontId="0" fillId="0" borderId="0" xfId="0" applyFill="1" applyBorder="1" applyAlignment="1">
      <alignment horizontal="center"/>
    </xf>
    <xf numFmtId="0" fontId="8" fillId="9" borderId="0" xfId="0" applyFont="1" applyFill="1"/>
    <xf numFmtId="0" fontId="0" fillId="0" borderId="4" xfId="0" applyBorder="1"/>
    <xf numFmtId="0" fontId="0" fillId="5" borderId="4" xfId="0" applyFill="1" applyBorder="1"/>
    <xf numFmtId="0" fontId="21" fillId="0" borderId="0" xfId="0" applyFont="1" applyAlignment="1">
      <alignment horizontal="center" vertical="center"/>
    </xf>
    <xf numFmtId="0" fontId="22" fillId="9" borderId="11" xfId="0" applyFont="1" applyFill="1" applyBorder="1" applyAlignment="1">
      <alignment horizontal="center" vertical="center"/>
    </xf>
    <xf numFmtId="16" fontId="22" fillId="9" borderId="11" xfId="0" applyNumberFormat="1" applyFont="1" applyFill="1" applyBorder="1" applyAlignment="1">
      <alignment horizontal="center" vertical="center"/>
    </xf>
    <xf numFmtId="0" fontId="23" fillId="0" borderId="0" xfId="0" applyFont="1" applyAlignment="1">
      <alignment horizontal="center" vertical="center" wrapText="1"/>
    </xf>
    <xf numFmtId="166" fontId="0" fillId="0" borderId="4" xfId="0" applyNumberFormat="1" applyBorder="1"/>
    <xf numFmtId="0" fontId="8" fillId="6" borderId="4" xfId="0" applyFont="1" applyFill="1" applyBorder="1"/>
    <xf numFmtId="49" fontId="0" fillId="0" borderId="4" xfId="0" applyNumberFormat="1" applyBorder="1"/>
    <xf numFmtId="49" fontId="8" fillId="0" borderId="4" xfId="0" applyNumberFormat="1" applyFont="1" applyBorder="1"/>
    <xf numFmtId="0" fontId="8" fillId="0" borderId="0" xfId="0" applyFont="1" applyBorder="1" applyAlignment="1" applyProtection="1">
      <alignment horizontal="left"/>
      <protection locked="0"/>
    </xf>
    <xf numFmtId="10" fontId="8" fillId="10" borderId="1" xfId="1" applyNumberFormat="1" applyFont="1" applyFill="1" applyBorder="1" applyAlignment="1" applyProtection="1">
      <alignment horizontal="center"/>
      <protection locked="0"/>
    </xf>
    <xf numFmtId="44" fontId="8" fillId="0" borderId="4" xfId="13" applyFont="1" applyBorder="1" applyAlignment="1" applyProtection="1">
      <alignment horizontal="center"/>
      <protection locked="0"/>
    </xf>
    <xf numFmtId="44" fontId="8" fillId="0" borderId="4" xfId="13" applyFont="1" applyFill="1" applyBorder="1" applyAlignment="1">
      <alignment horizontal="center" vertical="center" wrapText="1"/>
    </xf>
    <xf numFmtId="0" fontId="8" fillId="0" borderId="7" xfId="2" applyNumberFormat="1" applyFont="1" applyFill="1" applyBorder="1" applyAlignment="1">
      <alignment vertical="center"/>
    </xf>
    <xf numFmtId="4" fontId="8" fillId="3" borderId="0" xfId="0" applyNumberFormat="1" applyFont="1" applyFill="1" applyBorder="1" applyAlignment="1" applyProtection="1">
      <alignment wrapText="1"/>
      <protection locked="0"/>
    </xf>
    <xf numFmtId="4" fontId="8" fillId="0" borderId="0" xfId="0" applyNumberFormat="1" applyFont="1" applyBorder="1"/>
    <xf numFmtId="4" fontId="8" fillId="4" borderId="0" xfId="0" applyNumberFormat="1" applyFont="1" applyFill="1" applyBorder="1" applyAlignment="1">
      <alignment wrapText="1"/>
    </xf>
    <xf numFmtId="0" fontId="8" fillId="7" borderId="1" xfId="0" applyFont="1" applyFill="1" applyBorder="1" applyAlignment="1">
      <alignment horizontal="center" vertical="top" wrapText="1"/>
    </xf>
    <xf numFmtId="0" fontId="8" fillId="7" borderId="0" xfId="0" applyFont="1" applyFill="1" applyBorder="1" applyAlignment="1">
      <alignment horizontal="center" vertical="top" wrapText="1"/>
    </xf>
    <xf numFmtId="0" fontId="8" fillId="7" borderId="0" xfId="0" applyFont="1" applyFill="1" applyAlignment="1">
      <alignment horizontal="center" vertical="top" wrapText="1"/>
    </xf>
    <xf numFmtId="0" fontId="15" fillId="7" borderId="0" xfId="0" applyFont="1" applyFill="1" applyBorder="1" applyAlignment="1">
      <alignment horizontal="center" vertical="top" wrapText="1"/>
    </xf>
    <xf numFmtId="167" fontId="8" fillId="0" borderId="4" xfId="13" applyNumberFormat="1" applyFont="1" applyBorder="1" applyAlignment="1" applyProtection="1">
      <alignment horizontal="center"/>
      <protection locked="0"/>
    </xf>
    <xf numFmtId="167" fontId="8" fillId="0" borderId="4" xfId="13" applyNumberFormat="1" applyFont="1" applyFill="1" applyBorder="1" applyAlignment="1">
      <alignment horizontal="center" vertical="center" wrapText="1"/>
    </xf>
    <xf numFmtId="167" fontId="8" fillId="0" borderId="4" xfId="1" applyNumberFormat="1" applyFont="1" applyFill="1" applyBorder="1" applyAlignment="1" applyProtection="1">
      <alignment horizontal="center"/>
      <protection locked="0"/>
    </xf>
    <xf numFmtId="169" fontId="0" fillId="0" borderId="0" xfId="1" applyNumberFormat="1" applyFont="1"/>
    <xf numFmtId="167" fontId="8" fillId="9" borderId="4" xfId="13" applyNumberFormat="1" applyFont="1" applyFill="1" applyBorder="1" applyAlignment="1">
      <alignment horizontal="center" vertical="center" wrapText="1"/>
    </xf>
    <xf numFmtId="0" fontId="8" fillId="11" borderId="2" xfId="1" applyNumberFormat="1" applyFont="1" applyFill="1" applyBorder="1" applyAlignment="1" applyProtection="1">
      <alignment horizontal="center"/>
    </xf>
    <xf numFmtId="0" fontId="8" fillId="0" borderId="0" xfId="0" applyFont="1" applyAlignment="1">
      <alignment wrapText="1"/>
    </xf>
    <xf numFmtId="0" fontId="5" fillId="0" borderId="0" xfId="0" applyFont="1" applyAlignment="1">
      <alignment horizontal="center"/>
    </xf>
    <xf numFmtId="17" fontId="5" fillId="0" borderId="4" xfId="0" applyNumberFormat="1" applyFont="1" applyBorder="1" applyAlignment="1">
      <alignment horizontal="center"/>
    </xf>
    <xf numFmtId="0" fontId="8" fillId="0" borderId="0" xfId="0" applyFont="1" applyAlignment="1">
      <alignment horizontal="center"/>
    </xf>
    <xf numFmtId="168" fontId="5" fillId="0" borderId="4" xfId="0" applyNumberFormat="1" applyFont="1" applyBorder="1" applyAlignment="1">
      <alignment horizontal="center"/>
    </xf>
    <xf numFmtId="44" fontId="21" fillId="0" borderId="0" xfId="13" applyFont="1" applyAlignment="1">
      <alignment horizontal="center" vertical="center"/>
    </xf>
    <xf numFmtId="44" fontId="8" fillId="0" borderId="4" xfId="13" applyFont="1" applyFill="1" applyBorder="1" applyAlignment="1" applyProtection="1">
      <alignment horizontal="center"/>
      <protection locked="0"/>
    </xf>
    <xf numFmtId="44" fontId="8" fillId="10" borderId="4" xfId="13" applyFont="1" applyFill="1" applyBorder="1" applyAlignment="1" applyProtection="1">
      <alignment horizontal="center"/>
      <protection locked="0"/>
    </xf>
    <xf numFmtId="9" fontId="8" fillId="0" borderId="1" xfId="1" applyFont="1" applyBorder="1" applyAlignment="1" applyProtection="1">
      <alignment horizontal="center"/>
      <protection locked="0"/>
    </xf>
    <xf numFmtId="17" fontId="0" fillId="0" borderId="0" xfId="0" applyNumberFormat="1"/>
    <xf numFmtId="0" fontId="8" fillId="0" borderId="6" xfId="0" applyFont="1" applyBorder="1" applyAlignment="1">
      <alignment horizontal="left"/>
    </xf>
    <xf numFmtId="0" fontId="8" fillId="0" borderId="12" xfId="2" applyNumberFormat="1" applyFont="1" applyBorder="1" applyAlignment="1">
      <alignment vertical="center"/>
    </xf>
    <xf numFmtId="10" fontId="8" fillId="0" borderId="0" xfId="1" applyNumberFormat="1" applyFont="1" applyBorder="1" applyAlignment="1" applyProtection="1">
      <alignment horizontal="center"/>
      <protection locked="0"/>
    </xf>
    <xf numFmtId="167" fontId="8" fillId="0" borderId="5" xfId="1" applyNumberFormat="1" applyFont="1" applyBorder="1" applyAlignment="1" applyProtection="1">
      <alignment horizontal="center"/>
      <protection locked="0"/>
    </xf>
    <xf numFmtId="44" fontId="8" fillId="0" borderId="5" xfId="13" applyFont="1" applyBorder="1" applyAlignment="1" applyProtection="1">
      <alignment horizontal="center"/>
      <protection locked="0"/>
    </xf>
    <xf numFmtId="44" fontId="8" fillId="0" borderId="5" xfId="13" applyFont="1" applyFill="1" applyBorder="1" applyAlignment="1">
      <alignment horizontal="center" vertical="center" wrapText="1"/>
    </xf>
    <xf numFmtId="4" fontId="8" fillId="0" borderId="5" xfId="0" applyNumberFormat="1" applyFont="1" applyBorder="1" applyProtection="1">
      <protection locked="0"/>
    </xf>
    <xf numFmtId="4" fontId="8" fillId="3" borderId="6" xfId="0" applyNumberFormat="1" applyFont="1" applyFill="1" applyBorder="1" applyAlignment="1" applyProtection="1">
      <alignment wrapText="1"/>
      <protection locked="0"/>
    </xf>
    <xf numFmtId="0" fontId="5" fillId="12" borderId="2" xfId="0" applyFont="1" applyFill="1" applyBorder="1" applyAlignment="1">
      <alignment horizontal="left"/>
    </xf>
    <xf numFmtId="0" fontId="5" fillId="12" borderId="7" xfId="0" applyNumberFormat="1" applyFont="1" applyFill="1" applyBorder="1" applyAlignment="1" applyProtection="1">
      <alignment vertical="center"/>
    </xf>
    <xf numFmtId="4" fontId="5" fillId="12" borderId="4" xfId="0" applyNumberFormat="1" applyFont="1" applyFill="1" applyBorder="1" applyAlignment="1">
      <alignment vertical="center" wrapText="1"/>
    </xf>
    <xf numFmtId="44" fontId="5" fillId="12" borderId="4" xfId="13" applyFont="1" applyFill="1" applyBorder="1" applyAlignment="1">
      <alignment vertical="center" wrapText="1"/>
    </xf>
    <xf numFmtId="44" fontId="5" fillId="12" borderId="4" xfId="13" applyFont="1" applyFill="1" applyBorder="1" applyAlignment="1">
      <alignment horizontal="center" vertical="center" wrapText="1"/>
    </xf>
    <xf numFmtId="0" fontId="5" fillId="12" borderId="4" xfId="0" applyNumberFormat="1" applyFont="1" applyFill="1" applyBorder="1" applyAlignment="1" applyProtection="1">
      <alignment horizontal="center" vertical="center" wrapText="1"/>
    </xf>
    <xf numFmtId="0" fontId="5" fillId="12" borderId="2" xfId="0" applyNumberFormat="1" applyFont="1" applyFill="1" applyBorder="1" applyAlignment="1" applyProtection="1">
      <alignment horizontal="center"/>
      <protection locked="0"/>
    </xf>
    <xf numFmtId="0" fontId="5" fillId="12" borderId="2" xfId="0" applyFont="1" applyFill="1" applyBorder="1" applyProtection="1">
      <protection locked="0"/>
    </xf>
    <xf numFmtId="0" fontId="5" fillId="12" borderId="2" xfId="0" applyFont="1" applyFill="1" applyBorder="1" applyAlignment="1">
      <alignment horizontal="center"/>
    </xf>
    <xf numFmtId="4" fontId="5" fillId="12" borderId="2" xfId="0" applyNumberFormat="1" applyFont="1" applyFill="1" applyBorder="1" applyAlignment="1" applyProtection="1">
      <alignment wrapText="1"/>
      <protection locked="0"/>
    </xf>
    <xf numFmtId="4" fontId="5" fillId="12" borderId="2" xfId="0" applyNumberFormat="1" applyFont="1" applyFill="1" applyBorder="1"/>
    <xf numFmtId="0" fontId="5" fillId="12" borderId="2" xfId="0" applyFont="1" applyFill="1" applyBorder="1" applyAlignment="1">
      <alignment horizontal="center" wrapText="1"/>
    </xf>
    <xf numFmtId="4" fontId="5" fillId="12" borderId="2" xfId="0" applyNumberFormat="1" applyFont="1" applyFill="1" applyBorder="1" applyAlignment="1">
      <alignment wrapText="1"/>
    </xf>
    <xf numFmtId="0" fontId="5" fillId="12" borderId="2" xfId="0" applyFont="1" applyFill="1" applyBorder="1"/>
    <xf numFmtId="0" fontId="15" fillId="0" borderId="0" xfId="0" applyFont="1" applyFill="1" applyBorder="1" applyAlignment="1">
      <alignment horizontal="center"/>
    </xf>
    <xf numFmtId="0" fontId="15" fillId="0" borderId="9" xfId="0" applyFont="1" applyBorder="1" applyAlignment="1">
      <alignment horizontal="left"/>
    </xf>
    <xf numFmtId="0" fontId="15" fillId="0" borderId="9" xfId="0" applyFont="1" applyBorder="1"/>
    <xf numFmtId="0" fontId="24" fillId="0" borderId="0" xfId="0" applyFont="1"/>
    <xf numFmtId="44" fontId="0" fillId="0" borderId="0" xfId="13" applyFont="1"/>
    <xf numFmtId="44" fontId="8" fillId="0" borderId="0" xfId="13" applyFont="1"/>
    <xf numFmtId="0" fontId="12" fillId="0" borderId="9" xfId="0" applyFont="1" applyFill="1" applyBorder="1" applyAlignment="1">
      <alignment horizontal="left"/>
    </xf>
    <xf numFmtId="14" fontId="12" fillId="0" borderId="9" xfId="0" applyNumberFormat="1" applyFont="1" applyFill="1" applyBorder="1" applyAlignment="1">
      <alignment horizontal="left"/>
    </xf>
    <xf numFmtId="0" fontId="12" fillId="0" borderId="9" xfId="0" applyFont="1" applyFill="1" applyBorder="1"/>
    <xf numFmtId="44" fontId="12" fillId="0" borderId="9" xfId="13" applyNumberFormat="1" applyFont="1" applyFill="1" applyBorder="1"/>
    <xf numFmtId="0" fontId="12" fillId="0" borderId="0" xfId="0" applyFont="1" applyFill="1" applyAlignment="1">
      <alignment horizontal="left"/>
    </xf>
    <xf numFmtId="14" fontId="12" fillId="0" borderId="0" xfId="0" applyNumberFormat="1" applyFont="1" applyFill="1" applyAlignment="1">
      <alignment horizontal="left"/>
    </xf>
    <xf numFmtId="0" fontId="12" fillId="0" borderId="0" xfId="0" applyFont="1" applyFill="1"/>
    <xf numFmtId="44" fontId="12" fillId="0" borderId="0" xfId="13" applyNumberFormat="1" applyFont="1" applyFill="1"/>
    <xf numFmtId="0" fontId="12" fillId="0" borderId="0" xfId="0" applyFont="1" applyFill="1" applyAlignment="1">
      <alignment vertical="top"/>
    </xf>
    <xf numFmtId="0" fontId="12" fillId="0" borderId="0" xfId="0" applyFont="1" applyFill="1" applyBorder="1" applyAlignment="1">
      <alignment horizontal="left"/>
    </xf>
    <xf numFmtId="14" fontId="12" fillId="0" borderId="0" xfId="0" applyNumberFormat="1" applyFont="1" applyFill="1" applyBorder="1" applyAlignment="1">
      <alignment horizontal="left"/>
    </xf>
    <xf numFmtId="0" fontId="12" fillId="0" borderId="0" xfId="0" applyFont="1" applyFill="1" applyBorder="1"/>
    <xf numFmtId="44" fontId="12" fillId="0" borderId="0" xfId="13" applyNumberFormat="1" applyFont="1" applyFill="1" applyBorder="1"/>
    <xf numFmtId="0" fontId="20" fillId="0" borderId="10" xfId="0" applyFont="1" applyFill="1" applyBorder="1" applyAlignment="1">
      <alignment horizontal="left"/>
    </xf>
    <xf numFmtId="0" fontId="20" fillId="0" borderId="10" xfId="0" applyFont="1" applyFill="1" applyBorder="1"/>
    <xf numFmtId="44" fontId="20" fillId="0" borderId="10" xfId="13" applyNumberFormat="1" applyFont="1" applyFill="1" applyBorder="1"/>
    <xf numFmtId="0" fontId="0" fillId="0" borderId="1" xfId="0" applyBorder="1" applyAlignment="1" applyProtection="1">
      <alignment horizontal="center"/>
    </xf>
    <xf numFmtId="10" fontId="0" fillId="0" borderId="1" xfId="1" applyNumberFormat="1" applyFont="1" applyBorder="1" applyAlignment="1" applyProtection="1">
      <alignment horizontal="center"/>
    </xf>
    <xf numFmtId="14" fontId="0" fillId="0" borderId="0" xfId="0" applyNumberFormat="1"/>
    <xf numFmtId="44" fontId="12" fillId="0" borderId="0" xfId="13" applyFont="1" applyFill="1"/>
    <xf numFmtId="0" fontId="8" fillId="0" borderId="0" xfId="0" applyFont="1" applyAlignment="1">
      <alignment wrapText="1"/>
    </xf>
    <xf numFmtId="0" fontId="5" fillId="0" borderId="0" xfId="0" applyFont="1" applyAlignment="1">
      <alignment horizontal="center"/>
    </xf>
    <xf numFmtId="0" fontId="8" fillId="0" borderId="0" xfId="0" applyFont="1" applyAlignment="1">
      <alignment horizontal="center"/>
    </xf>
    <xf numFmtId="44" fontId="0" fillId="0" borderId="0" xfId="0" applyNumberFormat="1"/>
    <xf numFmtId="0" fontId="15" fillId="0" borderId="0" xfId="0" applyFont="1" applyBorder="1" applyAlignment="1">
      <alignment horizontal="center"/>
    </xf>
    <xf numFmtId="1" fontId="12" fillId="0" borderId="0" xfId="13" applyNumberFormat="1" applyFont="1" applyFill="1" applyBorder="1" applyAlignment="1">
      <alignment horizontal="center"/>
    </xf>
    <xf numFmtId="1" fontId="12" fillId="0" borderId="0" xfId="13" applyNumberFormat="1" applyFont="1" applyFill="1" applyAlignment="1">
      <alignment horizontal="center"/>
    </xf>
    <xf numFmtId="1" fontId="20" fillId="0" borderId="0" xfId="13" applyNumberFormat="1" applyFont="1" applyFill="1" applyBorder="1" applyAlignment="1">
      <alignment horizontal="center"/>
    </xf>
    <xf numFmtId="1" fontId="0" fillId="0" borderId="0" xfId="0" applyNumberFormat="1" applyAlignment="1">
      <alignment horizontal="center"/>
    </xf>
    <xf numFmtId="0" fontId="24" fillId="0" borderId="0" xfId="0" applyFont="1" applyAlignment="1">
      <alignment horizontal="center"/>
    </xf>
    <xf numFmtId="166" fontId="0" fillId="0" borderId="0" xfId="0" applyNumberFormat="1" applyFill="1" applyAlignment="1">
      <alignment horizontal="center"/>
    </xf>
    <xf numFmtId="0" fontId="0" fillId="0" borderId="0" xfId="0" applyFill="1" applyAlignment="1">
      <alignment horizontal="center"/>
    </xf>
    <xf numFmtId="1" fontId="21" fillId="0" borderId="0" xfId="0" applyNumberFormat="1" applyFont="1" applyAlignment="1">
      <alignment horizontal="center" vertical="center"/>
    </xf>
    <xf numFmtId="0" fontId="26" fillId="0" borderId="13" xfId="0" applyFont="1" applyFill="1" applyBorder="1" applyAlignment="1">
      <alignment horizontal="center" vertical="top" wrapText="1"/>
    </xf>
    <xf numFmtId="0" fontId="26" fillId="0" borderId="14" xfId="0" applyFont="1" applyFill="1" applyBorder="1" applyAlignment="1">
      <alignment horizontal="center" vertical="top" wrapText="1"/>
    </xf>
    <xf numFmtId="0" fontId="26" fillId="0" borderId="15" xfId="0" applyFont="1" applyFill="1" applyBorder="1" applyAlignment="1">
      <alignment horizontal="center" vertical="top" wrapText="1"/>
    </xf>
    <xf numFmtId="0" fontId="26" fillId="0" borderId="0" xfId="0" applyFont="1" applyFill="1" applyBorder="1" applyAlignment="1">
      <alignment horizontal="center" vertical="top" wrapText="1"/>
    </xf>
    <xf numFmtId="0" fontId="26" fillId="0" borderId="17" xfId="0" applyFont="1" applyFill="1" applyBorder="1" applyAlignment="1">
      <alignment horizontal="center" vertical="top" wrapText="1"/>
    </xf>
    <xf numFmtId="0" fontId="26" fillId="0" borderId="16" xfId="0" applyFont="1" applyFill="1" applyBorder="1" applyAlignment="1">
      <alignment horizontal="center" vertical="top" wrapText="1"/>
    </xf>
    <xf numFmtId="0" fontId="8" fillId="0" borderId="0" xfId="0" applyFont="1" applyAlignment="1">
      <alignment horizontal="center" vertical="center"/>
    </xf>
    <xf numFmtId="0" fontId="21" fillId="0" borderId="0" xfId="0" applyFont="1" applyFill="1" applyBorder="1" applyAlignment="1">
      <alignment horizontal="center" vertical="center"/>
    </xf>
    <xf numFmtId="1" fontId="21" fillId="0" borderId="0"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xf>
    <xf numFmtId="167" fontId="21" fillId="0" borderId="0" xfId="13" applyNumberFormat="1" applyFont="1" applyFill="1" applyBorder="1" applyAlignment="1">
      <alignment horizontal="center" vertical="center"/>
    </xf>
    <xf numFmtId="166" fontId="21" fillId="0" borderId="0" xfId="13" applyNumberFormat="1" applyFont="1" applyFill="1" applyBorder="1" applyAlignment="1">
      <alignment horizontal="center" vertical="center"/>
    </xf>
    <xf numFmtId="44" fontId="21" fillId="0" borderId="0" xfId="13" applyFont="1" applyFill="1" applyBorder="1" applyAlignment="1">
      <alignment horizontal="center" vertical="center"/>
    </xf>
    <xf numFmtId="168" fontId="21" fillId="0" borderId="0" xfId="13" applyNumberFormat="1" applyFont="1" applyFill="1" applyBorder="1" applyAlignment="1">
      <alignment horizontal="center" vertical="center"/>
    </xf>
    <xf numFmtId="44" fontId="21" fillId="0" borderId="0" xfId="13" applyNumberFormat="1" applyFont="1" applyFill="1" applyBorder="1" applyAlignment="1">
      <alignment horizontal="center" vertical="center"/>
    </xf>
    <xf numFmtId="0" fontId="21" fillId="0" borderId="21" xfId="0" applyFont="1" applyFill="1" applyBorder="1" applyAlignment="1">
      <alignment horizontal="center" vertical="center"/>
    </xf>
    <xf numFmtId="0" fontId="21" fillId="0" borderId="22" xfId="0" applyFont="1" applyFill="1" applyBorder="1" applyAlignment="1">
      <alignment horizontal="center" vertical="center"/>
    </xf>
    <xf numFmtId="166" fontId="21" fillId="0" borderId="22" xfId="0" applyNumberFormat="1" applyFont="1" applyFill="1" applyBorder="1" applyAlignment="1">
      <alignment horizontal="center" vertical="center"/>
    </xf>
    <xf numFmtId="1" fontId="21" fillId="0" borderId="22" xfId="0" applyNumberFormat="1" applyFont="1" applyFill="1" applyBorder="1" applyAlignment="1">
      <alignment horizontal="center" vertical="center"/>
    </xf>
    <xf numFmtId="167" fontId="21" fillId="0" borderId="22" xfId="13" applyNumberFormat="1" applyFont="1" applyFill="1" applyBorder="1" applyAlignment="1">
      <alignment horizontal="center" vertical="center"/>
    </xf>
    <xf numFmtId="166" fontId="21" fillId="0" borderId="22" xfId="13" applyNumberFormat="1" applyFont="1" applyFill="1" applyBorder="1" applyAlignment="1">
      <alignment horizontal="center" vertical="center"/>
    </xf>
    <xf numFmtId="44" fontId="21" fillId="0" borderId="22" xfId="13" applyFont="1" applyFill="1" applyBorder="1" applyAlignment="1">
      <alignment horizontal="center"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3" xfId="0" applyFont="1" applyFill="1" applyBorder="1" applyAlignment="1">
      <alignment horizontal="center" vertical="center"/>
    </xf>
    <xf numFmtId="166" fontId="21" fillId="0" borderId="3" xfId="0" applyNumberFormat="1" applyFont="1" applyFill="1" applyBorder="1" applyAlignment="1">
      <alignment horizontal="center" vertical="center"/>
    </xf>
    <xf numFmtId="1" fontId="21" fillId="0" borderId="3" xfId="0" applyNumberFormat="1" applyFont="1" applyFill="1" applyBorder="1" applyAlignment="1">
      <alignment horizontal="center" vertical="center"/>
    </xf>
    <xf numFmtId="167" fontId="21" fillId="0" borderId="3" xfId="13" applyNumberFormat="1" applyFont="1" applyFill="1" applyBorder="1" applyAlignment="1">
      <alignment horizontal="center" vertical="center"/>
    </xf>
    <xf numFmtId="166" fontId="21" fillId="0" borderId="3" xfId="13" applyNumberFormat="1" applyFont="1" applyFill="1" applyBorder="1" applyAlignment="1">
      <alignment horizontal="center" vertical="center"/>
    </xf>
    <xf numFmtId="44" fontId="21" fillId="0" borderId="3" xfId="13" applyFont="1" applyFill="1" applyBorder="1" applyAlignment="1">
      <alignment horizontal="center" vertical="center"/>
    </xf>
    <xf numFmtId="0" fontId="26" fillId="0" borderId="25" xfId="0" applyFont="1" applyFill="1" applyBorder="1" applyAlignment="1">
      <alignment horizontal="center" vertical="top" wrapText="1"/>
    </xf>
    <xf numFmtId="0" fontId="28" fillId="0" borderId="4" xfId="0" applyFont="1" applyFill="1" applyBorder="1" applyAlignment="1">
      <alignment horizontal="center" vertical="center"/>
    </xf>
    <xf numFmtId="166" fontId="28" fillId="0" borderId="4" xfId="0" applyNumberFormat="1" applyFont="1" applyFill="1" applyBorder="1" applyAlignment="1">
      <alignment horizontal="center" vertical="center"/>
    </xf>
    <xf numFmtId="44" fontId="28" fillId="0" borderId="4" xfId="13" applyFont="1" applyFill="1" applyBorder="1" applyAlignment="1">
      <alignment horizontal="center" vertical="center"/>
    </xf>
    <xf numFmtId="0" fontId="28" fillId="0" borderId="26" xfId="0" applyFont="1" applyFill="1" applyBorder="1" applyAlignment="1">
      <alignment horizontal="center" vertical="center"/>
    </xf>
    <xf numFmtId="166" fontId="28" fillId="0" borderId="27" xfId="0" applyNumberFormat="1" applyFont="1" applyFill="1" applyBorder="1" applyAlignment="1">
      <alignment horizontal="center" vertical="center"/>
    </xf>
    <xf numFmtId="0" fontId="28" fillId="0" borderId="28" xfId="0" applyFont="1" applyFill="1" applyBorder="1" applyAlignment="1">
      <alignment horizontal="center" vertical="center"/>
    </xf>
    <xf numFmtId="0" fontId="28" fillId="0" borderId="5" xfId="0" applyFont="1" applyFill="1" applyBorder="1" applyAlignment="1">
      <alignment horizontal="center" vertical="center"/>
    </xf>
    <xf numFmtId="166" fontId="28" fillId="0" borderId="5" xfId="0" applyNumberFormat="1" applyFont="1" applyFill="1" applyBorder="1" applyAlignment="1">
      <alignment horizontal="center" vertical="center"/>
    </xf>
    <xf numFmtId="44" fontId="28" fillId="0" borderId="5" xfId="13" applyFont="1" applyFill="1" applyBorder="1" applyAlignment="1">
      <alignment horizontal="center" vertical="center"/>
    </xf>
    <xf numFmtId="166" fontId="28" fillId="0" borderId="29" xfId="0" applyNumberFormat="1" applyFont="1" applyFill="1" applyBorder="1" applyAlignment="1">
      <alignment horizontal="center" vertical="center"/>
    </xf>
    <xf numFmtId="0" fontId="28" fillId="0" borderId="30" xfId="0" applyFont="1" applyFill="1" applyBorder="1" applyAlignment="1">
      <alignment horizontal="center" vertical="center"/>
    </xf>
    <xf numFmtId="0" fontId="28" fillId="0" borderId="8" xfId="0" applyFont="1" applyFill="1" applyBorder="1" applyAlignment="1">
      <alignment horizontal="center" vertical="center"/>
    </xf>
    <xf numFmtId="166" fontId="28" fillId="0" borderId="8" xfId="0" applyNumberFormat="1" applyFont="1" applyFill="1" applyBorder="1" applyAlignment="1">
      <alignment horizontal="center" vertical="center"/>
    </xf>
    <xf numFmtId="44" fontId="28" fillId="0" borderId="8" xfId="13" applyFont="1" applyFill="1" applyBorder="1" applyAlignment="1">
      <alignment horizontal="center" vertical="center"/>
    </xf>
    <xf numFmtId="166" fontId="28" fillId="0" borderId="31" xfId="0" applyNumberFormat="1" applyFont="1" applyFill="1" applyBorder="1" applyAlignment="1">
      <alignment horizontal="center" vertical="center"/>
    </xf>
    <xf numFmtId="0" fontId="28" fillId="0" borderId="37" xfId="0" applyFont="1" applyFill="1" applyBorder="1" applyAlignment="1">
      <alignment horizontal="center" vertical="center"/>
    </xf>
    <xf numFmtId="0" fontId="28" fillId="0" borderId="38" xfId="0" applyFont="1" applyFill="1" applyBorder="1" applyAlignment="1">
      <alignment horizontal="center" vertical="center"/>
    </xf>
    <xf numFmtId="166" fontId="28" fillId="0" borderId="38" xfId="0" applyNumberFormat="1" applyFont="1" applyFill="1" applyBorder="1" applyAlignment="1">
      <alignment horizontal="center" vertical="center"/>
    </xf>
    <xf numFmtId="44" fontId="28" fillId="0" borderId="38" xfId="13" applyFont="1" applyFill="1" applyBorder="1" applyAlignment="1">
      <alignment horizontal="center" vertical="center"/>
    </xf>
    <xf numFmtId="166" fontId="28" fillId="0" borderId="39" xfId="0" applyNumberFormat="1" applyFont="1" applyFill="1" applyBorder="1" applyAlignment="1">
      <alignment horizontal="center" vertical="center"/>
    </xf>
    <xf numFmtId="0" fontId="28" fillId="0" borderId="40" xfId="0" applyFont="1" applyFill="1" applyBorder="1" applyAlignment="1">
      <alignment horizontal="center" vertical="center"/>
    </xf>
    <xf numFmtId="166" fontId="28" fillId="0" borderId="41" xfId="0" applyNumberFormat="1" applyFont="1" applyFill="1" applyBorder="1" applyAlignment="1">
      <alignment horizontal="center" vertical="center"/>
    </xf>
    <xf numFmtId="167" fontId="28" fillId="0" borderId="38" xfId="13" applyNumberFormat="1" applyFont="1" applyFill="1" applyBorder="1" applyAlignment="1">
      <alignment horizontal="center" vertical="center"/>
    </xf>
    <xf numFmtId="167" fontId="28" fillId="0" borderId="4" xfId="13" applyNumberFormat="1" applyFont="1" applyFill="1" applyBorder="1" applyAlignment="1">
      <alignment horizontal="center" vertical="center"/>
    </xf>
    <xf numFmtId="0" fontId="29" fillId="0" borderId="0" xfId="0" applyFont="1"/>
    <xf numFmtId="0" fontId="25" fillId="0" borderId="32" xfId="0" applyFont="1" applyFill="1" applyBorder="1" applyAlignment="1">
      <alignment horizontal="center" vertical="top" wrapText="1"/>
    </xf>
    <xf numFmtId="0" fontId="25" fillId="0" borderId="33" xfId="0" applyFont="1" applyFill="1" applyBorder="1" applyAlignment="1">
      <alignment horizontal="center" vertical="top" wrapText="1"/>
    </xf>
    <xf numFmtId="0" fontId="25" fillId="0" borderId="34" xfId="0" applyFont="1" applyFill="1" applyBorder="1" applyAlignment="1">
      <alignment horizontal="center" vertical="top" wrapText="1"/>
    </xf>
    <xf numFmtId="0" fontId="25" fillId="0" borderId="35" xfId="0" applyFont="1" applyFill="1" applyBorder="1" applyAlignment="1">
      <alignment horizontal="center" vertical="top" wrapText="1"/>
    </xf>
    <xf numFmtId="0" fontId="25" fillId="0" borderId="36" xfId="0" applyFont="1" applyFill="1" applyBorder="1" applyAlignment="1">
      <alignment horizontal="center" vertical="top" wrapText="1"/>
    </xf>
    <xf numFmtId="0" fontId="8" fillId="0" borderId="0" xfId="0" applyFont="1" applyFill="1" applyBorder="1" applyAlignment="1">
      <alignment horizontal="left"/>
    </xf>
    <xf numFmtId="0" fontId="8" fillId="0" borderId="0" xfId="0" applyFont="1" applyFill="1" applyBorder="1" applyAlignment="1">
      <alignment wrapText="1"/>
    </xf>
    <xf numFmtId="10" fontId="8" fillId="0" borderId="0" xfId="1" applyNumberFormat="1" applyFont="1" applyFill="1" applyBorder="1" applyAlignment="1" applyProtection="1">
      <alignment horizontal="center"/>
      <protection locked="0"/>
    </xf>
    <xf numFmtId="44" fontId="8" fillId="0" borderId="0" xfId="13" applyFont="1" applyFill="1" applyBorder="1" applyAlignment="1" applyProtection="1">
      <alignment horizontal="center"/>
      <protection locked="0"/>
    </xf>
    <xf numFmtId="44" fontId="8" fillId="0" borderId="0" xfId="13" applyFont="1" applyFill="1" applyBorder="1" applyAlignment="1">
      <alignment horizontal="center" vertical="center" wrapText="1"/>
    </xf>
    <xf numFmtId="165" fontId="8" fillId="0" borderId="0" xfId="2" applyNumberFormat="1" applyFont="1" applyFill="1" applyBorder="1" applyAlignment="1">
      <alignment horizontal="center" vertical="center" wrapText="1"/>
    </xf>
    <xf numFmtId="4" fontId="8" fillId="0" borderId="0" xfId="0" applyNumberFormat="1" applyFont="1" applyFill="1" applyBorder="1" applyAlignment="1" applyProtection="1">
      <alignment wrapText="1"/>
      <protection locked="0"/>
    </xf>
    <xf numFmtId="4" fontId="8" fillId="0" borderId="0" xfId="0" applyNumberFormat="1" applyFont="1" applyFill="1" applyBorder="1" applyAlignment="1">
      <alignment wrapText="1"/>
    </xf>
    <xf numFmtId="0" fontId="8" fillId="0" borderId="0" xfId="2" applyNumberFormat="1" applyFont="1" applyFill="1" applyBorder="1" applyAlignment="1">
      <alignment vertical="center"/>
    </xf>
    <xf numFmtId="4" fontId="8" fillId="0" borderId="0" xfId="11" applyNumberFormat="1" applyFont="1" applyFill="1" applyBorder="1" applyAlignment="1">
      <alignment vertical="center" wrapText="1"/>
    </xf>
    <xf numFmtId="167" fontId="8" fillId="0" borderId="0" xfId="1" applyNumberFormat="1" applyFont="1" applyFill="1" applyBorder="1" applyAlignment="1" applyProtection="1">
      <alignment horizontal="center"/>
      <protection locked="0"/>
    </xf>
    <xf numFmtId="0" fontId="6" fillId="0" borderId="0" xfId="0" applyFont="1" applyAlignment="1"/>
    <xf numFmtId="0" fontId="17" fillId="0" borderId="0" xfId="0" applyFont="1" applyAlignment="1"/>
    <xf numFmtId="0" fontId="5" fillId="0" borderId="0" xfId="0" applyFont="1" applyAlignment="1"/>
    <xf numFmtId="0" fontId="17" fillId="14" borderId="0" xfId="0" applyFont="1" applyFill="1" applyAlignment="1"/>
    <xf numFmtId="0" fontId="17" fillId="13" borderId="0" xfId="0" applyFont="1" applyFill="1" applyAlignment="1"/>
    <xf numFmtId="0" fontId="5" fillId="0" borderId="0" xfId="0" applyFont="1" applyAlignment="1">
      <alignment horizontal="left"/>
    </xf>
    <xf numFmtId="0" fontId="5" fillId="0" borderId="0" xfId="0" applyFont="1" applyAlignment="1">
      <alignment horizontal="left" wrapText="1"/>
    </xf>
    <xf numFmtId="0" fontId="5" fillId="0" borderId="0" xfId="0" applyFont="1" applyBorder="1" applyAlignment="1">
      <alignment horizontal="left"/>
    </xf>
    <xf numFmtId="0" fontId="16" fillId="0" borderId="1" xfId="0" applyFont="1" applyBorder="1" applyAlignment="1" applyProtection="1">
      <protection locked="0"/>
    </xf>
    <xf numFmtId="0" fontId="5" fillId="0" borderId="1" xfId="0" applyFont="1" applyBorder="1" applyAlignment="1" applyProtection="1">
      <protection locked="0"/>
    </xf>
    <xf numFmtId="0" fontId="8" fillId="0" borderId="6" xfId="0" applyFont="1" applyBorder="1" applyAlignment="1" applyProtection="1">
      <protection locked="0"/>
    </xf>
    <xf numFmtId="0" fontId="8" fillId="0" borderId="3" xfId="0" applyFont="1" applyBorder="1" applyAlignment="1"/>
    <xf numFmtId="0" fontId="16" fillId="0" borderId="0" xfId="0" applyFont="1" applyBorder="1" applyAlignment="1" applyProtection="1">
      <protection locked="0"/>
    </xf>
    <xf numFmtId="0" fontId="5" fillId="0" borderId="0" xfId="0" applyFont="1" applyBorder="1" applyAlignment="1" applyProtection="1">
      <protection locked="0"/>
    </xf>
    <xf numFmtId="0" fontId="8" fillId="0" borderId="0" xfId="0" applyFont="1" applyBorder="1" applyAlignment="1" applyProtection="1">
      <protection locked="0"/>
    </xf>
    <xf numFmtId="0" fontId="5" fillId="0" borderId="0" xfId="0" applyFont="1" applyBorder="1" applyAlignment="1">
      <alignment horizontal="center" wrapText="1"/>
    </xf>
    <xf numFmtId="0" fontId="5" fillId="0" borderId="0" xfId="0" applyFont="1" applyBorder="1"/>
    <xf numFmtId="14" fontId="5" fillId="0" borderId="1" xfId="0" applyNumberFormat="1" applyFont="1" applyBorder="1" applyAlignment="1" applyProtection="1">
      <alignment horizontal="left" wrapText="1"/>
      <protection locked="0"/>
    </xf>
    <xf numFmtId="0" fontId="15" fillId="8" borderId="45" xfId="0" applyFont="1" applyFill="1" applyBorder="1" applyAlignment="1">
      <alignment horizontal="center" vertical="top" wrapText="1"/>
    </xf>
    <xf numFmtId="0" fontId="15" fillId="8" borderId="46" xfId="0" applyFont="1" applyFill="1" applyBorder="1" applyAlignment="1">
      <alignment horizontal="center" vertical="top" wrapText="1"/>
    </xf>
    <xf numFmtId="17" fontId="15" fillId="8" borderId="47" xfId="0" applyNumberFormat="1" applyFont="1" applyFill="1" applyBorder="1" applyAlignment="1">
      <alignment horizontal="center"/>
    </xf>
    <xf numFmtId="0" fontId="15" fillId="8" borderId="48" xfId="0" applyFont="1" applyFill="1" applyBorder="1" applyAlignment="1">
      <alignment horizontal="center" vertical="top" wrapText="1"/>
    </xf>
    <xf numFmtId="0" fontId="12" fillId="0" borderId="45" xfId="0" applyFont="1" applyBorder="1" applyAlignment="1">
      <alignment horizontal="left"/>
    </xf>
    <xf numFmtId="0" fontId="12" fillId="0" borderId="46" xfId="0" applyFont="1" applyBorder="1" applyAlignment="1">
      <alignment wrapText="1"/>
    </xf>
    <xf numFmtId="4" fontId="12" fillId="0" borderId="46" xfId="0" applyNumberFormat="1" applyFont="1" applyBorder="1"/>
    <xf numFmtId="10" fontId="12" fillId="0" borderId="46" xfId="1" applyNumberFormat="1" applyFont="1" applyBorder="1" applyAlignment="1">
      <alignment horizontal="center"/>
    </xf>
    <xf numFmtId="167" fontId="12" fillId="0" borderId="46" xfId="13" applyNumberFormat="1" applyFont="1" applyBorder="1" applyAlignment="1">
      <alignment horizontal="center"/>
    </xf>
    <xf numFmtId="44" fontId="12" fillId="0" borderId="46" xfId="13" applyNumberFormat="1" applyFont="1" applyBorder="1" applyAlignment="1">
      <alignment horizontal="center"/>
    </xf>
    <xf numFmtId="44" fontId="12" fillId="0" borderId="46" xfId="13" applyNumberFormat="1" applyFont="1" applyBorder="1" applyAlignment="1">
      <alignment horizontal="center" vertical="center" wrapText="1"/>
    </xf>
    <xf numFmtId="165" fontId="12" fillId="0" borderId="46" xfId="2" applyNumberFormat="1" applyFont="1" applyBorder="1" applyAlignment="1">
      <alignment horizontal="center" vertical="center" wrapText="1"/>
    </xf>
    <xf numFmtId="4" fontId="12" fillId="0" borderId="46" xfId="0" applyNumberFormat="1" applyFont="1" applyBorder="1" applyAlignment="1">
      <alignment wrapText="1"/>
    </xf>
    <xf numFmtId="4" fontId="12" fillId="0" borderId="48" xfId="0" applyNumberFormat="1" applyFont="1" applyBorder="1" applyAlignment="1">
      <alignment wrapText="1"/>
    </xf>
    <xf numFmtId="0" fontId="12" fillId="0" borderId="46" xfId="2" applyNumberFormat="1" applyFont="1" applyBorder="1" applyAlignment="1">
      <alignment vertical="center"/>
    </xf>
    <xf numFmtId="4" fontId="8" fillId="0" borderId="46" xfId="11" applyNumberFormat="1" applyFont="1" applyBorder="1" applyAlignment="1">
      <alignment vertical="center" wrapText="1"/>
    </xf>
    <xf numFmtId="167" fontId="12" fillId="0" borderId="46" xfId="13" applyNumberFormat="1" applyFont="1" applyBorder="1" applyAlignment="1">
      <alignment horizontal="center" vertical="center" wrapText="1"/>
    </xf>
    <xf numFmtId="167" fontId="12" fillId="0" borderId="46" xfId="1" applyNumberFormat="1" applyFont="1" applyBorder="1" applyAlignment="1">
      <alignment horizontal="center"/>
    </xf>
    <xf numFmtId="0" fontId="8" fillId="0" borderId="49" xfId="0" applyFont="1" applyBorder="1"/>
    <xf numFmtId="0" fontId="20" fillId="0" borderId="50" xfId="0" applyFont="1" applyBorder="1" applyAlignment="1">
      <alignment horizontal="left"/>
    </xf>
    <xf numFmtId="0" fontId="20" fillId="0" borderId="51" xfId="0" applyNumberFormat="1" applyFont="1" applyBorder="1" applyAlignment="1">
      <alignment vertical="center"/>
    </xf>
    <xf numFmtId="0" fontId="20" fillId="0" borderId="51" xfId="0" applyFont="1" applyBorder="1" applyAlignment="1">
      <alignment wrapText="1"/>
    </xf>
    <xf numFmtId="4" fontId="20" fillId="0" borderId="51" xfId="0" applyNumberFormat="1" applyFont="1" applyBorder="1" applyAlignment="1">
      <alignment vertical="center" wrapText="1"/>
    </xf>
    <xf numFmtId="9" fontId="20" fillId="0" borderId="51" xfId="0" applyNumberFormat="1" applyFont="1" applyBorder="1" applyAlignment="1">
      <alignment horizontal="center" vertical="center" wrapText="1"/>
    </xf>
    <xf numFmtId="44" fontId="20" fillId="0" borderId="51" xfId="0" applyNumberFormat="1" applyFont="1" applyBorder="1" applyAlignment="1">
      <alignment horizontal="center" vertical="center" wrapText="1"/>
    </xf>
    <xf numFmtId="0" fontId="20" fillId="0" borderId="51" xfId="0" applyNumberFormat="1" applyFont="1" applyBorder="1" applyAlignment="1">
      <alignment horizontal="center" vertical="center" wrapText="1"/>
    </xf>
    <xf numFmtId="0" fontId="20" fillId="0" borderId="51" xfId="0" applyNumberFormat="1" applyFont="1" applyBorder="1" applyAlignment="1">
      <alignment horizontal="center"/>
    </xf>
    <xf numFmtId="4" fontId="20" fillId="0" borderId="51" xfId="0" applyNumberFormat="1" applyFont="1" applyBorder="1" applyAlignment="1">
      <alignment wrapText="1"/>
    </xf>
    <xf numFmtId="10" fontId="21" fillId="0" borderId="0" xfId="1" applyNumberFormat="1" applyFont="1" applyAlignment="1">
      <alignment horizontal="center" vertical="center"/>
    </xf>
    <xf numFmtId="44" fontId="12" fillId="9" borderId="46" xfId="13" applyNumberFormat="1" applyFont="1" applyFill="1" applyBorder="1" applyAlignment="1">
      <alignment horizontal="center" vertical="center" wrapText="1"/>
    </xf>
    <xf numFmtId="0" fontId="1" fillId="0" borderId="42" xfId="0" applyFont="1" applyFill="1" applyBorder="1" applyAlignment="1">
      <alignment horizontal="center" vertical="center"/>
    </xf>
    <xf numFmtId="0" fontId="1" fillId="0" borderId="43" xfId="0" applyFont="1" applyFill="1" applyBorder="1" applyAlignment="1">
      <alignment horizontal="center" vertical="center"/>
    </xf>
    <xf numFmtId="44" fontId="1" fillId="0" borderId="43" xfId="0" applyNumberFormat="1" applyFont="1" applyFill="1" applyBorder="1" applyAlignment="1">
      <alignment horizontal="center" vertical="center"/>
    </xf>
    <xf numFmtId="166" fontId="1" fillId="0" borderId="43" xfId="0" applyNumberFormat="1" applyFont="1" applyFill="1" applyBorder="1" applyAlignment="1">
      <alignment horizontal="center" vertical="center"/>
    </xf>
    <xf numFmtId="167" fontId="1" fillId="0" borderId="43" xfId="0" applyNumberFormat="1" applyFont="1" applyFill="1" applyBorder="1" applyAlignment="1">
      <alignment horizontal="center" vertical="center"/>
    </xf>
    <xf numFmtId="44" fontId="1" fillId="0" borderId="44" xfId="0" applyNumberFormat="1" applyFont="1" applyFill="1" applyBorder="1" applyAlignment="1">
      <alignment horizontal="center" vertical="center"/>
    </xf>
    <xf numFmtId="0" fontId="21" fillId="0" borderId="0" xfId="0" applyFont="1" applyFill="1" applyAlignment="1">
      <alignment horizontal="center" vertical="center"/>
    </xf>
    <xf numFmtId="167" fontId="21" fillId="0" borderId="0" xfId="0" applyNumberFormat="1" applyFont="1" applyFill="1" applyBorder="1" applyAlignment="1">
      <alignment horizontal="center" vertical="center"/>
    </xf>
    <xf numFmtId="44" fontId="21" fillId="0" borderId="0" xfId="0" applyNumberFormat="1" applyFont="1" applyFill="1" applyBorder="1" applyAlignment="1">
      <alignment horizontal="center" vertical="center"/>
    </xf>
    <xf numFmtId="0" fontId="21" fillId="0" borderId="0" xfId="0" applyNumberFormat="1" applyFont="1" applyFill="1" applyBorder="1" applyAlignment="1">
      <alignment horizontal="center" vertical="center"/>
    </xf>
    <xf numFmtId="0" fontId="8" fillId="0" borderId="2" xfId="0" applyFont="1" applyBorder="1" applyAlignment="1" applyProtection="1">
      <alignment horizontal="left" wrapText="1"/>
    </xf>
    <xf numFmtId="164" fontId="13" fillId="0" borderId="1" xfId="0" applyNumberFormat="1" applyFont="1" applyBorder="1" applyAlignment="1" applyProtection="1">
      <alignment horizontal="center"/>
      <protection locked="0"/>
    </xf>
    <xf numFmtId="0" fontId="5" fillId="0" borderId="2" xfId="0" applyFont="1" applyBorder="1" applyAlignment="1" applyProtection="1">
      <alignment horizontal="left"/>
      <protection locked="0"/>
    </xf>
    <xf numFmtId="0" fontId="8" fillId="0" borderId="0" xfId="0" applyFont="1" applyAlignment="1" applyProtection="1">
      <alignment horizontal="left"/>
    </xf>
    <xf numFmtId="0" fontId="16" fillId="0" borderId="1" xfId="0" applyFont="1" applyBorder="1" applyAlignment="1" applyProtection="1">
      <alignment horizontal="left"/>
      <protection locked="0"/>
    </xf>
    <xf numFmtId="0" fontId="8"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6" fillId="0" borderId="0" xfId="0" applyFont="1" applyAlignment="1" applyProtection="1">
      <alignment horizontal="center"/>
    </xf>
    <xf numFmtId="0" fontId="8" fillId="0" borderId="0" xfId="0" applyFont="1" applyBorder="1" applyAlignment="1" applyProtection="1">
      <alignment horizontal="right" vertical="top"/>
    </xf>
    <xf numFmtId="0" fontId="9" fillId="0" borderId="0" xfId="0" applyFont="1" applyBorder="1" applyAlignment="1" applyProtection="1">
      <alignment horizontal="right" vertical="top"/>
    </xf>
    <xf numFmtId="0" fontId="5" fillId="0" borderId="0" xfId="0" applyFont="1" applyAlignment="1">
      <alignment horizontal="center"/>
    </xf>
    <xf numFmtId="0" fontId="6" fillId="0" borderId="0" xfId="0" applyFont="1" applyAlignment="1">
      <alignment horizontal="center"/>
    </xf>
    <xf numFmtId="0" fontId="8" fillId="0" borderId="0" xfId="0" applyFont="1" applyAlignment="1">
      <alignment wrapText="1"/>
    </xf>
    <xf numFmtId="0" fontId="0" fillId="0" borderId="0" xfId="0" applyAlignment="1">
      <alignment wrapText="1"/>
    </xf>
    <xf numFmtId="0" fontId="8" fillId="0" borderId="0" xfId="0" applyFont="1" applyFill="1" applyAlignment="1">
      <alignment wrapText="1"/>
    </xf>
    <xf numFmtId="0" fontId="9" fillId="0" borderId="0" xfId="0" applyFont="1" applyAlignment="1">
      <alignment wrapText="1"/>
    </xf>
    <xf numFmtId="0" fontId="9" fillId="0" borderId="0" xfId="0" applyFont="1" applyFill="1" applyAlignment="1">
      <alignment wrapText="1"/>
    </xf>
    <xf numFmtId="0" fontId="8" fillId="0" borderId="3" xfId="0" applyFont="1" applyBorder="1" applyAlignment="1">
      <alignment horizontal="center"/>
    </xf>
    <xf numFmtId="0" fontId="17" fillId="0" borderId="0" xfId="0" applyFont="1" applyAlignment="1">
      <alignment horizontal="center"/>
    </xf>
    <xf numFmtId="0" fontId="8" fillId="0" borderId="0" xfId="0" applyFont="1" applyAlignment="1">
      <alignment horizontal="center"/>
    </xf>
    <xf numFmtId="0" fontId="5" fillId="0" borderId="1" xfId="0" applyFont="1" applyBorder="1" applyAlignment="1" applyProtection="1">
      <alignment horizontal="left"/>
      <protection locked="0"/>
    </xf>
    <xf numFmtId="0" fontId="8" fillId="0" borderId="6" xfId="0" applyFont="1" applyBorder="1" applyAlignment="1" applyProtection="1">
      <alignment horizontal="left"/>
      <protection locked="0"/>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31" fillId="0" borderId="18" xfId="0" applyFont="1" applyBorder="1" applyAlignment="1">
      <alignment horizontal="center"/>
    </xf>
    <xf numFmtId="0" fontId="31" fillId="0" borderId="19" xfId="0" applyFont="1" applyBorder="1" applyAlignment="1">
      <alignment horizontal="center"/>
    </xf>
    <xf numFmtId="0" fontId="31" fillId="0" borderId="20" xfId="0" applyFont="1" applyBorder="1" applyAlignment="1">
      <alignment horizontal="center"/>
    </xf>
    <xf numFmtId="0" fontId="21" fillId="9" borderId="0" xfId="0" applyFont="1" applyFill="1" applyBorder="1" applyAlignment="1">
      <alignment horizontal="center" vertical="center"/>
    </xf>
    <xf numFmtId="0" fontId="21" fillId="15" borderId="0" xfId="0" applyFont="1" applyFill="1" applyBorder="1" applyAlignment="1">
      <alignment horizontal="center" vertical="center"/>
    </xf>
    <xf numFmtId="0" fontId="21" fillId="16" borderId="0" xfId="0" applyFont="1" applyFill="1" applyBorder="1" applyAlignment="1">
      <alignment horizontal="center" vertical="center"/>
    </xf>
    <xf numFmtId="0" fontId="21" fillId="17" borderId="0" xfId="0" applyFont="1" applyFill="1" applyBorder="1" applyAlignment="1">
      <alignment horizontal="center" vertical="center"/>
    </xf>
    <xf numFmtId="16" fontId="21" fillId="18" borderId="0" xfId="0" applyNumberFormat="1" applyFont="1" applyFill="1" applyBorder="1" applyAlignment="1">
      <alignment horizontal="center" vertical="center"/>
    </xf>
    <xf numFmtId="0" fontId="21" fillId="18" borderId="0" xfId="0" applyFont="1" applyFill="1" applyBorder="1" applyAlignment="1">
      <alignment horizontal="center" vertical="center"/>
    </xf>
  </cellXfs>
  <cellStyles count="14">
    <cellStyle name="Currency" xfId="13" builtinId="4"/>
    <cellStyle name="Currency 2" xfId="3"/>
    <cellStyle name="Currency 3" xfId="5"/>
    <cellStyle name="Currency 4" xfId="8"/>
    <cellStyle name="Currency 5" xfId="11"/>
    <cellStyle name="Normal" xfId="0" builtinId="0"/>
    <cellStyle name="Normal 2" xfId="4"/>
    <cellStyle name="Normal 3" xfId="7"/>
    <cellStyle name="Normal 4" xfId="2"/>
    <cellStyle name="Normal 5" xfId="10"/>
    <cellStyle name="Percent" xfId="1" builtinId="5"/>
    <cellStyle name="Percent 2" xfId="6"/>
    <cellStyle name="Percent 3" xfId="9"/>
    <cellStyle name="Percent 4" xfId="12"/>
  </cellStyles>
  <dxfs count="74">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4" tint="0.79998168889431442"/>
        </patternFill>
      </fill>
    </dxf>
    <dxf>
      <font>
        <color theme="0" tint="-0.14996795556505021"/>
      </font>
      <fill>
        <patternFill>
          <bgColor theme="0" tint="-0.499984740745262"/>
        </patternFill>
      </fill>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color theme="0" tint="-0.14996795556505021"/>
      </font>
      <fill>
        <patternFill>
          <bgColor theme="0" tint="-0.499984740745262"/>
        </patternFill>
      </fill>
    </dxf>
    <dxf>
      <fill>
        <patternFill>
          <bgColor theme="1" tint="0.24994659260841701"/>
        </patternFill>
      </fill>
    </dxf>
    <dxf>
      <fill>
        <patternFill>
          <bgColor theme="1" tint="0.24994659260841701"/>
        </patternFill>
      </fill>
    </dxf>
    <dxf>
      <fill>
        <patternFill>
          <bgColor theme="1" tint="0.24994659260841701"/>
        </patternFill>
      </fill>
    </dxf>
    <dxf>
      <font>
        <b val="0"/>
        <i val="0"/>
        <strike val="0"/>
        <condense val="0"/>
        <extend val="0"/>
        <outline val="0"/>
        <shadow val="0"/>
        <u val="none"/>
        <vertAlign val="baseline"/>
        <sz val="10"/>
        <color auto="1"/>
        <name val="Arial"/>
        <scheme val="none"/>
      </font>
    </dxf>
    <dxf>
      <numFmt numFmtId="19" formatCode="m/d/yyyy"/>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ck">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166" formatCode="[$-409]d\-mmm\-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ck">
          <color indexed="64"/>
        </left>
        <right style="thin">
          <color indexed="64"/>
        </right>
        <top style="thick">
          <color indexed="64"/>
        </top>
        <bottom style="thick">
          <color indexed="64"/>
        </bottom>
      </border>
    </dxf>
    <dxf>
      <border>
        <top style="thick">
          <color indexed="64"/>
        </top>
      </border>
    </dxf>
    <dxf>
      <font>
        <b val="0"/>
        <strike val="0"/>
        <outline val="0"/>
        <shadow val="0"/>
        <u val="none"/>
        <vertAlign val="baseline"/>
        <sz val="11"/>
        <color theme="1"/>
        <name val="Calibri"/>
        <scheme val="minor"/>
      </font>
      <fill>
        <patternFill patternType="none">
          <bgColor auto="1"/>
        </patternFill>
      </fill>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border>
        <bottom style="thick">
          <color indexed="64"/>
        </bottom>
      </border>
    </dxf>
    <dxf>
      <font>
        <b val="0"/>
        <i val="0"/>
        <strike val="0"/>
        <condense val="0"/>
        <extend val="0"/>
        <outline val="0"/>
        <shadow val="0"/>
        <u val="none"/>
        <vertAlign val="baseline"/>
        <sz val="11"/>
        <color theme="0"/>
        <name val="Calibri"/>
        <scheme val="minor"/>
      </font>
      <fill>
        <patternFill patternType="none">
          <fgColor theme="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dxf>
    <dxf>
      <font>
        <b val="0"/>
      </font>
      <fill>
        <patternFill patternType="none">
          <bgColor auto="1"/>
        </patternFill>
      </fill>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medium">
          <color indexed="64"/>
        </left>
        <right/>
        <top/>
        <bottom/>
        <vertical/>
        <horizontal/>
      </border>
    </dxf>
    <dxf>
      <font>
        <b val="0"/>
      </font>
      <fill>
        <patternFill patternType="none">
          <bgColor auto="1"/>
        </patternFill>
      </fill>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0"/>
        <name val="Calibri"/>
        <scheme val="minor"/>
      </font>
      <fill>
        <patternFill patternType="none">
          <fgColor theme="4"/>
          <bgColor auto="1"/>
        </patternFill>
      </fill>
      <alignment horizontal="center" vertical="center" textRotation="0" wrapText="1" indent="0" justifyLastLine="0" shrinkToFit="0" readingOrder="0"/>
    </dxf>
    <dxf>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strike val="0"/>
        <outline val="0"/>
        <shadow val="0"/>
        <u val="none"/>
        <vertAlign val="baseline"/>
        <sz val="10"/>
        <color theme="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18" Type="http://schemas.openxmlformats.org/officeDocument/2006/relationships/customXml" Target="../customXml/item1.xml"/><Relationship Id="rId26" Type="http://schemas.openxmlformats.org/officeDocument/2006/relationships/customXml" Target="../customXml/item9.xml"/><Relationship Id="rId3" Type="http://schemas.openxmlformats.org/officeDocument/2006/relationships/worksheet" Target="worksheets/sheet3.xml"/><Relationship Id="rId21" Type="http://schemas.openxmlformats.org/officeDocument/2006/relationships/customXml" Target="../customXml/item4.xml"/><Relationship Id="rId34" Type="http://schemas.openxmlformats.org/officeDocument/2006/relationships/customXml" Target="../customXml/item17.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alcChain" Target="calcChain.xml"/><Relationship Id="rId25" Type="http://schemas.openxmlformats.org/officeDocument/2006/relationships/customXml" Target="../customXml/item8.xml"/><Relationship Id="rId33" Type="http://schemas.openxmlformats.org/officeDocument/2006/relationships/customXml" Target="../customXml/item16.xml"/><Relationship Id="rId2" Type="http://schemas.openxmlformats.org/officeDocument/2006/relationships/worksheet" Target="worksheets/sheet2.xml"/><Relationship Id="rId16" Type="http://schemas.openxmlformats.org/officeDocument/2006/relationships/powerPivotData" Target="model/item.data"/><Relationship Id="rId20" Type="http://schemas.openxmlformats.org/officeDocument/2006/relationships/customXml" Target="../customXml/item3.xml"/><Relationship Id="rId29" Type="http://schemas.openxmlformats.org/officeDocument/2006/relationships/customXml" Target="../customXml/item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7.xml"/><Relationship Id="rId32" Type="http://schemas.openxmlformats.org/officeDocument/2006/relationships/customXml" Target="../customXml/item15.xml"/><Relationship Id="rId5" Type="http://schemas.openxmlformats.org/officeDocument/2006/relationships/worksheet" Target="worksheets/sheet5.xml"/><Relationship Id="rId15" Type="http://schemas.openxmlformats.org/officeDocument/2006/relationships/sharedStrings" Target="sharedStrings.xml"/><Relationship Id="rId23" Type="http://schemas.openxmlformats.org/officeDocument/2006/relationships/customXml" Target="../customXml/item6.xml"/><Relationship Id="rId28" Type="http://schemas.openxmlformats.org/officeDocument/2006/relationships/customXml" Target="../customXml/item11.xml"/><Relationship Id="rId36" Type="http://schemas.openxmlformats.org/officeDocument/2006/relationships/customXml" Target="../customXml/item19.xml"/><Relationship Id="rId10" Type="http://schemas.openxmlformats.org/officeDocument/2006/relationships/worksheet" Target="worksheets/sheet10.xml"/><Relationship Id="rId19" Type="http://schemas.openxmlformats.org/officeDocument/2006/relationships/customXml" Target="../customXml/item2.xml"/><Relationship Id="rId31" Type="http://schemas.openxmlformats.org/officeDocument/2006/relationships/customXml" Target="../customXml/item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 Id="rId22" Type="http://schemas.openxmlformats.org/officeDocument/2006/relationships/customXml" Target="../customXml/item5.xml"/><Relationship Id="rId27" Type="http://schemas.openxmlformats.org/officeDocument/2006/relationships/customXml" Target="../customXml/item10.xml"/><Relationship Id="rId30" Type="http://schemas.openxmlformats.org/officeDocument/2006/relationships/customXml" Target="../customXml/item13.xml"/><Relationship Id="rId35" Type="http://schemas.openxmlformats.org/officeDocument/2006/relationships/customXml" Target="../customXml/item1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2" name="Table2" displayName="Table2" ref="B1:G63" totalsRowShown="0" headerRowDxfId="73" dataDxfId="72">
  <autoFilter ref="B1:G63">
    <filterColumn colId="0">
      <filters>
        <filter val="51718"/>
      </filters>
    </filterColumn>
  </autoFilter>
  <sortState ref="B2:G52">
    <sortCondition ref="C1:C52"/>
  </sortState>
  <tableColumns count="6">
    <tableColumn id="1" name="Invoice #" dataDxfId="71"/>
    <tableColumn id="2" name="Date" dataDxfId="70"/>
    <tableColumn id="3" name="Milestone/ Line" dataDxfId="69"/>
    <tableColumn id="5" name="Invoice Amount" dataDxfId="68"/>
    <tableColumn id="8" name="Line" dataDxfId="67" dataCellStyle="Currency"/>
    <tableColumn id="6" name="Approval Date" dataDxfId="66"/>
  </tableColumns>
  <tableStyleInfo name="TableStyleMedium1" showFirstColumn="0" showLastColumn="0" showRowStripes="1" showColumnStripes="0"/>
</table>
</file>

<file path=xl/tables/table2.xml><?xml version="1.0" encoding="utf-8"?>
<table xmlns="http://schemas.openxmlformats.org/spreadsheetml/2006/main" id="1" name="CavityStatus" displayName="CavityStatus" ref="A3:Q228" totalsRowCount="1" headerRowDxfId="65" dataDxfId="64" totalsRowDxfId="62" tableBorderDxfId="63">
  <autoFilter ref="A3:Q227"/>
  <sortState ref="A4:Q227">
    <sortCondition ref="E3:E227"/>
  </sortState>
  <tableColumns count="17">
    <tableColumn id="7" name="Unit #" totalsRowLabel="Total" dataDxfId="61" totalsRowDxfId="21"/>
    <tableColumn id="20" name="Serial #" totalsRowFunction="count" dataDxfId="60" totalsRowDxfId="20"/>
    <tableColumn id="5" name="Description" dataDxfId="59" totalsRowDxfId="19"/>
    <tableColumn id="23" name="Incentivized Ship Date" dataDxfId="58" totalsRowDxfId="18"/>
    <tableColumn id="14" name="Actual Ship Date" dataDxfId="57" totalsRowDxfId="17"/>
    <tableColumn id="3" name="Ship#" dataDxfId="56" totalsRowDxfId="16"/>
    <tableColumn id="32" name="Wks +/- Incentive Date" dataDxfId="55" totalsRowDxfId="15">
      <calculatedColumnFormula>IF(CavityStatus[[#This Row],[Actual Ship Date]]&lt;&gt;0,($E4-$D4)/7,0)</calculatedColumnFormula>
    </tableColumn>
    <tableColumn id="24" name="FA Incentive Avail" totalsRowFunction="sum" dataDxfId="54" totalsRowDxfId="14" dataCellStyle="Currency"/>
    <tableColumn id="6" name="FA Incentive" dataDxfId="53" totalsRowDxfId="13" dataCellStyle="Currency"/>
    <tableColumn id="9" name="Prod Incentive Avail" totalsRowFunction="sum" dataDxfId="52" totalsRowDxfId="12" dataCellStyle="Currency"/>
    <tableColumn id="33" name="Incentive Earned" totalsRowFunction="sum" dataDxfId="51" totalsRowDxfId="11" dataCellStyle="Currency">
      <calculatedColumnFormula>IF($G4&gt;0,$H4-($G4*200),$H4)</calculatedColumnFormula>
    </tableColumn>
    <tableColumn id="27" name="Receipt Date" totalsRowFunction="count" dataDxfId="50" totalsRowDxfId="10" dataCellStyle="Currency"/>
    <tableColumn id="1" name="Recipe Modification (Mod 9)" totalsRowFunction="sum" dataDxfId="49" totalsRowDxfId="9" dataCellStyle="Currency"/>
    <tableColumn id="2" name="Caps            _x000a_ (Mod 10)" totalsRowFunction="sum" dataDxfId="48" totalsRowDxfId="8" dataCellStyle="Currency">
      <calculatedColumnFormula>57800/113</calculatedColumnFormula>
    </tableColumn>
    <tableColumn id="31" name="Delivery &amp; Acceptance" totalsRowFunction="sum" dataDxfId="47" totalsRowDxfId="7" dataCellStyle="Currency">
      <calculatedColumnFormula>RICavMilestoneVal</calculatedColumnFormula>
    </tableColumn>
    <tableColumn id="16" name="Total" totalsRowFunction="sum" dataDxfId="46" totalsRowDxfId="6" dataCellStyle="Currency">
      <calculatedColumnFormula>RICavMilestoneVal+CavityStatus[[#This Row],[Incentive Earned]]+CavityStatus[[#This Row],[Recipe Modification (Mod 9)]]+N4</calculatedColumnFormula>
    </tableColumn>
    <tableColumn id="19" name="Accept Date" dataDxfId="45" totalsRowDxfId="5" dataCellStyle="Currency"/>
  </tableColumns>
  <tableStyleInfo name="TableStyleMedium1" showFirstColumn="0" showLastColumn="0" showRowStripes="1" showColumnStripes="0"/>
</table>
</file>

<file path=xl/tables/table3.xml><?xml version="1.0" encoding="utf-8"?>
<table xmlns="http://schemas.openxmlformats.org/spreadsheetml/2006/main" id="4" name="CavityStatus5" displayName="CavityStatus5" ref="B3:K228" totalsRowCount="1" headerRowDxfId="44" dataDxfId="42" totalsRowDxfId="40" headerRowBorderDxfId="43" tableBorderDxfId="41" totalsRowBorderDxfId="39">
  <autoFilter ref="B3:K22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s>
        <dateGroupItem year="2017" month="6" dateTimeGrouping="month"/>
      </filters>
    </filterColumn>
  </autoFilter>
  <tableColumns count="10">
    <tableColumn id="7" name="Unit #" totalsRowLabel="Total" totalsRowDxfId="38">
      <calculatedColumnFormula>IF(CavityStatus[[#This Row],[Unit '#]]&lt;&gt;0,CavityStatus[[#This Row],[Unit '#]],"")</calculatedColumnFormula>
    </tableColumn>
    <tableColumn id="20" name="Serial #" totalsRowFunction="count" totalsRowDxfId="37">
      <calculatedColumnFormula>CavityStatus[[#This Row],[Serial '#]]</calculatedColumnFormula>
    </tableColumn>
    <tableColumn id="14" name="Actual Ship Date" totalsRowDxfId="36">
      <calculatedColumnFormula>IF(CavityStatus[[#This Row],[Actual Ship Date]]&lt;&gt;0,CavityStatus[[#This Row],[Actual Ship Date]],"")</calculatedColumnFormula>
    </tableColumn>
    <tableColumn id="33" name="Incentive Earned" totalsRowFunction="sum" totalsRowDxfId="35" dataCellStyle="Currency">
      <calculatedColumnFormula>CavityStatus[[#This Row],[Incentive Earned]]</calculatedColumnFormula>
    </tableColumn>
    <tableColumn id="27" name="Receipt Date" totalsRowDxfId="34" dataCellStyle="Currency">
      <calculatedColumnFormula>IF(CavityStatus[[#This Row],[Receipt Date]]&lt;&gt;0,CavityStatus[[#This Row],[Receipt Date]],"")</calculatedColumnFormula>
    </tableColumn>
    <tableColumn id="1" name="Recipe Mod (Mod 9)" totalsRowFunction="sum" totalsRowDxfId="33" dataCellStyle="Currency">
      <calculatedColumnFormula>CavityStatus[[#This Row],[Recipe Modification (Mod 9)]]</calculatedColumnFormula>
    </tableColumn>
    <tableColumn id="2" name="Caps            _x000a_ (Mod 10)" totalsRowFunction="sum" totalsRowDxfId="32" dataCellStyle="Currency">
      <calculatedColumnFormula>CavityStatus[[#This Row],[Caps            
 (Mod 10)]]</calculatedColumnFormula>
    </tableColumn>
    <tableColumn id="31" name="Delivery &amp; Acceptance" totalsRowFunction="sum" totalsRowDxfId="31" dataCellStyle="Currency">
      <calculatedColumnFormula>CavityStatus[[#This Row],[Delivery &amp; Acceptance]]</calculatedColumnFormula>
    </tableColumn>
    <tableColumn id="16" name="Total" totalsRowFunction="sum" totalsRowDxfId="30" dataCellStyle="Currency">
      <calculatedColumnFormula>CavityStatus[[#This Row],[Total]]</calculatedColumnFormula>
    </tableColumn>
    <tableColumn id="19" name="Accept Date" totalsRowDxfId="29" dataCellStyle="Currency">
      <calculatedColumnFormula>IF(CavityStatus[[#This Row],[Accept Date]]&lt;&gt;0,CavityStatus[[#This Row],[Accept Date]],"")</calculatedColumnFormula>
    </tableColumn>
  </tableColumns>
  <tableStyleInfo name="TableStyleMedium1" showFirstColumn="0" showLastColumn="0" showRowStripes="1" showColumnStripes="0"/>
</table>
</file>

<file path=xl/tables/table4.xml><?xml version="1.0" encoding="utf-8"?>
<table xmlns="http://schemas.openxmlformats.org/spreadsheetml/2006/main" id="3" name="IncentiveTable" displayName="IncentiveTable" ref="A1:C134" totalsRowShown="0" headerRowDxfId="28">
  <autoFilter ref="A1:C134"/>
  <sortState ref="A2:C134">
    <sortCondition ref="A1:A134"/>
  </sortState>
  <tableColumns count="3">
    <tableColumn id="1" name="Cavity"/>
    <tableColumn id="2" name="Incentive Date" dataDxfId="27"/>
    <tableColumn id="3" name="Incentive" dataDxfId="26" dataCellStyle="Currency"/>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27"/>
  <sheetViews>
    <sheetView showGridLines="0" tabSelected="1" zoomScaleNormal="100" workbookViewId="0">
      <pane xSplit="2" ySplit="7" topLeftCell="C77" activePane="bottomRight" state="frozen"/>
      <selection pane="topRight" activeCell="C1" sqref="C1"/>
      <selection pane="bottomLeft" activeCell="A8" sqref="A8"/>
      <selection pane="bottomRight" activeCell="C89" sqref="C89:C113"/>
    </sheetView>
  </sheetViews>
  <sheetFormatPr defaultColWidth="9.109375" defaultRowHeight="13.2" x14ac:dyDescent="0.25"/>
  <cols>
    <col min="1" max="1" width="8.6640625" style="4" customWidth="1"/>
    <col min="2" max="2" width="3.6640625" style="4" customWidth="1"/>
    <col min="3" max="3" width="9.88671875" style="9" customWidth="1"/>
    <col min="4" max="4" width="3.33203125" style="4" customWidth="1"/>
    <col min="5" max="5" width="7.88671875" style="9" customWidth="1"/>
    <col min="6" max="6" width="3.6640625" style="4" customWidth="1"/>
    <col min="7" max="7" width="9.109375" style="4" customWidth="1"/>
    <col min="8" max="8" width="10.44140625" style="4" customWidth="1"/>
    <col min="9" max="9" width="3.6640625" style="4" customWidth="1"/>
    <col min="10" max="10" width="14.5546875" style="4" customWidth="1"/>
    <col min="11" max="11" width="10.109375" style="4" bestFit="1" customWidth="1"/>
    <col min="12" max="12" width="13" style="4" customWidth="1"/>
    <col min="13" max="15" width="9.109375" style="4"/>
    <col min="16" max="16" width="11" style="4" bestFit="1" customWidth="1"/>
    <col min="17" max="16384" width="9.109375" style="4"/>
  </cols>
  <sheetData>
    <row r="1" spans="1:12" ht="15.6" x14ac:dyDescent="0.3">
      <c r="A1" s="332" t="s">
        <v>4</v>
      </c>
      <c r="B1" s="332"/>
      <c r="C1" s="332"/>
      <c r="D1" s="332"/>
      <c r="E1" s="332"/>
      <c r="F1" s="332"/>
      <c r="G1" s="332"/>
      <c r="H1" s="332"/>
      <c r="I1" s="332"/>
      <c r="J1" s="332"/>
      <c r="K1" s="332"/>
      <c r="L1" s="332"/>
    </row>
    <row r="2" spans="1:12" ht="15.6" x14ac:dyDescent="0.3">
      <c r="A2" s="332" t="s">
        <v>34</v>
      </c>
      <c r="B2" s="332"/>
      <c r="C2" s="332"/>
      <c r="D2" s="332"/>
      <c r="E2" s="332"/>
      <c r="F2" s="332"/>
      <c r="G2" s="332"/>
      <c r="H2" s="332"/>
      <c r="I2" s="332"/>
      <c r="J2" s="332"/>
      <c r="K2" s="332"/>
      <c r="L2" s="332"/>
    </row>
    <row r="3" spans="1:12" ht="15.6" x14ac:dyDescent="0.3">
      <c r="A3" s="332" t="s">
        <v>18</v>
      </c>
      <c r="B3" s="332"/>
      <c r="C3" s="332"/>
      <c r="D3" s="332"/>
      <c r="E3" s="332"/>
      <c r="F3" s="332"/>
      <c r="G3" s="332"/>
      <c r="H3" s="332"/>
      <c r="I3" s="332"/>
      <c r="J3" s="332"/>
      <c r="K3" s="332"/>
      <c r="L3" s="332"/>
    </row>
    <row r="4" spans="1:12" ht="23.25" customHeight="1" x14ac:dyDescent="0.25">
      <c r="A4" s="328" t="s">
        <v>0</v>
      </c>
      <c r="B4" s="328"/>
      <c r="C4" s="329" t="str">
        <f>IF(' Accting USE Data Entry Form'!B4&gt;0,' Accting USE Data Entry Form'!B4,"")</f>
        <v>RI Research Instruments</v>
      </c>
      <c r="D4" s="329"/>
      <c r="E4" s="329"/>
      <c r="F4" s="329"/>
      <c r="G4" s="329"/>
      <c r="H4" s="329"/>
      <c r="I4" s="5"/>
      <c r="J4" s="6"/>
      <c r="K4" s="7" t="s">
        <v>28</v>
      </c>
      <c r="L4" s="43"/>
    </row>
    <row r="5" spans="1:12" ht="20.399999999999999" customHeight="1" x14ac:dyDescent="0.25">
      <c r="A5" s="4" t="s">
        <v>2</v>
      </c>
      <c r="B5" s="5"/>
      <c r="C5" s="327" t="str">
        <f>IF(' Accting USE Data Entry Form'!B5&gt;0,' Accting USE Data Entry Form'!B5,"")</f>
        <v>15-C0587</v>
      </c>
      <c r="D5" s="327"/>
      <c r="E5" s="327"/>
      <c r="F5" s="17"/>
      <c r="G5" s="36" t="s">
        <v>41</v>
      </c>
      <c r="H5" s="1" t="str">
        <f>IF(' Accting USE Data Entry Form'!B6&gt;0,' Accting USE Data Entry Form'!B6,"")</f>
        <v>Fitzpatrick</v>
      </c>
      <c r="I5" s="37"/>
      <c r="J5" s="8" t="s">
        <v>45</v>
      </c>
      <c r="K5" s="326">
        <f>' Accting USE Data Entry Form'!B7</f>
        <v>42916</v>
      </c>
      <c r="L5" s="326"/>
    </row>
    <row r="6" spans="1:12" x14ac:dyDescent="0.25">
      <c r="K6" s="9" t="s">
        <v>21</v>
      </c>
    </row>
    <row r="7" spans="1:12" s="11" customFormat="1" ht="34.5" customHeight="1" x14ac:dyDescent="0.25">
      <c r="A7" s="10" t="s">
        <v>1</v>
      </c>
      <c r="C7" s="34" t="s">
        <v>5</v>
      </c>
      <c r="D7" s="38"/>
      <c r="E7" s="39" t="s">
        <v>42</v>
      </c>
      <c r="G7" s="31" t="s">
        <v>33</v>
      </c>
      <c r="H7" s="12"/>
      <c r="I7" s="13"/>
      <c r="J7" s="13"/>
      <c r="K7" s="13"/>
      <c r="L7" s="13"/>
    </row>
    <row r="8" spans="1:12" ht="13.2" customHeight="1" x14ac:dyDescent="0.25">
      <c r="A8" s="178">
        <v>1</v>
      </c>
      <c r="C8" s="179">
        <f>IF(' Accting USE Data Entry Form'!V11&gt;0,' Accting USE Data Entry Form'!V11,0)</f>
        <v>1</v>
      </c>
      <c r="D8" s="44"/>
      <c r="E8" s="123" t="str">
        <f>IF($L$4="yes","X"," ")</f>
        <v xml:space="preserve"> </v>
      </c>
      <c r="G8" s="325" t="str">
        <f>IF(' Accting USE Data Entry Form'!B11&gt;0,' Accting USE Data Entry Form'!B11,"")</f>
        <v>Proof of equipment order furnace uprade</v>
      </c>
      <c r="H8" s="325"/>
      <c r="I8" s="325"/>
      <c r="J8" s="325"/>
      <c r="K8" s="325"/>
      <c r="L8" s="325"/>
    </row>
    <row r="9" spans="1:12" ht="13.2" customHeight="1" x14ac:dyDescent="0.25">
      <c r="A9" s="178">
        <v>2</v>
      </c>
      <c r="C9" s="179">
        <f>IF(' Accting USE Data Entry Form'!V12&gt;0,' Accting USE Data Entry Form'!V12,0)</f>
        <v>1</v>
      </c>
      <c r="D9" s="45"/>
      <c r="E9" s="123" t="str">
        <f>IF($L$4="yes","X"," ")</f>
        <v xml:space="preserve"> </v>
      </c>
      <c r="G9" s="325" t="str">
        <f>IF(' Accting USE Data Entry Form'!B12&gt;0,' Accting USE Data Entry Form'!B12,"")</f>
        <v>Proof of completed furnace uprade</v>
      </c>
      <c r="H9" s="325"/>
      <c r="I9" s="325"/>
      <c r="J9" s="325"/>
      <c r="K9" s="325"/>
      <c r="L9" s="325"/>
    </row>
    <row r="10" spans="1:12" ht="13.2" customHeight="1" x14ac:dyDescent="0.25">
      <c r="A10" s="178">
        <v>3</v>
      </c>
      <c r="C10" s="179">
        <f>IF(' Accting USE Data Entry Form'!V13&gt;0,' Accting USE Data Entry Form'!V13,0)</f>
        <v>1</v>
      </c>
      <c r="D10" s="45"/>
      <c r="E10" s="123" t="str">
        <f>IF($L$4="yes","X"," ")</f>
        <v xml:space="preserve"> </v>
      </c>
      <c r="G10" s="325" t="str">
        <f>IF(' Accting USE Data Entry Form'!B13&gt;0,' Accting USE Data Entry Form'!B13,"")</f>
        <v>Acceptance of Ni doping process - Cav 1 (of 2)</v>
      </c>
      <c r="H10" s="325"/>
      <c r="I10" s="325"/>
      <c r="J10" s="325"/>
      <c r="K10" s="325"/>
      <c r="L10" s="325"/>
    </row>
    <row r="11" spans="1:12" ht="13.2" customHeight="1" x14ac:dyDescent="0.25">
      <c r="A11" s="178">
        <v>4</v>
      </c>
      <c r="C11" s="179">
        <f>IF(' Accting USE Data Entry Form'!V14&gt;0,' Accting USE Data Entry Form'!V14,0)</f>
        <v>1</v>
      </c>
      <c r="D11" s="45"/>
      <c r="E11" s="123"/>
      <c r="G11" s="325" t="str">
        <f>IF(' Accting USE Data Entry Form'!B14&gt;0,' Accting USE Data Entry Form'!B14,"")</f>
        <v>Acceptance of Ni doping process - Cav 2 (of 2)</v>
      </c>
      <c r="H11" s="325"/>
      <c r="I11" s="325"/>
      <c r="J11" s="325"/>
      <c r="K11" s="325"/>
      <c r="L11" s="325"/>
    </row>
    <row r="12" spans="1:12" ht="13.2" customHeight="1" x14ac:dyDescent="0.25">
      <c r="A12" s="178">
        <v>5</v>
      </c>
      <c r="C12" s="179">
        <f>IF(' Accting USE Data Entry Form'!V15&gt;0,' Accting USE Data Entry Form'!V15,0)</f>
        <v>1</v>
      </c>
      <c r="D12" s="45"/>
      <c r="E12" s="123"/>
      <c r="G12" s="325" t="str">
        <f>IF(' Accting USE Data Entry Form'!B15&gt;0,' Accting USE Data Entry Form'!B15,"")</f>
        <v>PH II: Mfg Drawings Accepted by JLab</v>
      </c>
      <c r="H12" s="325"/>
      <c r="I12" s="325"/>
      <c r="J12" s="325"/>
      <c r="K12" s="325"/>
      <c r="L12" s="325"/>
    </row>
    <row r="13" spans="1:12" ht="13.2" customHeight="1" x14ac:dyDescent="0.25">
      <c r="A13" s="178">
        <v>6</v>
      </c>
      <c r="C13" s="179">
        <f>IF(' Accting USE Data Entry Form'!V16&gt;0,' Accting USE Data Entry Form'!V16,0)</f>
        <v>1</v>
      </c>
      <c r="D13" s="45"/>
      <c r="E13" s="123"/>
      <c r="G13" s="325" t="str">
        <f>IF(' Accting USE Data Entry Form'!B16&gt;0,' Accting USE Data Entry Form'!B16,"")</f>
        <v>PH II: FAs Mech Pre-fab (Deep Draw)</v>
      </c>
      <c r="H13" s="325"/>
      <c r="I13" s="325"/>
      <c r="J13" s="325"/>
      <c r="K13" s="325"/>
      <c r="L13" s="325"/>
    </row>
    <row r="14" spans="1:12" ht="13.2" customHeight="1" x14ac:dyDescent="0.25">
      <c r="A14" s="178">
        <v>7</v>
      </c>
      <c r="C14" s="179">
        <f>IF(' Accting USE Data Entry Form'!V17&gt;0,' Accting USE Data Entry Form'!V17,0)</f>
        <v>1</v>
      </c>
      <c r="D14" s="45"/>
      <c r="E14" s="123"/>
      <c r="G14" s="325" t="str">
        <f>IF(' Accting USE Data Entry Form'!B17&gt;0,' Accting USE Data Entry Form'!B17,"")</f>
        <v xml:space="preserve">PH III: Mech Pre-Fab Cavities (9-72) </v>
      </c>
      <c r="H14" s="325"/>
      <c r="I14" s="325"/>
      <c r="J14" s="325"/>
      <c r="K14" s="325"/>
      <c r="L14" s="325"/>
    </row>
    <row r="15" spans="1:12" ht="13.2" customHeight="1" x14ac:dyDescent="0.25">
      <c r="A15" s="178">
        <v>8</v>
      </c>
      <c r="C15" s="179">
        <f>IF(' Accting USE Data Entry Form'!V18&gt;0,' Accting USE Data Entry Form'!V18,0)</f>
        <v>1</v>
      </c>
      <c r="D15" s="45"/>
      <c r="E15" s="123"/>
      <c r="G15" s="325" t="str">
        <f>IF(' Accting USE Data Entry Form'!B18&gt;0,' Accting USE Data Entry Form'!B18,"")</f>
        <v xml:space="preserve">PH III: Mech Pre-Fab Cavities (73-133) </v>
      </c>
      <c r="H15" s="325"/>
      <c r="I15" s="325"/>
      <c r="J15" s="325"/>
      <c r="K15" s="325"/>
      <c r="L15" s="325"/>
    </row>
    <row r="16" spans="1:12" ht="13.2" customHeight="1" x14ac:dyDescent="0.25">
      <c r="A16" s="178">
        <v>9</v>
      </c>
      <c r="C16" s="179">
        <f>IF(' Accting USE Data Entry Form'!V19&gt;0,' Accting USE Data Entry Form'!V19,0)</f>
        <v>1</v>
      </c>
      <c r="D16" s="45"/>
      <c r="E16" s="123"/>
      <c r="G16" s="325" t="str">
        <f>IF(' Accting USE Data Entry Form'!B19&gt;0,' Accting USE Data Entry Form'!B19,"")</f>
        <v xml:space="preserve">PH II: First Articles Deliver &amp; Accept (1-8) </v>
      </c>
      <c r="H16" s="325"/>
      <c r="I16" s="325"/>
      <c r="J16" s="325"/>
      <c r="K16" s="325"/>
      <c r="L16" s="325"/>
    </row>
    <row r="17" spans="1:12" ht="13.2" customHeight="1" x14ac:dyDescent="0.25">
      <c r="A17" s="178">
        <v>10</v>
      </c>
      <c r="C17" s="179">
        <f>IF(' Accting USE Data Entry Form'!V20&gt;0,' Accting USE Data Entry Form'!V20,0)</f>
        <v>1</v>
      </c>
      <c r="D17" s="45"/>
      <c r="E17" s="123"/>
      <c r="G17" s="325" t="str">
        <f>IF(' Accting USE Data Entry Form'!B20&gt;0,' Accting USE Data Entry Form'!B20,"")</f>
        <v>PH III:  Deliver &amp; Accept  Cavities (9-12)</v>
      </c>
      <c r="H17" s="325"/>
      <c r="I17" s="325"/>
      <c r="J17" s="325"/>
      <c r="K17" s="325"/>
      <c r="L17" s="325"/>
    </row>
    <row r="18" spans="1:12" ht="13.2" customHeight="1" x14ac:dyDescent="0.25">
      <c r="A18" s="178">
        <v>11</v>
      </c>
      <c r="C18" s="179">
        <f>IF(' Accting USE Data Entry Form'!V21&gt;0,' Accting USE Data Entry Form'!V21,0)</f>
        <v>1</v>
      </c>
      <c r="D18" s="45"/>
      <c r="E18" s="123"/>
      <c r="G18" s="325" t="str">
        <f>IF(' Accting USE Data Entry Form'!B21&gt;0,' Accting USE Data Entry Form'!B21,"")</f>
        <v>PH III:  Deliver &amp; Accept  Cavities (13-16)</v>
      </c>
      <c r="H18" s="325"/>
      <c r="I18" s="325"/>
      <c r="J18" s="325"/>
      <c r="K18" s="325"/>
      <c r="L18" s="325"/>
    </row>
    <row r="19" spans="1:12" ht="13.2" customHeight="1" x14ac:dyDescent="0.25">
      <c r="A19" s="178">
        <v>12</v>
      </c>
      <c r="C19" s="179">
        <f>IF(' Accting USE Data Entry Form'!V22&gt;0,' Accting USE Data Entry Form'!V22,0)</f>
        <v>1</v>
      </c>
      <c r="D19" s="45"/>
      <c r="E19" s="123"/>
      <c r="G19" s="325" t="str">
        <f>IF(' Accting USE Data Entry Form'!B22&gt;0,' Accting USE Data Entry Form'!B22,"")</f>
        <v>PH III:  Deliver &amp; Accept  Cavities (17-20)</v>
      </c>
      <c r="H19" s="325"/>
      <c r="I19" s="325"/>
      <c r="J19" s="325"/>
      <c r="K19" s="325"/>
      <c r="L19" s="325"/>
    </row>
    <row r="20" spans="1:12" ht="13.2" customHeight="1" x14ac:dyDescent="0.25">
      <c r="A20" s="178">
        <v>13</v>
      </c>
      <c r="C20" s="179">
        <f>IF(' Accting USE Data Entry Form'!V23&gt;0,' Accting USE Data Entry Form'!V23,0)</f>
        <v>1</v>
      </c>
      <c r="D20" s="45"/>
      <c r="E20" s="123"/>
      <c r="G20" s="325" t="str">
        <f>IF(' Accting USE Data Entry Form'!B23&gt;0,' Accting USE Data Entry Form'!B23,"")</f>
        <v>PH III:  Deliver &amp; Accept  Cavities (21-24)</v>
      </c>
      <c r="H20" s="325"/>
      <c r="I20" s="325"/>
      <c r="J20" s="325"/>
      <c r="K20" s="325"/>
      <c r="L20" s="325"/>
    </row>
    <row r="21" spans="1:12" ht="13.2" customHeight="1" x14ac:dyDescent="0.25">
      <c r="A21" s="178">
        <v>14</v>
      </c>
      <c r="C21" s="179">
        <f>IF(' Accting USE Data Entry Form'!V24&gt;0,' Accting USE Data Entry Form'!V24,0)</f>
        <v>1</v>
      </c>
      <c r="D21" s="45"/>
      <c r="E21" s="123"/>
      <c r="G21" s="325" t="str">
        <f>IF(' Accting USE Data Entry Form'!B24&gt;0,' Accting USE Data Entry Form'!B24,"")</f>
        <v>PH III:  Deliver &amp; Accept  Cavities (25-28)</v>
      </c>
      <c r="H21" s="325"/>
      <c r="I21" s="325"/>
      <c r="J21" s="325"/>
      <c r="K21" s="325"/>
      <c r="L21" s="325"/>
    </row>
    <row r="22" spans="1:12" ht="13.2" customHeight="1" x14ac:dyDescent="0.25">
      <c r="A22" s="178">
        <v>15</v>
      </c>
      <c r="C22" s="179">
        <f>IF(' Accting USE Data Entry Form'!V25&gt;0,' Accting USE Data Entry Form'!V25,0)</f>
        <v>1</v>
      </c>
      <c r="D22" s="45"/>
      <c r="E22" s="123"/>
      <c r="G22" s="325" t="str">
        <f>IF(' Accting USE Data Entry Form'!B25&gt;0,' Accting USE Data Entry Form'!B25,"")</f>
        <v>PH III:  Deliver &amp; Accept  Cavities (29-32)</v>
      </c>
      <c r="H22" s="325"/>
      <c r="I22" s="325"/>
      <c r="J22" s="325"/>
      <c r="K22" s="325"/>
      <c r="L22" s="325"/>
    </row>
    <row r="23" spans="1:12" ht="13.2" customHeight="1" x14ac:dyDescent="0.25">
      <c r="A23" s="178">
        <v>16</v>
      </c>
      <c r="C23" s="179">
        <f>IF(' Accting USE Data Entry Form'!V26&gt;0,' Accting USE Data Entry Form'!V26,0)</f>
        <v>1</v>
      </c>
      <c r="D23" s="45"/>
      <c r="E23" s="123"/>
      <c r="G23" s="325" t="str">
        <f>IF(' Accting USE Data Entry Form'!B26&gt;0,' Accting USE Data Entry Form'!B26,"")</f>
        <v>PH III:  Deliver &amp; Accept  Cavities (33-36)</v>
      </c>
      <c r="H23" s="325"/>
      <c r="I23" s="325"/>
      <c r="J23" s="325"/>
      <c r="K23" s="325"/>
      <c r="L23" s="325"/>
    </row>
    <row r="24" spans="1:12" ht="13.2" customHeight="1" x14ac:dyDescent="0.25">
      <c r="A24" s="178">
        <v>17</v>
      </c>
      <c r="C24" s="179">
        <f>IF(' Accting USE Data Entry Form'!V27&gt;0,' Accting USE Data Entry Form'!V27,0)</f>
        <v>1</v>
      </c>
      <c r="D24" s="45"/>
      <c r="E24" s="123"/>
      <c r="G24" s="325" t="str">
        <f>IF(' Accting USE Data Entry Form'!B27&gt;0,' Accting USE Data Entry Form'!B27,"")</f>
        <v>PH III:  Deliver &amp; Accept  Cavities (37-40)</v>
      </c>
      <c r="H24" s="325"/>
      <c r="I24" s="325"/>
      <c r="J24" s="325"/>
      <c r="K24" s="325"/>
      <c r="L24" s="325"/>
    </row>
    <row r="25" spans="1:12" ht="13.2" customHeight="1" x14ac:dyDescent="0.25">
      <c r="A25" s="178">
        <v>18</v>
      </c>
      <c r="C25" s="179">
        <f>IF(' Accting USE Data Entry Form'!V28&gt;0,' Accting USE Data Entry Form'!V28,0)</f>
        <v>1</v>
      </c>
      <c r="D25" s="45"/>
      <c r="E25" s="123"/>
      <c r="G25" s="325" t="str">
        <f>IF(' Accting USE Data Entry Form'!B28&gt;0,' Accting USE Data Entry Form'!B28,"")</f>
        <v>PH III:  Deliver &amp; Accept  Cavities (41-44)</v>
      </c>
      <c r="H25" s="325"/>
      <c r="I25" s="325"/>
      <c r="J25" s="325"/>
      <c r="K25" s="325"/>
      <c r="L25" s="325"/>
    </row>
    <row r="26" spans="1:12" ht="13.2" customHeight="1" x14ac:dyDescent="0.25">
      <c r="A26" s="178">
        <v>19</v>
      </c>
      <c r="C26" s="179">
        <f>IF(' Accting USE Data Entry Form'!V29&gt;0,' Accting USE Data Entry Form'!V29,0)</f>
        <v>1</v>
      </c>
      <c r="D26" s="45"/>
      <c r="E26" s="123"/>
      <c r="G26" s="325" t="str">
        <f>IF(' Accting USE Data Entry Form'!B29&gt;0,' Accting USE Data Entry Form'!B29,"")</f>
        <v>PH III:  Deliver &amp; Accept  Cavities (45-48)</v>
      </c>
      <c r="H26" s="325"/>
      <c r="I26" s="325"/>
      <c r="J26" s="325"/>
      <c r="K26" s="325"/>
      <c r="L26" s="325"/>
    </row>
    <row r="27" spans="1:12" ht="13.2" customHeight="1" x14ac:dyDescent="0.25">
      <c r="A27" s="178">
        <v>20</v>
      </c>
      <c r="C27" s="179">
        <f>IF(' Accting USE Data Entry Form'!V30&gt;0,' Accting USE Data Entry Form'!V30,0)</f>
        <v>1</v>
      </c>
      <c r="D27" s="45"/>
      <c r="E27" s="123"/>
      <c r="G27" s="325" t="str">
        <f>IF(' Accting USE Data Entry Form'!B30&gt;0,' Accting USE Data Entry Form'!B30,"")</f>
        <v>PH III:  Deliver &amp; Accept  Cavities (49-52)</v>
      </c>
      <c r="H27" s="325"/>
      <c r="I27" s="325"/>
      <c r="J27" s="325"/>
      <c r="K27" s="325"/>
      <c r="L27" s="325"/>
    </row>
    <row r="28" spans="1:12" ht="13.2" customHeight="1" x14ac:dyDescent="0.25">
      <c r="A28" s="178">
        <v>21</v>
      </c>
      <c r="C28" s="179">
        <f>IF(' Accting USE Data Entry Form'!V31&gt;0,' Accting USE Data Entry Form'!V31,0)</f>
        <v>1</v>
      </c>
      <c r="D28" s="45"/>
      <c r="E28" s="123"/>
      <c r="G28" s="325" t="str">
        <f>IF(' Accting USE Data Entry Form'!B31&gt;0,' Accting USE Data Entry Form'!B31,"")</f>
        <v>MOD 002: DESY Equip Refurbishment</v>
      </c>
      <c r="H28" s="325"/>
      <c r="I28" s="325"/>
      <c r="J28" s="325"/>
      <c r="K28" s="325"/>
      <c r="L28" s="325"/>
    </row>
    <row r="29" spans="1:12" ht="13.2" customHeight="1" x14ac:dyDescent="0.25">
      <c r="A29" s="178">
        <v>22</v>
      </c>
      <c r="C29" s="179">
        <f>IF(' Accting USE Data Entry Form'!V32&gt;0,' Accting USE Data Entry Form'!V32,0)</f>
        <v>0.30401746619446235</v>
      </c>
      <c r="D29" s="45"/>
      <c r="E29" s="123"/>
      <c r="G29" s="325" t="str">
        <f>IF(' Accting USE Data Entry Form'!B32&gt;0,' Accting USE Data Entry Form'!B32,"")</f>
        <v xml:space="preserve">MOD 002: DESY Equip Service &amp; Support Costs  </v>
      </c>
      <c r="H29" s="325"/>
      <c r="I29" s="325"/>
      <c r="J29" s="325"/>
      <c r="K29" s="325"/>
      <c r="L29" s="325"/>
    </row>
    <row r="30" spans="1:12" ht="13.2" customHeight="1" x14ac:dyDescent="0.25">
      <c r="A30" s="178">
        <v>23</v>
      </c>
      <c r="C30" s="179">
        <f>IF(' Accting USE Data Entry Form'!V33&gt;0,' Accting USE Data Entry Form'!V33,0)</f>
        <v>0.97727272727269998</v>
      </c>
      <c r="D30" s="45"/>
      <c r="E30" s="123"/>
      <c r="G30" s="325" t="str">
        <f>IF(' Accting USE Data Entry Form'!B33&gt;0,' Accting USE Data Entry Form'!B33,"")</f>
        <v>MOD 003: Accel Shipment (1-16) Incentives (Max of $323,136)</v>
      </c>
      <c r="H30" s="325"/>
      <c r="I30" s="325"/>
      <c r="J30" s="325"/>
      <c r="K30" s="325"/>
      <c r="L30" s="325"/>
    </row>
    <row r="31" spans="1:12" ht="13.2" customHeight="1" x14ac:dyDescent="0.25">
      <c r="A31" s="178">
        <v>24</v>
      </c>
      <c r="C31" s="179">
        <f>IF(' Accting USE Data Entry Form'!V34&gt;0,' Accting USE Data Entry Form'!V34,0)</f>
        <v>0.84159035868226129</v>
      </c>
      <c r="D31" s="45"/>
      <c r="E31" s="123"/>
      <c r="G31" s="325" t="str">
        <f>IF(' Accting USE Data Entry Form'!B34&gt;0,' Accting USE Data Entry Form'!B34,"")</f>
        <v>MOD 004: Incentives for Accelerated Production Deliveries</v>
      </c>
      <c r="H31" s="325"/>
      <c r="I31" s="325"/>
      <c r="J31" s="325"/>
      <c r="K31" s="325"/>
      <c r="L31" s="325"/>
    </row>
    <row r="32" spans="1:12" ht="13.2" customHeight="1" x14ac:dyDescent="0.25">
      <c r="A32" s="178">
        <v>25</v>
      </c>
      <c r="C32" s="179">
        <f>IF(' Accting USE Data Entry Form'!V35&gt;0,' Accting USE Data Entry Form'!V35,0)</f>
        <v>0.8125</v>
      </c>
      <c r="D32" s="45"/>
      <c r="E32" s="123"/>
      <c r="G32" s="325" t="str">
        <f>IF(' Accting USE Data Entry Form'!B35&gt;0,' Accting USE Data Entry Form'!B35,"")</f>
        <v>MOD 005: DESY Equipment Lease ($9,200/ month)</v>
      </c>
      <c r="H32" s="325"/>
      <c r="I32" s="325"/>
      <c r="J32" s="325"/>
      <c r="K32" s="325"/>
      <c r="L32" s="325"/>
    </row>
    <row r="33" spans="1:12" ht="13.2" customHeight="1" x14ac:dyDescent="0.25">
      <c r="A33" s="178">
        <v>26</v>
      </c>
      <c r="C33" s="179">
        <f>IF(' Accting USE Data Entry Form'!V36&gt;0,' Accting USE Data Entry Form'!V36,0)</f>
        <v>1</v>
      </c>
      <c r="D33" s="45"/>
      <c r="E33" s="123"/>
      <c r="G33" s="325" t="str">
        <f>IF(' Accting USE Data Entry Form'!B36&gt;0,' Accting USE Data Entry Form'!B36,"")</f>
        <v>PH III:  Deliver &amp; Accept  Cavities (53-56)</v>
      </c>
      <c r="H33" s="325"/>
      <c r="I33" s="325"/>
      <c r="J33" s="325"/>
      <c r="K33" s="325"/>
      <c r="L33" s="325"/>
    </row>
    <row r="34" spans="1:12" ht="13.2" customHeight="1" x14ac:dyDescent="0.25">
      <c r="A34" s="178">
        <v>27</v>
      </c>
      <c r="C34" s="179">
        <f>IF(' Accting USE Data Entry Form'!V37&gt;0,' Accting USE Data Entry Form'!V37,0)</f>
        <v>1</v>
      </c>
      <c r="D34" s="45"/>
      <c r="E34" s="123"/>
      <c r="G34" s="325" t="str">
        <f>IF(' Accting USE Data Entry Form'!B37&gt;0,' Accting USE Data Entry Form'!B37,"")</f>
        <v>PH III:  Deliver &amp; Accept  Cavities (57-60)</v>
      </c>
      <c r="H34" s="325"/>
      <c r="I34" s="325"/>
      <c r="J34" s="325"/>
      <c r="K34" s="325"/>
      <c r="L34" s="325"/>
    </row>
    <row r="35" spans="1:12" ht="13.2" customHeight="1" x14ac:dyDescent="0.25">
      <c r="A35" s="178">
        <v>28</v>
      </c>
      <c r="C35" s="179">
        <f>IF(' Accting USE Data Entry Form'!V38&gt;0,' Accting USE Data Entry Form'!V38,0)</f>
        <v>1</v>
      </c>
      <c r="D35" s="45"/>
      <c r="E35" s="123"/>
      <c r="G35" s="325" t="str">
        <f>IF(' Accting USE Data Entry Form'!B38&gt;0,' Accting USE Data Entry Form'!B38,"")</f>
        <v>PH III:  Deliver &amp; Accept  Cavities (61-64)</v>
      </c>
      <c r="H35" s="325"/>
      <c r="I35" s="325"/>
      <c r="J35" s="325"/>
      <c r="K35" s="325"/>
      <c r="L35" s="325"/>
    </row>
    <row r="36" spans="1:12" ht="13.2" customHeight="1" x14ac:dyDescent="0.25">
      <c r="A36" s="178">
        <v>29</v>
      </c>
      <c r="C36" s="179">
        <f>IF(' Accting USE Data Entry Form'!V39&gt;0,' Accting USE Data Entry Form'!V39,0)</f>
        <v>1</v>
      </c>
      <c r="D36" s="45"/>
      <c r="E36" s="123"/>
      <c r="G36" s="325" t="str">
        <f>IF(' Accting USE Data Entry Form'!B39&gt;0,' Accting USE Data Entry Form'!B39,"")</f>
        <v>PH III:  Deliver &amp; Accept  Cavities (65-68)</v>
      </c>
      <c r="H36" s="325"/>
      <c r="I36" s="325"/>
      <c r="J36" s="325"/>
      <c r="K36" s="325"/>
      <c r="L36" s="325"/>
    </row>
    <row r="37" spans="1:12" ht="13.2" customHeight="1" x14ac:dyDescent="0.25">
      <c r="A37" s="178">
        <v>30</v>
      </c>
      <c r="C37" s="179">
        <f>IF(' Accting USE Data Entry Form'!V40&gt;0,' Accting USE Data Entry Form'!V40,0)</f>
        <v>1</v>
      </c>
      <c r="D37" s="45"/>
      <c r="E37" s="123" t="str">
        <f>IF($L$4="yes","X"," ")</f>
        <v xml:space="preserve"> </v>
      </c>
      <c r="G37" s="325" t="str">
        <f>IF(' Accting USE Data Entry Form'!B40&gt;0,' Accting USE Data Entry Form'!B40,"")</f>
        <v>PH III:  Deliver &amp; Accept  Cavities (69-72)</v>
      </c>
      <c r="H37" s="325"/>
      <c r="I37" s="325"/>
      <c r="J37" s="325"/>
      <c r="K37" s="325"/>
      <c r="L37" s="325"/>
    </row>
    <row r="38" spans="1:12" ht="13.2" customHeight="1" x14ac:dyDescent="0.25">
      <c r="A38" s="178">
        <v>31</v>
      </c>
      <c r="C38" s="179">
        <f>IF(' Accting USE Data Entry Form'!V41&gt;0,' Accting USE Data Entry Form'!V41,0)</f>
        <v>1</v>
      </c>
      <c r="D38" s="45"/>
      <c r="E38" s="123"/>
      <c r="G38" s="325" t="str">
        <f>IF(' Accting USE Data Entry Form'!B41&gt;0,' Accting USE Data Entry Form'!B41,"")</f>
        <v>PH III:  Deliver &amp; Accept  Cavities (73-76)</v>
      </c>
      <c r="H38" s="325"/>
      <c r="I38" s="325"/>
      <c r="J38" s="325"/>
      <c r="K38" s="325"/>
      <c r="L38" s="325"/>
    </row>
    <row r="39" spans="1:12" ht="13.2" customHeight="1" x14ac:dyDescent="0.25">
      <c r="A39" s="178">
        <v>32</v>
      </c>
      <c r="C39" s="179">
        <f>IF(' Accting USE Data Entry Form'!V42&gt;0,' Accting USE Data Entry Form'!V42,0)</f>
        <v>1</v>
      </c>
      <c r="D39" s="45"/>
      <c r="E39" s="123"/>
      <c r="G39" s="325" t="str">
        <f>IF(' Accting USE Data Entry Form'!B42&gt;0,' Accting USE Data Entry Form'!B42,"")</f>
        <v>PH III:  Deliver &amp; Accept  Cavities (77-80)</v>
      </c>
      <c r="H39" s="325"/>
      <c r="I39" s="325"/>
      <c r="J39" s="325"/>
      <c r="K39" s="325"/>
      <c r="L39" s="325"/>
    </row>
    <row r="40" spans="1:12" ht="13.2" customHeight="1" x14ac:dyDescent="0.25">
      <c r="A40" s="178">
        <v>33</v>
      </c>
      <c r="C40" s="179">
        <f>IF(' Accting USE Data Entry Form'!V43&gt;0,' Accting USE Data Entry Form'!V43,0)</f>
        <v>1</v>
      </c>
      <c r="D40" s="45"/>
      <c r="E40" s="123"/>
      <c r="G40" s="325" t="str">
        <f>IF(' Accting USE Data Entry Form'!B43&gt;0,' Accting USE Data Entry Form'!B43,"")</f>
        <v>PH III:  Deliver &amp; Accept  Cavities (81-84)</v>
      </c>
      <c r="H40" s="325"/>
      <c r="I40" s="325"/>
      <c r="J40" s="325"/>
      <c r="K40" s="325"/>
      <c r="L40" s="325"/>
    </row>
    <row r="41" spans="1:12" ht="13.2" customHeight="1" x14ac:dyDescent="0.25">
      <c r="A41" s="178">
        <v>34</v>
      </c>
      <c r="C41" s="179">
        <f>IF(' Accting USE Data Entry Form'!V44&gt;0,' Accting USE Data Entry Form'!V44,0)</f>
        <v>1</v>
      </c>
      <c r="D41" s="45"/>
      <c r="E41" s="123"/>
      <c r="G41" s="325" t="str">
        <f>IF(' Accting USE Data Entry Form'!B44&gt;0,' Accting USE Data Entry Form'!B44,"")</f>
        <v>PH III:  Deliver &amp; Accept  Cavities (85-88)</v>
      </c>
      <c r="H41" s="325"/>
      <c r="I41" s="325"/>
      <c r="J41" s="325"/>
      <c r="K41" s="325"/>
      <c r="L41" s="325"/>
    </row>
    <row r="42" spans="1:12" ht="13.2" customHeight="1" x14ac:dyDescent="0.25">
      <c r="A42" s="178">
        <v>35</v>
      </c>
      <c r="C42" s="179">
        <f>IF(' Accting USE Data Entry Form'!V45&gt;0,' Accting USE Data Entry Form'!V45,0)</f>
        <v>1</v>
      </c>
      <c r="D42" s="45"/>
      <c r="E42" s="123"/>
      <c r="G42" s="325" t="str">
        <f>IF(' Accting USE Data Entry Form'!B45&gt;0,' Accting USE Data Entry Form'!B45,"")</f>
        <v>PH III:  Deliver &amp; Accept  Cavities (89-92)</v>
      </c>
      <c r="H42" s="325"/>
      <c r="I42" s="325"/>
      <c r="J42" s="325"/>
      <c r="K42" s="325"/>
      <c r="L42" s="325"/>
    </row>
    <row r="43" spans="1:12" ht="13.2" customHeight="1" x14ac:dyDescent="0.25">
      <c r="A43" s="178">
        <v>36</v>
      </c>
      <c r="C43" s="179">
        <f>IF(' Accting USE Data Entry Form'!V46&gt;0,' Accting USE Data Entry Form'!V46,0)</f>
        <v>1</v>
      </c>
      <c r="D43" s="45"/>
      <c r="E43" s="123"/>
      <c r="G43" s="325" t="str">
        <f>IF(' Accting USE Data Entry Form'!B46&gt;0,' Accting USE Data Entry Form'!B46,"")</f>
        <v>PH III:  Deliver &amp; Accept  Cavities (93-96)</v>
      </c>
      <c r="H43" s="325"/>
      <c r="I43" s="325"/>
      <c r="J43" s="325"/>
      <c r="K43" s="325"/>
      <c r="L43" s="325"/>
    </row>
    <row r="44" spans="1:12" ht="13.2" customHeight="1" x14ac:dyDescent="0.25">
      <c r="A44" s="178">
        <v>37</v>
      </c>
      <c r="C44" s="179">
        <f>IF(' Accting USE Data Entry Form'!V47&gt;0,' Accting USE Data Entry Form'!V47,0)</f>
        <v>1</v>
      </c>
      <c r="D44" s="45"/>
      <c r="E44" s="123"/>
      <c r="G44" s="325" t="str">
        <f>IF(' Accting USE Data Entry Form'!B47&gt;0,' Accting USE Data Entry Form'!B47,"")</f>
        <v>PH III:  Deliver &amp; Accept  Cavities (97-100)</v>
      </c>
      <c r="H44" s="325"/>
      <c r="I44" s="325"/>
      <c r="J44" s="325"/>
      <c r="K44" s="325"/>
      <c r="L44" s="325"/>
    </row>
    <row r="45" spans="1:12" ht="13.2" customHeight="1" x14ac:dyDescent="0.25">
      <c r="A45" s="178">
        <v>38</v>
      </c>
      <c r="C45" s="179">
        <f>IF(' Accting USE Data Entry Form'!V48&gt;0,' Accting USE Data Entry Form'!V48,0)</f>
        <v>0.5</v>
      </c>
      <c r="D45" s="45"/>
      <c r="E45" s="123"/>
      <c r="G45" s="325" t="str">
        <f>IF(' Accting USE Data Entry Form'!B48&gt;0,' Accting USE Data Entry Form'!B48,"")</f>
        <v>PH III:  Deliver &amp; Accept  Cavities (101-104)</v>
      </c>
      <c r="H45" s="325"/>
      <c r="I45" s="325"/>
      <c r="J45" s="325"/>
      <c r="K45" s="325"/>
      <c r="L45" s="325"/>
    </row>
    <row r="46" spans="1:12" ht="13.2" customHeight="1" x14ac:dyDescent="0.25">
      <c r="A46" s="178">
        <v>39</v>
      </c>
      <c r="C46" s="179">
        <f>IF(' Accting USE Data Entry Form'!V49&gt;0,' Accting USE Data Entry Form'!V49,0)</f>
        <v>0</v>
      </c>
      <c r="D46" s="45"/>
      <c r="E46" s="123"/>
      <c r="G46" s="325" t="str">
        <f>IF(' Accting USE Data Entry Form'!B49&gt;0,' Accting USE Data Entry Form'!B49,"")</f>
        <v>PH III:  Deliver &amp; Accept  Cavities (105-108)</v>
      </c>
      <c r="H46" s="325"/>
      <c r="I46" s="325"/>
      <c r="J46" s="325"/>
      <c r="K46" s="325"/>
      <c r="L46" s="325"/>
    </row>
    <row r="47" spans="1:12" ht="13.2" customHeight="1" x14ac:dyDescent="0.25">
      <c r="A47" s="178">
        <v>40</v>
      </c>
      <c r="C47" s="179">
        <f>IF(' Accting USE Data Entry Form'!V50&gt;0,' Accting USE Data Entry Form'!V50,0)</f>
        <v>0</v>
      </c>
      <c r="D47" s="45"/>
      <c r="E47" s="123"/>
      <c r="G47" s="325" t="str">
        <f>IF(' Accting USE Data Entry Form'!B50&gt;0,' Accting USE Data Entry Form'!B50,"")</f>
        <v>PH III:  Deliver &amp; Accept  Cavities (109-112)</v>
      </c>
      <c r="H47" s="325"/>
      <c r="I47" s="325"/>
      <c r="J47" s="325"/>
      <c r="K47" s="325"/>
      <c r="L47" s="325"/>
    </row>
    <row r="48" spans="1:12" ht="13.2" customHeight="1" x14ac:dyDescent="0.25">
      <c r="A48" s="178">
        <v>41</v>
      </c>
      <c r="C48" s="179">
        <f>IF(' Accting USE Data Entry Form'!V51&gt;0,' Accting USE Data Entry Form'!V51,0)</f>
        <v>0</v>
      </c>
      <c r="D48" s="45"/>
      <c r="E48" s="123"/>
      <c r="G48" s="325" t="str">
        <f>IF(' Accting USE Data Entry Form'!B51&gt;0,' Accting USE Data Entry Form'!B51,"")</f>
        <v>PH III:  Deliver &amp; Accept  Cavities (113-116)</v>
      </c>
      <c r="H48" s="325"/>
      <c r="I48" s="325"/>
      <c r="J48" s="325"/>
      <c r="K48" s="325"/>
      <c r="L48" s="325"/>
    </row>
    <row r="49" spans="1:12" ht="13.2" customHeight="1" x14ac:dyDescent="0.25">
      <c r="A49" s="178">
        <v>42</v>
      </c>
      <c r="C49" s="179">
        <f>IF(' Accting USE Data Entry Form'!V52&gt;0,' Accting USE Data Entry Form'!V52,0)</f>
        <v>0</v>
      </c>
      <c r="D49" s="45"/>
      <c r="E49" s="123"/>
      <c r="G49" s="325" t="str">
        <f>IF(' Accting USE Data Entry Form'!B52&gt;0,' Accting USE Data Entry Form'!B52,"")</f>
        <v>PH III:  Deliver &amp; Accept  Cavities (117-120)</v>
      </c>
      <c r="H49" s="325"/>
      <c r="I49" s="325"/>
      <c r="J49" s="325"/>
      <c r="K49" s="325"/>
      <c r="L49" s="325"/>
    </row>
    <row r="50" spans="1:12" ht="13.2" customHeight="1" x14ac:dyDescent="0.25">
      <c r="A50" s="178">
        <v>43</v>
      </c>
      <c r="C50" s="179">
        <f>IF(' Accting USE Data Entry Form'!V53&gt;0,' Accting USE Data Entry Form'!V53,0)</f>
        <v>0</v>
      </c>
      <c r="D50" s="45"/>
      <c r="E50" s="123"/>
      <c r="G50" s="325" t="str">
        <f>IF(' Accting USE Data Entry Form'!B53&gt;0,' Accting USE Data Entry Form'!B53,"")</f>
        <v>PH III:  Deliver &amp; Accept  Cavities (121-124)</v>
      </c>
      <c r="H50" s="325"/>
      <c r="I50" s="325"/>
      <c r="J50" s="325"/>
      <c r="K50" s="325"/>
      <c r="L50" s="325"/>
    </row>
    <row r="51" spans="1:12" ht="13.2" customHeight="1" x14ac:dyDescent="0.25">
      <c r="A51" s="178">
        <v>44</v>
      </c>
      <c r="C51" s="179">
        <f>IF(' Accting USE Data Entry Form'!V54&gt;0,' Accting USE Data Entry Form'!V54,0)</f>
        <v>0</v>
      </c>
      <c r="D51" s="45"/>
      <c r="E51" s="123" t="str">
        <f t="shared" ref="E51:E113" si="0">IF($L$4="yes","X"," ")</f>
        <v xml:space="preserve"> </v>
      </c>
      <c r="G51" s="325" t="str">
        <f>IF(' Accting USE Data Entry Form'!B54&gt;0,' Accting USE Data Entry Form'!B54,"")</f>
        <v>PH III:  Deliver &amp; Accept  Cavities (125-128)</v>
      </c>
      <c r="H51" s="325"/>
      <c r="I51" s="325"/>
      <c r="J51" s="325"/>
      <c r="K51" s="325"/>
      <c r="L51" s="325"/>
    </row>
    <row r="52" spans="1:12" x14ac:dyDescent="0.25">
      <c r="A52" s="178">
        <v>45</v>
      </c>
      <c r="C52" s="179">
        <f>IF(' Accting USE Data Entry Form'!V55&gt;0,' Accting USE Data Entry Form'!V55,0)</f>
        <v>0</v>
      </c>
      <c r="D52" s="45"/>
      <c r="E52" s="123" t="str">
        <f t="shared" si="0"/>
        <v xml:space="preserve"> </v>
      </c>
      <c r="G52" s="325" t="str">
        <f>IF(' Accting USE Data Entry Form'!B55&gt;0,' Accting USE Data Entry Form'!B55,"")</f>
        <v>PH III:  Deliver &amp; Accept  Cavities (129-133)</v>
      </c>
      <c r="H52" s="325"/>
      <c r="I52" s="325"/>
      <c r="J52" s="325"/>
      <c r="K52" s="325"/>
      <c r="L52" s="325"/>
    </row>
    <row r="53" spans="1:12" x14ac:dyDescent="0.25">
      <c r="A53" s="178">
        <v>46</v>
      </c>
      <c r="C53" s="179">
        <f>IF(' Accting USE Data Entry Form'!V56&gt;0,' Accting USE Data Entry Form'!V56,0)</f>
        <v>1</v>
      </c>
      <c r="D53" s="45"/>
      <c r="E53" s="123" t="str">
        <f t="shared" si="0"/>
        <v xml:space="preserve"> </v>
      </c>
      <c r="G53" s="325" t="str">
        <f>IF(' Accting USE Data Entry Form'!B56&gt;0,' Accting USE Data Entry Form'!B56,"")</f>
        <v>MOD 007: LCLS-II R&amp;D Cavities (4)</v>
      </c>
      <c r="H53" s="325"/>
      <c r="I53" s="325"/>
      <c r="J53" s="325"/>
      <c r="K53" s="325"/>
      <c r="L53" s="325"/>
    </row>
    <row r="54" spans="1:12" x14ac:dyDescent="0.25">
      <c r="A54" s="178">
        <v>47</v>
      </c>
      <c r="C54" s="179">
        <f>IF(' Accting USE Data Entry Form'!V57&gt;0,' Accting USE Data Entry Form'!V57,0)</f>
        <v>1</v>
      </c>
      <c r="D54" s="45"/>
      <c r="E54" s="123" t="str">
        <f t="shared" si="0"/>
        <v xml:space="preserve"> </v>
      </c>
      <c r="G54" s="325" t="str">
        <f>IF(' Accting USE Data Entry Form'!B57&gt;0,' Accting USE Data Entry Form'!B57,"")</f>
        <v>MOD 008: CTM Spare Parts</v>
      </c>
      <c r="H54" s="325"/>
      <c r="I54" s="325"/>
      <c r="J54" s="325"/>
      <c r="K54" s="325"/>
      <c r="L54" s="325"/>
    </row>
    <row r="55" spans="1:12" x14ac:dyDescent="0.25">
      <c r="A55" s="178">
        <v>48</v>
      </c>
      <c r="C55" s="179">
        <f>IF(' Accting USE Data Entry Form'!V58&gt;0,' Accting USE Data Entry Form'!V58,0)</f>
        <v>0.80530921487603302</v>
      </c>
      <c r="D55" s="45"/>
      <c r="E55" s="123" t="str">
        <f t="shared" si="0"/>
        <v xml:space="preserve"> </v>
      </c>
      <c r="G55" s="325" t="str">
        <f>IF(' Accting USE Data Entry Form'!B58&gt;0,' Accting USE Data Entry Form'!B58,"")</f>
        <v>MOD 009: Recipe Modification (21-133) ($4283.18/cavity)</v>
      </c>
      <c r="H55" s="325"/>
      <c r="I55" s="325"/>
      <c r="J55" s="325"/>
      <c r="K55" s="325"/>
      <c r="L55" s="325"/>
    </row>
    <row r="56" spans="1:12" x14ac:dyDescent="0.25">
      <c r="A56" s="178">
        <v>49</v>
      </c>
      <c r="C56" s="179">
        <f>IF(' Accting USE Data Entry Form'!V59&gt;0,' Accting USE Data Entry Form'!V59,0)</f>
        <v>0.77451349480968856</v>
      </c>
      <c r="D56" s="45"/>
      <c r="E56" s="123" t="str">
        <f t="shared" si="0"/>
        <v xml:space="preserve"> </v>
      </c>
      <c r="G56" s="325" t="str">
        <f>IF(' Accting USE Data Entry Form'!B59&gt;0,' Accting USE Data Entry Form'!B59,"")</f>
        <v xml:space="preserve">MOD 010: Niobium Caps $490.00/ea (Cavs 17-133)  </v>
      </c>
      <c r="H56" s="325"/>
      <c r="I56" s="325"/>
      <c r="J56" s="325"/>
      <c r="K56" s="325"/>
      <c r="L56" s="325"/>
    </row>
    <row r="57" spans="1:12" x14ac:dyDescent="0.25">
      <c r="A57" s="178">
        <v>50</v>
      </c>
      <c r="C57" s="179">
        <f>IF(' Accting USE Data Entry Form'!V60&gt;0,' Accting USE Data Entry Form'!V60,0)</f>
        <v>1</v>
      </c>
      <c r="D57" s="45"/>
      <c r="E57" s="123" t="str">
        <f t="shared" si="0"/>
        <v xml:space="preserve"> </v>
      </c>
      <c r="G57" s="325" t="str">
        <f>IF(' Accting USE Data Entry Form'!B60&gt;0,' Accting USE Data Entry Form'!B60,"")</f>
        <v>MOD 010: Ningxia Material Sorting</v>
      </c>
      <c r="H57" s="325"/>
      <c r="I57" s="325"/>
      <c r="J57" s="325"/>
      <c r="K57" s="325"/>
      <c r="L57" s="325"/>
    </row>
    <row r="58" spans="1:12" x14ac:dyDescent="0.25">
      <c r="A58" s="178">
        <v>51</v>
      </c>
      <c r="C58" s="179">
        <f>IF(' Accting USE Data Entry Form'!V61&gt;0,' Accting USE Data Entry Form'!V61,0)</f>
        <v>0</v>
      </c>
      <c r="D58" s="45"/>
      <c r="E58" s="123" t="str">
        <f t="shared" si="0"/>
        <v xml:space="preserve"> </v>
      </c>
      <c r="G58" s="325" t="str">
        <f>IF(' Accting USE Data Entry Form'!B61&gt;0,' Accting USE Data Entry Form'!B61,"")</f>
        <v>MOD 011: Optional Cavities 1-8</v>
      </c>
      <c r="H58" s="325"/>
      <c r="I58" s="325"/>
      <c r="J58" s="325"/>
      <c r="K58" s="325"/>
      <c r="L58" s="325"/>
    </row>
    <row r="59" spans="1:12" x14ac:dyDescent="0.25">
      <c r="A59" s="178">
        <v>52</v>
      </c>
      <c r="C59" s="179">
        <f>IF(' Accting USE Data Entry Form'!V62&gt;0,' Accting USE Data Entry Form'!V62,0)</f>
        <v>1</v>
      </c>
      <c r="D59" s="45"/>
      <c r="E59" s="123" t="str">
        <f t="shared" si="0"/>
        <v xml:space="preserve"> </v>
      </c>
      <c r="G59" s="325" t="str">
        <f>IF(' Accting USE Data Entry Form'!B62&gt;0,' Accting USE Data Entry Form'!B62,"")</f>
        <v>MOD 012: DESY Testing 4X RF Tests</v>
      </c>
      <c r="H59" s="325"/>
      <c r="I59" s="325"/>
      <c r="J59" s="325"/>
      <c r="K59" s="325"/>
      <c r="L59" s="325"/>
    </row>
    <row r="60" spans="1:12" ht="12" customHeight="1" x14ac:dyDescent="0.25">
      <c r="A60" s="178">
        <v>53</v>
      </c>
      <c r="C60" s="179">
        <f>IF(' Accting USE Data Entry Form'!V63&gt;0,' Accting USE Data Entry Form'!V63,0)</f>
        <v>0</v>
      </c>
      <c r="D60" s="45"/>
      <c r="E60" s="123" t="str">
        <f t="shared" si="0"/>
        <v xml:space="preserve"> </v>
      </c>
      <c r="G60" s="325" t="str">
        <f>IF(' Accting USE Data Entry Form'!B63&gt;0,' Accting USE Data Entry Form'!B63,"")</f>
        <v>MOD 012: Add DESY Testing Costs (Not to Exceed)</v>
      </c>
      <c r="H60" s="325"/>
      <c r="I60" s="325"/>
      <c r="J60" s="325"/>
      <c r="K60" s="325"/>
      <c r="L60" s="325"/>
    </row>
    <row r="61" spans="1:12" x14ac:dyDescent="0.25">
      <c r="A61" s="178">
        <v>54</v>
      </c>
      <c r="C61" s="179">
        <f>IF(' Accting USE Data Entry Form'!V64&gt;0,' Accting USE Data Entry Form'!V64,0)</f>
        <v>1</v>
      </c>
      <c r="D61" s="45"/>
      <c r="E61" s="123" t="str">
        <f t="shared" si="0"/>
        <v xml:space="preserve"> </v>
      </c>
      <c r="G61" s="325" t="str">
        <f>IF(' Accting USE Data Entry Form'!B64&gt;0,' Accting USE Data Entry Form'!B64,"")</f>
        <v>MOD013-32+3: Material Supply, 1st lot</v>
      </c>
      <c r="H61" s="325"/>
      <c r="I61" s="325"/>
      <c r="J61" s="325"/>
      <c r="K61" s="325"/>
      <c r="L61" s="325"/>
    </row>
    <row r="62" spans="1:12" x14ac:dyDescent="0.25">
      <c r="A62" s="178">
        <v>55</v>
      </c>
      <c r="C62" s="179">
        <f>IF(' Accting USE Data Entry Form'!V65&gt;0,' Accting USE Data Entry Form'!V65,0)</f>
        <v>0</v>
      </c>
      <c r="D62" s="45"/>
      <c r="E62" s="123" t="str">
        <f t="shared" si="0"/>
        <v xml:space="preserve"> </v>
      </c>
      <c r="G62" s="325" t="str">
        <f>IF(' Accting USE Data Entry Form'!B65&gt;0,' Accting USE Data Entry Form'!B65,"")</f>
        <v>MOD013-32+3: Material Supply, 2nd lot</v>
      </c>
      <c r="H62" s="325"/>
      <c r="I62" s="325"/>
      <c r="J62" s="325"/>
      <c r="K62" s="325"/>
      <c r="L62" s="325"/>
    </row>
    <row r="63" spans="1:12" x14ac:dyDescent="0.25">
      <c r="A63" s="178">
        <v>56</v>
      </c>
      <c r="C63" s="179">
        <f>IF(' Accting USE Data Entry Form'!V66&gt;0,' Accting USE Data Entry Form'!V66,0)</f>
        <v>0</v>
      </c>
      <c r="D63" s="45"/>
      <c r="E63" s="123" t="str">
        <f t="shared" si="0"/>
        <v xml:space="preserve"> </v>
      </c>
      <c r="G63" s="325" t="str">
        <f>IF(' Accting USE Data Entry Form'!B66&gt;0,' Accting USE Data Entry Form'!B66,"")</f>
        <v>MOD013-32+3: DESY QA of 1st material lot</v>
      </c>
      <c r="H63" s="325"/>
      <c r="I63" s="325"/>
      <c r="J63" s="325"/>
      <c r="K63" s="325"/>
      <c r="L63" s="325"/>
    </row>
    <row r="64" spans="1:12" x14ac:dyDescent="0.25">
      <c r="A64" s="178">
        <v>57</v>
      </c>
      <c r="C64" s="179">
        <f>IF(' Accting USE Data Entry Form'!V67&gt;0,' Accting USE Data Entry Form'!V67,0)</f>
        <v>0</v>
      </c>
      <c r="D64" s="45"/>
      <c r="E64" s="123" t="str">
        <f t="shared" si="0"/>
        <v xml:space="preserve"> </v>
      </c>
      <c r="G64" s="325" t="str">
        <f>IF(' Accting USE Data Entry Form'!B67&gt;0,' Accting USE Data Entry Form'!B67,"")</f>
        <v>MOD013-32+3: DESY Q of 2nd material lot</v>
      </c>
      <c r="H64" s="325"/>
      <c r="I64" s="325"/>
      <c r="J64" s="325"/>
      <c r="K64" s="325"/>
      <c r="L64" s="325"/>
    </row>
    <row r="65" spans="1:12" x14ac:dyDescent="0.25">
      <c r="A65" s="178">
        <v>58</v>
      </c>
      <c r="C65" s="179">
        <f>IF(' Accting USE Data Entry Form'!V68&gt;0,' Accting USE Data Entry Form'!V68,0)</f>
        <v>0</v>
      </c>
      <c r="D65" s="45"/>
      <c r="E65" s="123" t="str">
        <f t="shared" si="0"/>
        <v xml:space="preserve"> </v>
      </c>
      <c r="G65" s="325" t="str">
        <f>IF(' Accting USE Data Entry Form'!B68&gt;0,' Accting USE Data Entry Form'!B68,"")</f>
        <v>MOD013-32+3: Deliver &amp; Accept 4 Cavities</v>
      </c>
      <c r="H65" s="325"/>
      <c r="I65" s="325"/>
      <c r="J65" s="325"/>
      <c r="K65" s="325"/>
      <c r="L65" s="325"/>
    </row>
    <row r="66" spans="1:12" x14ac:dyDescent="0.25">
      <c r="A66" s="178">
        <v>59</v>
      </c>
      <c r="C66" s="179">
        <f>IF(' Accting USE Data Entry Form'!V69&gt;0,' Accting USE Data Entry Form'!V69,0)</f>
        <v>0</v>
      </c>
      <c r="D66" s="45"/>
      <c r="E66" s="123" t="str">
        <f t="shared" si="0"/>
        <v xml:space="preserve"> </v>
      </c>
      <c r="G66" s="325" t="str">
        <f>IF(' Accting USE Data Entry Form'!B69&gt;0,' Accting USE Data Entry Form'!B69,"")</f>
        <v>MOD013-32+3: Deliver &amp; Accept 4 Cavities</v>
      </c>
      <c r="H66" s="325"/>
      <c r="I66" s="325"/>
      <c r="J66" s="325"/>
      <c r="K66" s="325"/>
      <c r="L66" s="325"/>
    </row>
    <row r="67" spans="1:12" x14ac:dyDescent="0.25">
      <c r="A67" s="178">
        <v>60</v>
      </c>
      <c r="C67" s="179">
        <f>IF(' Accting USE Data Entry Form'!V70&gt;0,' Accting USE Data Entry Form'!V70,0)</f>
        <v>0</v>
      </c>
      <c r="D67" s="45"/>
      <c r="E67" s="123" t="str">
        <f t="shared" si="0"/>
        <v xml:space="preserve"> </v>
      </c>
      <c r="G67" s="325" t="str">
        <f>IF(' Accting USE Data Entry Form'!B70&gt;0,' Accting USE Data Entry Form'!B70,"")</f>
        <v>MOD013-32+3: Deliver &amp; Accept 4 Cavities</v>
      </c>
      <c r="H67" s="325"/>
      <c r="I67" s="325"/>
      <c r="J67" s="325"/>
      <c r="K67" s="325"/>
      <c r="L67" s="325"/>
    </row>
    <row r="68" spans="1:12" x14ac:dyDescent="0.25">
      <c r="A68" s="178">
        <v>61</v>
      </c>
      <c r="C68" s="179">
        <f>IF(' Accting USE Data Entry Form'!V71&gt;0,' Accting USE Data Entry Form'!V71,0)</f>
        <v>0</v>
      </c>
      <c r="D68" s="45"/>
      <c r="E68" s="123" t="str">
        <f t="shared" si="0"/>
        <v xml:space="preserve"> </v>
      </c>
      <c r="G68" s="325" t="str">
        <f>IF(' Accting USE Data Entry Form'!B71&gt;0,' Accting USE Data Entry Form'!B71,"")</f>
        <v>MOD013-32+3: Deliver &amp; Accept 4 Cavities</v>
      </c>
      <c r="H68" s="325"/>
      <c r="I68" s="325"/>
      <c r="J68" s="325"/>
      <c r="K68" s="325"/>
      <c r="L68" s="325"/>
    </row>
    <row r="69" spans="1:12" ht="13.2" customHeight="1" x14ac:dyDescent="0.25">
      <c r="A69" s="178">
        <v>62</v>
      </c>
      <c r="C69" s="179">
        <f>IF(' Accting USE Data Entry Form'!V72&gt;0,' Accting USE Data Entry Form'!V72,0)</f>
        <v>0</v>
      </c>
      <c r="D69" s="45"/>
      <c r="E69" s="123" t="str">
        <f t="shared" si="0"/>
        <v xml:space="preserve"> </v>
      </c>
      <c r="G69" s="325" t="str">
        <f>IF(' Accting USE Data Entry Form'!B72&gt;0,' Accting USE Data Entry Form'!B72,"")</f>
        <v>MOD013-32+3: Deliver &amp; Accept 4 Cavities</v>
      </c>
      <c r="H69" s="325"/>
      <c r="I69" s="325"/>
      <c r="J69" s="325"/>
      <c r="K69" s="325"/>
      <c r="L69" s="325"/>
    </row>
    <row r="70" spans="1:12" x14ac:dyDescent="0.25">
      <c r="A70" s="178">
        <v>63</v>
      </c>
      <c r="C70" s="179">
        <f>IF(' Accting USE Data Entry Form'!V73&gt;0,' Accting USE Data Entry Form'!V73,0)</f>
        <v>0</v>
      </c>
      <c r="D70" s="45"/>
      <c r="E70" s="123" t="str">
        <f t="shared" si="0"/>
        <v xml:space="preserve"> </v>
      </c>
      <c r="G70" s="325" t="str">
        <f>IF(' Accting USE Data Entry Form'!B73&gt;0,' Accting USE Data Entry Form'!B73,"")</f>
        <v>MOD013-32+3: Deliver &amp; Accept 4 Cavities</v>
      </c>
      <c r="H70" s="325"/>
      <c r="I70" s="325"/>
      <c r="J70" s="325"/>
      <c r="K70" s="325"/>
      <c r="L70" s="325"/>
    </row>
    <row r="71" spans="1:12" x14ac:dyDescent="0.25">
      <c r="A71" s="178">
        <v>64</v>
      </c>
      <c r="C71" s="179">
        <f>IF(' Accting USE Data Entry Form'!V74&gt;0,' Accting USE Data Entry Form'!V74,0)</f>
        <v>0</v>
      </c>
      <c r="D71" s="45"/>
      <c r="E71" s="123" t="str">
        <f t="shared" si="0"/>
        <v xml:space="preserve"> </v>
      </c>
      <c r="G71" s="325" t="str">
        <f>IF(' Accting USE Data Entry Form'!B74&gt;0,' Accting USE Data Entry Form'!B74,"")</f>
        <v>MOD013-32+3: Deliver &amp; Accept 4 Cavities</v>
      </c>
      <c r="H71" s="325"/>
      <c r="I71" s="325"/>
      <c r="J71" s="325"/>
      <c r="K71" s="325"/>
      <c r="L71" s="325"/>
    </row>
    <row r="72" spans="1:12" x14ac:dyDescent="0.25">
      <c r="A72" s="178">
        <v>65</v>
      </c>
      <c r="C72" s="179">
        <f>IF(' Accting USE Data Entry Form'!V75&gt;0,' Accting USE Data Entry Form'!V75,0)</f>
        <v>0</v>
      </c>
      <c r="D72" s="45"/>
      <c r="E72" s="123" t="str">
        <f t="shared" si="0"/>
        <v xml:space="preserve"> </v>
      </c>
      <c r="G72" s="325" t="str">
        <f>IF(' Accting USE Data Entry Form'!B75&gt;0,' Accting USE Data Entry Form'!B75,"")</f>
        <v>MOD013-32+3: Deliver &amp; Accept 4 Cavities</v>
      </c>
      <c r="H72" s="325"/>
      <c r="I72" s="325"/>
      <c r="J72" s="325"/>
      <c r="K72" s="325"/>
      <c r="L72" s="325"/>
    </row>
    <row r="73" spans="1:12" x14ac:dyDescent="0.25">
      <c r="A73" s="178">
        <v>66</v>
      </c>
      <c r="C73" s="179">
        <f>IF(' Accting USE Data Entry Form'!V76&gt;0,' Accting USE Data Entry Form'!V76,0)</f>
        <v>0</v>
      </c>
      <c r="D73" s="45"/>
      <c r="E73" s="123" t="str">
        <f t="shared" si="0"/>
        <v xml:space="preserve"> </v>
      </c>
      <c r="G73" s="325" t="str">
        <f>IF(' Accting USE Data Entry Form'!B76&gt;0,' Accting USE Data Entry Form'!B76,"")</f>
        <v>MOD013-32+3: Deliver &amp; Accept 2 Single Cell Cavities</v>
      </c>
      <c r="H73" s="325"/>
      <c r="I73" s="325"/>
      <c r="J73" s="325"/>
      <c r="K73" s="325"/>
      <c r="L73" s="325"/>
    </row>
    <row r="74" spans="1:12" x14ac:dyDescent="0.25">
      <c r="A74" s="178">
        <v>67</v>
      </c>
      <c r="C74" s="179">
        <f>IF(' Accting USE Data Entry Form'!V77&gt;0,' Accting USE Data Entry Form'!V77,0)</f>
        <v>0</v>
      </c>
      <c r="D74" s="45"/>
      <c r="E74" s="123" t="str">
        <f t="shared" si="0"/>
        <v xml:space="preserve"> </v>
      </c>
      <c r="G74" s="325" t="str">
        <f>IF(' Accting USE Data Entry Form'!B77&gt;0,' Accting USE Data Entry Form'!B77,"")</f>
        <v>MOD013-32+3: Lease/Maintenance DESY Equipment</v>
      </c>
      <c r="H74" s="325"/>
      <c r="I74" s="325"/>
      <c r="J74" s="325"/>
      <c r="K74" s="325"/>
      <c r="L74" s="325"/>
    </row>
    <row r="75" spans="1:12" x14ac:dyDescent="0.25">
      <c r="A75" s="178">
        <v>68</v>
      </c>
      <c r="C75" s="179">
        <f>IF(' Accting USE Data Entry Form'!V78&gt;0,' Accting USE Data Entry Form'!V78,0)</f>
        <v>0</v>
      </c>
      <c r="D75" s="45"/>
      <c r="E75" s="123" t="str">
        <f t="shared" si="0"/>
        <v xml:space="preserve"> </v>
      </c>
      <c r="G75" s="325" t="str">
        <f>IF(' Accting USE Data Entry Form'!B78&gt;0,' Accting USE Data Entry Form'!B78,"")</f>
        <v>MOD013-Add Mat'l: Material Supply, 1st lot</v>
      </c>
      <c r="H75" s="325"/>
      <c r="I75" s="325"/>
      <c r="J75" s="325"/>
      <c r="K75" s="325"/>
      <c r="L75" s="325"/>
    </row>
    <row r="76" spans="1:12" x14ac:dyDescent="0.25">
      <c r="A76" s="178">
        <v>69</v>
      </c>
      <c r="C76" s="179">
        <f>IF(' Accting USE Data Entry Form'!V79&gt;0,' Accting USE Data Entry Form'!V79,0)</f>
        <v>0</v>
      </c>
      <c r="D76" s="45"/>
      <c r="E76" s="123" t="str">
        <f t="shared" si="0"/>
        <v xml:space="preserve"> </v>
      </c>
      <c r="G76" s="325" t="str">
        <f>IF(' Accting USE Data Entry Form'!B79&gt;0,' Accting USE Data Entry Form'!B79,"")</f>
        <v>MOD013-Add Mat'l: DESY QA of 1st material lot</v>
      </c>
      <c r="H76" s="325"/>
      <c r="I76" s="325"/>
      <c r="J76" s="325"/>
      <c r="K76" s="325"/>
      <c r="L76" s="325"/>
    </row>
    <row r="77" spans="1:12" x14ac:dyDescent="0.25">
      <c r="A77" s="178">
        <v>70</v>
      </c>
      <c r="C77" s="179">
        <f>IF(' Accting USE Data Entry Form'!V80&gt;0,' Accting USE Data Entry Form'!V80,0)</f>
        <v>0</v>
      </c>
      <c r="D77" s="45"/>
      <c r="E77" s="123"/>
      <c r="G77" s="325" t="str">
        <f>IF(' Accting USE Data Entry Form'!B80&gt;0,' Accting USE Data Entry Form'!B80,"")</f>
        <v>MOD013-Add Mat'l: Material Supply, 2nd lot</v>
      </c>
      <c r="H77" s="325"/>
      <c r="I77" s="325"/>
      <c r="J77" s="325"/>
      <c r="K77" s="325"/>
      <c r="L77" s="325"/>
    </row>
    <row r="78" spans="1:12" x14ac:dyDescent="0.25">
      <c r="A78" s="178">
        <v>71</v>
      </c>
      <c r="C78" s="179">
        <f>IF(' Accting USE Data Entry Form'!V81&gt;0,' Accting USE Data Entry Form'!V81,0)</f>
        <v>0</v>
      </c>
      <c r="D78" s="45"/>
      <c r="E78" s="123"/>
      <c r="G78" s="325" t="str">
        <f>IF(' Accting USE Data Entry Form'!B81&gt;0,' Accting USE Data Entry Form'!B81,"")</f>
        <v>MOD013-Add Mat'l: DESY QA of 2nd material lot</v>
      </c>
      <c r="H78" s="325"/>
      <c r="I78" s="325"/>
      <c r="J78" s="325"/>
      <c r="K78" s="325"/>
      <c r="L78" s="325"/>
    </row>
    <row r="79" spans="1:12" x14ac:dyDescent="0.25">
      <c r="A79" s="178">
        <v>72</v>
      </c>
      <c r="C79" s="179">
        <f>IF(' Accting USE Data Entry Form'!V82&gt;0,' Accting USE Data Entry Form'!V82,0)</f>
        <v>0</v>
      </c>
      <c r="D79" s="45"/>
      <c r="E79" s="123"/>
      <c r="G79" s="325" t="str">
        <f>IF(' Accting USE Data Entry Form'!B82&gt;0,' Accting USE Data Entry Form'!B82,"")</f>
        <v>MOD013-Add Mat'l: Material Supply, 3rd lot</v>
      </c>
      <c r="H79" s="325"/>
      <c r="I79" s="325"/>
      <c r="J79" s="325"/>
      <c r="K79" s="325"/>
      <c r="L79" s="325"/>
    </row>
    <row r="80" spans="1:12" x14ac:dyDescent="0.25">
      <c r="A80" s="178">
        <v>73</v>
      </c>
      <c r="C80" s="179">
        <f>IF(' Accting USE Data Entry Form'!V83&gt;0,' Accting USE Data Entry Form'!V83,0)</f>
        <v>0</v>
      </c>
      <c r="D80" s="45"/>
      <c r="E80" s="123"/>
      <c r="G80" s="325" t="str">
        <f>IF(' Accting USE Data Entry Form'!B83&gt;0,' Accting USE Data Entry Form'!B83,"")</f>
        <v>MOD013-Add Mat'l: DESY QA of 3rd material lot</v>
      </c>
      <c r="H80" s="325"/>
      <c r="I80" s="325"/>
      <c r="J80" s="325"/>
      <c r="K80" s="325"/>
      <c r="L80" s="325"/>
    </row>
    <row r="81" spans="1:12" x14ac:dyDescent="0.25">
      <c r="A81" s="178">
        <v>74</v>
      </c>
      <c r="C81" s="179">
        <f>IF(' Accting USE Data Entry Form'!V84&gt;0,' Accting USE Data Entry Form'!V84,0)</f>
        <v>0</v>
      </c>
      <c r="D81" s="45"/>
      <c r="E81" s="123"/>
      <c r="G81" s="325" t="str">
        <f>IF(' Accting USE Data Entry Form'!B84&gt;0,' Accting USE Data Entry Form'!B84,"")</f>
        <v>MOD013-Add Mat'l: Material Supply, 4th lot</v>
      </c>
      <c r="H81" s="325"/>
      <c r="I81" s="325"/>
      <c r="J81" s="325"/>
      <c r="K81" s="325"/>
      <c r="L81" s="325"/>
    </row>
    <row r="82" spans="1:12" x14ac:dyDescent="0.25">
      <c r="A82" s="178">
        <v>75</v>
      </c>
      <c r="C82" s="179">
        <f>IF(' Accting USE Data Entry Form'!V85&gt;0,' Accting USE Data Entry Form'!V85,0)</f>
        <v>0</v>
      </c>
      <c r="D82" s="45"/>
      <c r="E82" s="123"/>
      <c r="G82" s="325" t="str">
        <f>IF(' Accting USE Data Entry Form'!B85&gt;0,' Accting USE Data Entry Form'!B85,"")</f>
        <v>MOD013-Add Mat'l: DESY QA of 4th material lot</v>
      </c>
      <c r="H82" s="325"/>
      <c r="I82" s="325"/>
      <c r="J82" s="325"/>
      <c r="K82" s="325"/>
      <c r="L82" s="325"/>
    </row>
    <row r="83" spans="1:12" x14ac:dyDescent="0.25">
      <c r="A83" s="178">
        <v>76</v>
      </c>
      <c r="C83" s="179">
        <f>IF(' Accting USE Data Entry Form'!V86&gt;0,' Accting USE Data Entry Form'!V86,0)</f>
        <v>0</v>
      </c>
      <c r="D83" s="45"/>
      <c r="E83" s="123"/>
      <c r="G83" s="325" t="str">
        <f>IF(' Accting USE Data Entry Form'!B86&gt;0,' Accting USE Data Entry Form'!B86,"")</f>
        <v xml:space="preserve">MOD013-Add Mat'l: Storage of material for up to 6 months </v>
      </c>
      <c r="H83" s="325"/>
      <c r="I83" s="325"/>
      <c r="J83" s="325"/>
      <c r="K83" s="325"/>
      <c r="L83" s="325"/>
    </row>
    <row r="84" spans="1:12" x14ac:dyDescent="0.25">
      <c r="A84" s="178">
        <v>77</v>
      </c>
      <c r="C84" s="179">
        <f>IF(' Accting USE Data Entry Form'!V87&gt;0,' Accting USE Data Entry Form'!V87,0)</f>
        <v>0</v>
      </c>
      <c r="D84" s="45"/>
      <c r="E84" s="123"/>
      <c r="G84" s="325" t="str">
        <f>IF(' Accting USE Data Entry Form'!B87&gt;0,' Accting USE Data Entry Form'!B87,"")</f>
        <v>MOD013-Add Mat'l: Package and air shipment of material</v>
      </c>
      <c r="H84" s="325"/>
      <c r="I84" s="325"/>
      <c r="J84" s="325"/>
      <c r="K84" s="325"/>
      <c r="L84" s="325"/>
    </row>
    <row r="85" spans="1:12" x14ac:dyDescent="0.25">
      <c r="A85" s="178">
        <v>78</v>
      </c>
      <c r="C85" s="179">
        <f>IF(' Accting USE Data Entry Form'!V88&gt;0,' Accting USE Data Entry Form'!V88,0)</f>
        <v>0</v>
      </c>
      <c r="D85" s="45"/>
      <c r="E85" s="123"/>
      <c r="G85" s="325" t="str">
        <f>IF(' Accting USE Data Entry Form'!B88&gt;0,' Accting USE Data Entry Form'!B88,"")</f>
        <v>MOD013-Add Mat'l: Deliver &amp; Accept 1-Cell Cavites (Lot 1)</v>
      </c>
      <c r="H85" s="325"/>
      <c r="I85" s="325"/>
      <c r="J85" s="325"/>
      <c r="K85" s="325"/>
      <c r="L85" s="325"/>
    </row>
    <row r="86" spans="1:12" x14ac:dyDescent="0.25">
      <c r="A86" s="178">
        <v>79</v>
      </c>
      <c r="C86" s="179">
        <f>IF(' Accting USE Data Entry Form'!V89&gt;0,' Accting USE Data Entry Form'!V89,0)</f>
        <v>0</v>
      </c>
      <c r="D86" s="45"/>
      <c r="E86" s="123"/>
      <c r="G86" s="325" t="str">
        <f>IF(' Accting USE Data Entry Form'!B89&gt;0,' Accting USE Data Entry Form'!B89,"")</f>
        <v>MOD013-Add Mat'l: Deliver &amp; Accept  1-Cell Cavites (Lot 2)</v>
      </c>
      <c r="H86" s="325"/>
      <c r="I86" s="325"/>
      <c r="J86" s="325"/>
      <c r="K86" s="325"/>
      <c r="L86" s="325"/>
    </row>
    <row r="87" spans="1:12" x14ac:dyDescent="0.25">
      <c r="A87" s="178">
        <v>80</v>
      </c>
      <c r="C87" s="179">
        <f>IF(' Accting USE Data Entry Form'!V90&gt;0,' Accting USE Data Entry Form'!V90,0)</f>
        <v>0</v>
      </c>
      <c r="D87" s="45"/>
      <c r="E87" s="123"/>
      <c r="G87" s="325" t="str">
        <f>IF(' Accting USE Data Entry Form'!B90&gt;0,' Accting USE Data Entry Form'!B90,"")</f>
        <v>MOD013-Add Mat'l: Deliver &amp; Accept  1-Cell Cavites (Lot 3)</v>
      </c>
      <c r="H87" s="325"/>
      <c r="I87" s="325"/>
      <c r="J87" s="325"/>
      <c r="K87" s="325"/>
      <c r="L87" s="325"/>
    </row>
    <row r="88" spans="1:12" x14ac:dyDescent="0.25">
      <c r="A88" s="178">
        <v>81</v>
      </c>
      <c r="C88" s="179">
        <f>IF(' Accting USE Data Entry Form'!V91&gt;0,' Accting USE Data Entry Form'!V91,0)</f>
        <v>0</v>
      </c>
      <c r="D88" s="45"/>
      <c r="E88" s="123"/>
      <c r="G88" s="325" t="str">
        <f>IF(' Accting USE Data Entry Form'!B91&gt;0,' Accting USE Data Entry Form'!B91,"")</f>
        <v>MOD013-Add Mat'l: Deliver &amp; Accept  1-Cell Cavites (Lot 4)</v>
      </c>
      <c r="H88" s="325"/>
      <c r="I88" s="325"/>
      <c r="J88" s="325"/>
      <c r="K88" s="325"/>
      <c r="L88" s="325"/>
    </row>
    <row r="89" spans="1:12" x14ac:dyDescent="0.25">
      <c r="A89" s="178">
        <v>82</v>
      </c>
      <c r="C89" s="179">
        <f>IF(' Accting USE Data Entry Form'!V92&gt;0,' Accting USE Data Entry Form'!V92,0)</f>
        <v>1</v>
      </c>
      <c r="D89" s="45"/>
      <c r="E89" s="123"/>
      <c r="G89" s="325" t="str">
        <f>IF(' Accting USE Data Entry Form'!B92&gt;0,' Accting USE Data Entry Form'!B92,"")</f>
        <v>MOD014: Supply &amp; QC of 320 TD Sheets</v>
      </c>
      <c r="H89" s="325"/>
      <c r="I89" s="325"/>
      <c r="J89" s="325"/>
      <c r="K89" s="325"/>
      <c r="L89" s="325"/>
    </row>
    <row r="90" spans="1:12" x14ac:dyDescent="0.25">
      <c r="A90" s="178">
        <v>83</v>
      </c>
      <c r="C90" s="179">
        <f>IF(' Accting USE Data Entry Form'!V93&gt;0,' Accting USE Data Entry Form'!V93,0)</f>
        <v>0</v>
      </c>
      <c r="D90" s="45"/>
      <c r="E90" s="123"/>
      <c r="G90" s="325" t="str">
        <f>IF(' Accting USE Data Entry Form'!B93&gt;0,' Accting USE Data Entry Form'!B93,"")</f>
        <v>MOD015: Acceptance of Optional Cavities (9-16)</v>
      </c>
      <c r="H90" s="325"/>
      <c r="I90" s="325"/>
      <c r="J90" s="325"/>
      <c r="K90" s="325"/>
      <c r="L90" s="325"/>
    </row>
    <row r="91" spans="1:12" x14ac:dyDescent="0.25">
      <c r="A91" s="178">
        <v>84</v>
      </c>
      <c r="C91" s="179">
        <f>IF(' Accting USE Data Entry Form'!V94&gt;0,' Accting USE Data Entry Form'!V94,0)</f>
        <v>0</v>
      </c>
      <c r="D91" s="45"/>
      <c r="E91" s="123"/>
      <c r="G91" s="325" t="str">
        <f>IF(' Accting USE Data Entry Form'!B94&gt;0,' Accting USE Data Entry Form'!B94,"")</f>
        <v>MOD015: Incentive- Accelerated Delivery $5K/ cavities (9-16)</v>
      </c>
      <c r="H91" s="325"/>
      <c r="I91" s="325"/>
      <c r="J91" s="325"/>
      <c r="K91" s="325"/>
      <c r="L91" s="325"/>
    </row>
    <row r="92" spans="1:12" x14ac:dyDescent="0.25">
      <c r="A92" s="178">
        <v>85</v>
      </c>
      <c r="C92" s="179">
        <f>IF(' Accting USE Data Entry Form'!V95&gt;0,' Accting USE Data Entry Form'!V95,0)</f>
        <v>1</v>
      </c>
      <c r="D92" s="45"/>
      <c r="E92" s="123"/>
      <c r="G92" s="325" t="str">
        <f>IF(' Accting USE Data Entry Form'!B95&gt;0,' Accting USE Data Entry Form'!B95,"")</f>
        <v>MOD016: Transport Excess Zanon Cavity Materials to RI</v>
      </c>
      <c r="H92" s="325"/>
      <c r="I92" s="325"/>
      <c r="J92" s="325"/>
      <c r="K92" s="325"/>
      <c r="L92" s="325"/>
    </row>
    <row r="93" spans="1:12" x14ac:dyDescent="0.25">
      <c r="A93" s="178">
        <v>86</v>
      </c>
      <c r="C93" s="179">
        <f>IF(' Accting USE Data Entry Form'!V96&gt;0,' Accting USE Data Entry Form'!V96,0)</f>
        <v>0</v>
      </c>
      <c r="D93" s="45"/>
      <c r="E93" s="123"/>
      <c r="G93" s="325" t="str">
        <f>IF(' Accting USE Data Entry Form'!B96&gt;0,' Accting USE Data Entry Form'!B96,"")</f>
        <v>MOD016: Delivery &amp; Accept TD Cavities (Zanon Material 1-4 of 18)</v>
      </c>
      <c r="H93" s="325"/>
      <c r="I93" s="325"/>
      <c r="J93" s="325"/>
      <c r="K93" s="325"/>
      <c r="L93" s="325"/>
    </row>
    <row r="94" spans="1:12" x14ac:dyDescent="0.25">
      <c r="A94" s="178">
        <v>87</v>
      </c>
      <c r="C94" s="179">
        <f>IF(' Accting USE Data Entry Form'!V97&gt;0,' Accting USE Data Entry Form'!V97,0)</f>
        <v>0</v>
      </c>
      <c r="D94" s="45"/>
      <c r="E94" s="123"/>
      <c r="G94" s="325" t="str">
        <f>IF(' Accting USE Data Entry Form'!B97&gt;0,' Accting USE Data Entry Form'!B97,"")</f>
        <v>MOD016: Delivery &amp; Accept 4 TD Cavities  (Zanon Material 5-8 of 18)</v>
      </c>
      <c r="H94" s="325"/>
      <c r="I94" s="325"/>
      <c r="J94" s="325"/>
      <c r="K94" s="325"/>
      <c r="L94" s="325"/>
    </row>
    <row r="95" spans="1:12" x14ac:dyDescent="0.25">
      <c r="A95" s="178">
        <v>88</v>
      </c>
      <c r="C95" s="179">
        <f>IF(' Accting USE Data Entry Form'!V98&gt;0,' Accting USE Data Entry Form'!V98,0)</f>
        <v>0</v>
      </c>
      <c r="D95" s="45"/>
      <c r="E95" s="123"/>
      <c r="G95" s="325" t="str">
        <f>IF(' Accting USE Data Entry Form'!B98&gt;0,' Accting USE Data Entry Form'!B98,"")</f>
        <v>MOD016: Delivery &amp; Accept 4 TD Cavities (Zanon Material 9-12 of 18)</v>
      </c>
      <c r="H95" s="325"/>
      <c r="I95" s="325"/>
      <c r="J95" s="325"/>
      <c r="K95" s="325"/>
      <c r="L95" s="325"/>
    </row>
    <row r="96" spans="1:12" x14ac:dyDescent="0.25">
      <c r="A96" s="178">
        <v>89</v>
      </c>
      <c r="C96" s="179">
        <f>IF(' Accting USE Data Entry Form'!V99&gt;0,' Accting USE Data Entry Form'!V99,0)</f>
        <v>0</v>
      </c>
      <c r="D96" s="45"/>
      <c r="E96" s="123"/>
      <c r="G96" s="325" t="str">
        <f>IF(' Accting USE Data Entry Form'!B99&gt;0,' Accting USE Data Entry Form'!B99,"")</f>
        <v>MOD016: Delivery &amp; Accept 4 TD Cavities (Zanon Material 13-16 of 18)</v>
      </c>
      <c r="H96" s="325"/>
      <c r="I96" s="325"/>
      <c r="J96" s="325"/>
      <c r="K96" s="325"/>
      <c r="L96" s="325"/>
    </row>
    <row r="97" spans="1:12" x14ac:dyDescent="0.25">
      <c r="A97" s="178">
        <v>90</v>
      </c>
      <c r="C97" s="179">
        <f>IF(' Accting USE Data Entry Form'!V100&gt;0,' Accting USE Data Entry Form'!V100,0)</f>
        <v>0</v>
      </c>
      <c r="D97" s="45"/>
      <c r="E97" s="123"/>
      <c r="G97" s="325" t="str">
        <f>IF(' Accting USE Data Entry Form'!B100&gt;0,' Accting USE Data Entry Form'!B100,"")</f>
        <v>MOD016: Delivery &amp; Accept 2 TD Cavities (Zanon Material 17-18 of 18)</v>
      </c>
      <c r="H97" s="325"/>
      <c r="I97" s="325"/>
      <c r="J97" s="325"/>
      <c r="K97" s="325"/>
      <c r="L97" s="325"/>
    </row>
    <row r="98" spans="1:12" x14ac:dyDescent="0.25">
      <c r="A98" s="178">
        <v>91</v>
      </c>
      <c r="C98" s="179">
        <f>IF(' Accting USE Data Entry Form'!V101&gt;0,' Accting USE Data Entry Form'!V101,0)</f>
        <v>0</v>
      </c>
      <c r="D98" s="45"/>
      <c r="E98" s="123"/>
      <c r="G98" s="325" t="str">
        <f>IF(' Accting USE Data Entry Form'!B101&gt;0,' Accting USE Data Entry Form'!B101,"")</f>
        <v/>
      </c>
      <c r="H98" s="325"/>
      <c r="I98" s="325"/>
      <c r="J98" s="325"/>
      <c r="K98" s="325"/>
      <c r="L98" s="325"/>
    </row>
    <row r="99" spans="1:12" x14ac:dyDescent="0.25">
      <c r="A99" s="178">
        <v>92</v>
      </c>
      <c r="C99" s="179">
        <f>IF(' Accting USE Data Entry Form'!V102&gt;0,' Accting USE Data Entry Form'!V102,0)</f>
        <v>0</v>
      </c>
      <c r="D99" s="45"/>
      <c r="E99" s="123"/>
      <c r="G99" s="325" t="str">
        <f>IF(' Accting USE Data Entry Form'!B102&gt;0,' Accting USE Data Entry Form'!B102,"")</f>
        <v/>
      </c>
      <c r="H99" s="325"/>
      <c r="I99" s="325"/>
      <c r="J99" s="325"/>
      <c r="K99" s="325"/>
      <c r="L99" s="325"/>
    </row>
    <row r="100" spans="1:12" x14ac:dyDescent="0.25">
      <c r="A100" s="178">
        <v>93</v>
      </c>
      <c r="C100" s="179">
        <f>IF(' Accting USE Data Entry Form'!V103&gt;0,' Accting USE Data Entry Form'!V103,0)</f>
        <v>0</v>
      </c>
      <c r="D100" s="45"/>
      <c r="E100" s="123"/>
      <c r="G100" s="325" t="str">
        <f>IF(' Accting USE Data Entry Form'!B103&gt;0,' Accting USE Data Entry Form'!B103,"")</f>
        <v/>
      </c>
      <c r="H100" s="325"/>
      <c r="I100" s="325"/>
      <c r="J100" s="325"/>
      <c r="K100" s="325"/>
      <c r="L100" s="325"/>
    </row>
    <row r="101" spans="1:12" x14ac:dyDescent="0.25">
      <c r="A101" s="178">
        <v>94</v>
      </c>
      <c r="C101" s="179">
        <f>IF(' Accting USE Data Entry Form'!V104&gt;0,' Accting USE Data Entry Form'!V104,0)</f>
        <v>0</v>
      </c>
      <c r="D101" s="45"/>
      <c r="E101" s="123"/>
      <c r="G101" s="325" t="str">
        <f>IF(' Accting USE Data Entry Form'!B104&gt;0,' Accting USE Data Entry Form'!B104,"")</f>
        <v/>
      </c>
      <c r="H101" s="325"/>
      <c r="I101" s="325"/>
      <c r="J101" s="325"/>
      <c r="K101" s="325"/>
      <c r="L101" s="325"/>
    </row>
    <row r="102" spans="1:12" x14ac:dyDescent="0.25">
      <c r="A102" s="178">
        <v>95</v>
      </c>
      <c r="C102" s="179">
        <f>IF(' Accting USE Data Entry Form'!V105&gt;0,' Accting USE Data Entry Form'!V105,0)</f>
        <v>0</v>
      </c>
      <c r="D102" s="45"/>
      <c r="E102" s="123"/>
      <c r="G102" s="325" t="str">
        <f>IF(' Accting USE Data Entry Form'!B105&gt;0,' Accting USE Data Entry Form'!B105,"")</f>
        <v/>
      </c>
      <c r="H102" s="325"/>
      <c r="I102" s="325"/>
      <c r="J102" s="325"/>
      <c r="K102" s="325"/>
      <c r="L102" s="325"/>
    </row>
    <row r="103" spans="1:12" x14ac:dyDescent="0.25">
      <c r="A103" s="178">
        <v>96</v>
      </c>
      <c r="C103" s="179">
        <f>IF(' Accting USE Data Entry Form'!V106&gt;0,' Accting USE Data Entry Form'!V106,0)</f>
        <v>0</v>
      </c>
      <c r="D103" s="45"/>
      <c r="E103" s="123"/>
      <c r="G103" s="325" t="str">
        <f>IF(' Accting USE Data Entry Form'!B106&gt;0,' Accting USE Data Entry Form'!B106,"")</f>
        <v/>
      </c>
      <c r="H103" s="325"/>
      <c r="I103" s="325"/>
      <c r="J103" s="325"/>
      <c r="K103" s="325"/>
      <c r="L103" s="325"/>
    </row>
    <row r="104" spans="1:12" x14ac:dyDescent="0.25">
      <c r="A104" s="178">
        <v>97</v>
      </c>
      <c r="C104" s="179">
        <f>IF(' Accting USE Data Entry Form'!V107&gt;0,' Accting USE Data Entry Form'!V107,0)</f>
        <v>0</v>
      </c>
      <c r="D104" s="45"/>
      <c r="E104" s="123"/>
      <c r="G104" s="325" t="str">
        <f>IF(' Accting USE Data Entry Form'!B107&gt;0,' Accting USE Data Entry Form'!B107,"")</f>
        <v/>
      </c>
      <c r="H104" s="325"/>
      <c r="I104" s="325"/>
      <c r="J104" s="325"/>
      <c r="K104" s="325"/>
      <c r="L104" s="325"/>
    </row>
    <row r="105" spans="1:12" x14ac:dyDescent="0.25">
      <c r="A105" s="178">
        <v>98</v>
      </c>
      <c r="C105" s="179">
        <f>IF(' Accting USE Data Entry Form'!V108&gt;0,' Accting USE Data Entry Form'!V108,0)</f>
        <v>0</v>
      </c>
      <c r="D105" s="45"/>
      <c r="E105" s="123"/>
      <c r="G105" s="325" t="str">
        <f>IF(' Accting USE Data Entry Form'!B108&gt;0,' Accting USE Data Entry Form'!B108,"")</f>
        <v/>
      </c>
      <c r="H105" s="325"/>
      <c r="I105" s="325"/>
      <c r="J105" s="325"/>
      <c r="K105" s="325"/>
      <c r="L105" s="325"/>
    </row>
    <row r="106" spans="1:12" x14ac:dyDescent="0.25">
      <c r="A106" s="178">
        <v>99</v>
      </c>
      <c r="C106" s="179">
        <f>IF(' Accting USE Data Entry Form'!V109&gt;0,' Accting USE Data Entry Form'!V109,0)</f>
        <v>0</v>
      </c>
      <c r="D106" s="45"/>
      <c r="E106" s="123"/>
      <c r="G106" s="325" t="str">
        <f>IF(' Accting USE Data Entry Form'!B109&gt;0,' Accting USE Data Entry Form'!B109,"")</f>
        <v/>
      </c>
      <c r="H106" s="325"/>
      <c r="I106" s="325"/>
      <c r="J106" s="325"/>
      <c r="K106" s="325"/>
      <c r="L106" s="325"/>
    </row>
    <row r="107" spans="1:12" x14ac:dyDescent="0.25">
      <c r="A107" s="178">
        <v>100</v>
      </c>
      <c r="C107" s="179">
        <f>IF(' Accting USE Data Entry Form'!V110&gt;0,' Accting USE Data Entry Form'!V110,0)</f>
        <v>0</v>
      </c>
      <c r="D107" s="45"/>
      <c r="E107" s="123"/>
      <c r="G107" s="325" t="str">
        <f>IF(' Accting USE Data Entry Form'!B110&gt;0,' Accting USE Data Entry Form'!B110,"")</f>
        <v/>
      </c>
      <c r="H107" s="325"/>
      <c r="I107" s="325"/>
      <c r="J107" s="325"/>
      <c r="K107" s="325"/>
      <c r="L107" s="325"/>
    </row>
    <row r="108" spans="1:12" x14ac:dyDescent="0.25">
      <c r="A108" s="178">
        <v>101</v>
      </c>
      <c r="C108" s="179">
        <f>IF(' Accting USE Data Entry Form'!V111&gt;0,' Accting USE Data Entry Form'!V111,0)</f>
        <v>0</v>
      </c>
      <c r="D108" s="45"/>
      <c r="E108" s="123"/>
      <c r="G108" s="325" t="str">
        <f>IF(' Accting USE Data Entry Form'!B111&gt;0,' Accting USE Data Entry Form'!B111,"")</f>
        <v/>
      </c>
      <c r="H108" s="325"/>
      <c r="I108" s="325"/>
      <c r="J108" s="325"/>
      <c r="K108" s="325"/>
      <c r="L108" s="325"/>
    </row>
    <row r="109" spans="1:12" x14ac:dyDescent="0.25">
      <c r="A109" s="178">
        <v>102</v>
      </c>
      <c r="C109" s="179">
        <f>IF(' Accting USE Data Entry Form'!V112&gt;0,' Accting USE Data Entry Form'!V112,0)</f>
        <v>0</v>
      </c>
      <c r="D109" s="45"/>
      <c r="E109" s="123"/>
      <c r="G109" s="325" t="str">
        <f>IF(' Accting USE Data Entry Form'!B112&gt;0,' Accting USE Data Entry Form'!B112,"")</f>
        <v/>
      </c>
      <c r="H109" s="325"/>
      <c r="I109" s="325"/>
      <c r="J109" s="325"/>
      <c r="K109" s="325"/>
      <c r="L109" s="325"/>
    </row>
    <row r="110" spans="1:12" x14ac:dyDescent="0.25">
      <c r="A110" s="178">
        <v>103</v>
      </c>
      <c r="C110" s="179">
        <f>IF(' Accting USE Data Entry Form'!V113&gt;0,' Accting USE Data Entry Form'!V113,0)</f>
        <v>0</v>
      </c>
      <c r="D110" s="45"/>
      <c r="E110" s="123"/>
      <c r="G110" s="325" t="str">
        <f>IF(' Accting USE Data Entry Form'!B113&gt;0,' Accting USE Data Entry Form'!B113,"")</f>
        <v/>
      </c>
      <c r="H110" s="325"/>
      <c r="I110" s="325"/>
      <c r="J110" s="325"/>
      <c r="K110" s="325"/>
      <c r="L110" s="325"/>
    </row>
    <row r="111" spans="1:12" x14ac:dyDescent="0.25">
      <c r="A111" s="178">
        <v>104</v>
      </c>
      <c r="C111" s="179">
        <f>IF(' Accting USE Data Entry Form'!V114&gt;0,' Accting USE Data Entry Form'!V114,0)</f>
        <v>0</v>
      </c>
      <c r="D111" s="45"/>
      <c r="E111" s="123"/>
      <c r="G111" s="325" t="str">
        <f>IF(' Accting USE Data Entry Form'!B114&gt;0,' Accting USE Data Entry Form'!B114,"")</f>
        <v/>
      </c>
      <c r="H111" s="325"/>
      <c r="I111" s="325"/>
      <c r="J111" s="325"/>
      <c r="K111" s="325"/>
      <c r="L111" s="325"/>
    </row>
    <row r="112" spans="1:12" x14ac:dyDescent="0.25">
      <c r="A112" s="178">
        <v>105</v>
      </c>
      <c r="C112" s="179">
        <f>IF(' Accting USE Data Entry Form'!V115&gt;0,' Accting USE Data Entry Form'!V115,0)</f>
        <v>0</v>
      </c>
      <c r="D112" s="45"/>
      <c r="E112" s="123" t="str">
        <f t="shared" si="0"/>
        <v xml:space="preserve"> </v>
      </c>
      <c r="G112" s="325" t="str">
        <f>IF(' Accting USE Data Entry Form'!B115&gt;0,' Accting USE Data Entry Form'!B115,"")</f>
        <v/>
      </c>
      <c r="H112" s="325"/>
      <c r="I112" s="325"/>
      <c r="J112" s="325"/>
      <c r="K112" s="325"/>
      <c r="L112" s="325"/>
    </row>
    <row r="113" spans="1:12" x14ac:dyDescent="0.25">
      <c r="A113" s="178">
        <v>106</v>
      </c>
      <c r="C113" s="179">
        <f>IF(' Accting USE Data Entry Form'!V116&gt;0,' Accting USE Data Entry Form'!V116,0)</f>
        <v>0</v>
      </c>
      <c r="D113" s="45"/>
      <c r="E113" s="123" t="str">
        <f t="shared" si="0"/>
        <v xml:space="preserve"> </v>
      </c>
      <c r="G113" s="325" t="str">
        <f>IF(' Accting USE Data Entry Form'!B116&gt;0,' Accting USE Data Entry Form'!B116,"")</f>
        <v/>
      </c>
      <c r="H113" s="325"/>
      <c r="I113" s="325"/>
      <c r="J113" s="325"/>
      <c r="K113" s="325"/>
      <c r="L113" s="325"/>
    </row>
    <row r="114" spans="1:12" ht="12" customHeight="1" x14ac:dyDescent="0.25">
      <c r="C114" s="4"/>
      <c r="E114" s="4"/>
      <c r="G114" s="325"/>
      <c r="H114" s="325"/>
      <c r="I114" s="325"/>
      <c r="J114" s="325"/>
      <c r="K114" s="325"/>
      <c r="L114" s="325"/>
    </row>
    <row r="115" spans="1:12" ht="12" customHeight="1" x14ac:dyDescent="0.25">
      <c r="A115" s="3" t="s">
        <v>30</v>
      </c>
      <c r="C115" s="40"/>
      <c r="D115" s="5"/>
      <c r="E115" s="40"/>
      <c r="F115" s="5"/>
      <c r="G115" s="5"/>
      <c r="H115" s="1"/>
      <c r="I115" s="1"/>
      <c r="J115" s="16"/>
      <c r="K115" s="1"/>
      <c r="L115" s="1"/>
    </row>
    <row r="116" spans="1:12" ht="23.25" customHeight="1" x14ac:dyDescent="0.25">
      <c r="F116" s="333" t="s">
        <v>31</v>
      </c>
      <c r="G116" s="334"/>
      <c r="H116" s="334"/>
      <c r="I116" s="334"/>
      <c r="J116" s="334"/>
      <c r="K116" s="14"/>
      <c r="L116" s="14" t="s">
        <v>3</v>
      </c>
    </row>
    <row r="117" spans="1:12" x14ac:dyDescent="0.25">
      <c r="A117" s="3" t="s">
        <v>29</v>
      </c>
      <c r="F117" s="5"/>
      <c r="G117" s="5"/>
      <c r="H117" s="330" t="s">
        <v>55</v>
      </c>
      <c r="I117" s="331"/>
      <c r="J117" s="331"/>
      <c r="K117" s="1"/>
      <c r="L117" s="48">
        <f>K5</f>
        <v>42916</v>
      </c>
    </row>
    <row r="118" spans="1:12" ht="23.25" customHeight="1" x14ac:dyDescent="0.25">
      <c r="F118" s="5"/>
      <c r="G118" s="5"/>
      <c r="H118" s="5"/>
      <c r="I118" s="5"/>
      <c r="J118" s="15" t="s">
        <v>32</v>
      </c>
      <c r="K118" s="14"/>
      <c r="L118" s="14" t="s">
        <v>3</v>
      </c>
    </row>
    <row r="119" spans="1:12" ht="15.75" customHeight="1" x14ac:dyDescent="0.25">
      <c r="A119" s="3"/>
      <c r="F119" s="5"/>
      <c r="G119" s="5"/>
      <c r="H119" s="5"/>
      <c r="I119" s="5"/>
      <c r="J119" s="15"/>
      <c r="K119" s="14"/>
      <c r="L119" s="14"/>
    </row>
    <row r="120" spans="1:12" ht="23.25" customHeight="1" x14ac:dyDescent="0.25">
      <c r="F120" s="5"/>
      <c r="G120" s="5"/>
      <c r="H120" s="5"/>
      <c r="I120" s="5"/>
      <c r="J120" s="15"/>
      <c r="K120" s="14"/>
    </row>
    <row r="121" spans="1:12" ht="15.75" customHeight="1" x14ac:dyDescent="0.25">
      <c r="A121" s="27" t="s">
        <v>25</v>
      </c>
      <c r="B121" s="27"/>
      <c r="C121" s="41"/>
      <c r="D121" s="27"/>
      <c r="E121" s="41"/>
      <c r="F121" s="28"/>
      <c r="G121" s="28"/>
      <c r="H121" s="28"/>
      <c r="I121" s="28"/>
      <c r="J121" s="29"/>
      <c r="K121" s="30"/>
      <c r="L121" s="27"/>
    </row>
    <row r="122" spans="1:12" ht="27.75" customHeight="1" x14ac:dyDescent="0.25">
      <c r="A122" s="18"/>
      <c r="B122" s="18"/>
      <c r="C122" s="42"/>
      <c r="D122" s="18"/>
      <c r="E122" s="42"/>
      <c r="F122" s="19"/>
      <c r="G122" s="19"/>
      <c r="H122" s="19"/>
      <c r="I122" s="19"/>
      <c r="J122" s="20"/>
      <c r="K122" s="21"/>
      <c r="L122" s="18"/>
    </row>
    <row r="123" spans="1:12" x14ac:dyDescent="0.25">
      <c r="A123" s="23" t="s">
        <v>23</v>
      </c>
      <c r="B123" s="18"/>
      <c r="C123" s="42"/>
      <c r="D123" s="18"/>
      <c r="E123" s="42"/>
      <c r="F123" s="19"/>
      <c r="G123" s="19"/>
      <c r="H123" s="19"/>
      <c r="I123" s="24"/>
      <c r="J123" s="25"/>
      <c r="K123" s="24"/>
      <c r="L123" s="24"/>
    </row>
    <row r="124" spans="1:12" ht="23.25" customHeight="1" x14ac:dyDescent="0.25">
      <c r="A124" s="18"/>
      <c r="B124" s="18"/>
      <c r="C124" s="42"/>
      <c r="D124" s="18"/>
      <c r="E124" s="42"/>
      <c r="F124" s="19"/>
      <c r="G124" s="19"/>
      <c r="H124" s="19"/>
      <c r="I124" s="19"/>
      <c r="J124" s="20"/>
      <c r="K124" s="21" t="s">
        <v>3</v>
      </c>
      <c r="L124" s="18"/>
    </row>
    <row r="125" spans="1:12" x14ac:dyDescent="0.25">
      <c r="A125" s="23" t="s">
        <v>22</v>
      </c>
      <c r="B125" s="18"/>
      <c r="C125" s="42"/>
      <c r="D125" s="18"/>
      <c r="E125" s="42"/>
      <c r="F125" s="19"/>
      <c r="G125" s="26"/>
      <c r="H125" s="24"/>
      <c r="I125" s="24"/>
      <c r="J125" s="25"/>
      <c r="K125" s="24"/>
      <c r="L125" s="24"/>
    </row>
    <row r="126" spans="1:12" ht="16.5" customHeight="1" x14ac:dyDescent="0.25">
      <c r="A126" s="18"/>
      <c r="B126" s="18"/>
      <c r="C126" s="42"/>
      <c r="D126" s="18"/>
      <c r="E126" s="42"/>
      <c r="F126" s="18"/>
      <c r="G126" s="18"/>
      <c r="H126" s="18"/>
      <c r="I126" s="18"/>
      <c r="J126" s="21"/>
      <c r="K126" s="21" t="s">
        <v>3</v>
      </c>
      <c r="L126" s="18"/>
    </row>
    <row r="127" spans="1:12" x14ac:dyDescent="0.25">
      <c r="A127" s="18"/>
      <c r="B127" s="18"/>
      <c r="C127" s="42"/>
      <c r="D127" s="18"/>
      <c r="E127" s="42"/>
      <c r="F127" s="18"/>
      <c r="G127" s="18"/>
      <c r="H127" s="18"/>
      <c r="I127" s="18"/>
      <c r="J127" s="18"/>
      <c r="K127" s="18"/>
      <c r="L127" s="18"/>
    </row>
  </sheetData>
  <sheetProtection selectLockedCells="1"/>
  <mergeCells count="116">
    <mergeCell ref="A1:L1"/>
    <mergeCell ref="A2:L2"/>
    <mergeCell ref="A3:L3"/>
    <mergeCell ref="F116:J116"/>
    <mergeCell ref="G8:L8"/>
    <mergeCell ref="G9:L9"/>
    <mergeCell ref="G10:L10"/>
    <mergeCell ref="G37:L37"/>
    <mergeCell ref="G52:L52"/>
    <mergeCell ref="G11:L11"/>
    <mergeCell ref="G12:L12"/>
    <mergeCell ref="G13:L13"/>
    <mergeCell ref="G14:L14"/>
    <mergeCell ref="G15:L15"/>
    <mergeCell ref="G16:L16"/>
    <mergeCell ref="G17:L17"/>
    <mergeCell ref="G23:L23"/>
    <mergeCell ref="G24:L24"/>
    <mergeCell ref="G25:L25"/>
    <mergeCell ref="G26:L26"/>
    <mergeCell ref="G27:L27"/>
    <mergeCell ref="G18:L18"/>
    <mergeCell ref="G19:L19"/>
    <mergeCell ref="G20:L20"/>
    <mergeCell ref="A4:B4"/>
    <mergeCell ref="C4:H4"/>
    <mergeCell ref="G50:L50"/>
    <mergeCell ref="H117:J117"/>
    <mergeCell ref="G42:L42"/>
    <mergeCell ref="G43:L43"/>
    <mergeCell ref="G44:L44"/>
    <mergeCell ref="G45:L45"/>
    <mergeCell ref="G46:L46"/>
    <mergeCell ref="G47:L47"/>
    <mergeCell ref="G48:L48"/>
    <mergeCell ref="G49:L49"/>
    <mergeCell ref="G51:L51"/>
    <mergeCell ref="G56:L56"/>
    <mergeCell ref="G57:L57"/>
    <mergeCell ref="G69:L69"/>
    <mergeCell ref="G41:L41"/>
    <mergeCell ref="G32:L32"/>
    <mergeCell ref="G33:L33"/>
    <mergeCell ref="G34:L34"/>
    <mergeCell ref="G35:L35"/>
    <mergeCell ref="G36:L36"/>
    <mergeCell ref="G28:L28"/>
    <mergeCell ref="G29:L29"/>
    <mergeCell ref="G58:L58"/>
    <mergeCell ref="G59:L59"/>
    <mergeCell ref="G60:L60"/>
    <mergeCell ref="G61:L61"/>
    <mergeCell ref="G62:L62"/>
    <mergeCell ref="K5:L5"/>
    <mergeCell ref="C5:E5"/>
    <mergeCell ref="G38:L38"/>
    <mergeCell ref="G39:L39"/>
    <mergeCell ref="G30:L30"/>
    <mergeCell ref="G31:L31"/>
    <mergeCell ref="G40:L40"/>
    <mergeCell ref="G21:L21"/>
    <mergeCell ref="G22:L22"/>
    <mergeCell ref="G72:L72"/>
    <mergeCell ref="G113:L113"/>
    <mergeCell ref="G53:L53"/>
    <mergeCell ref="G54:L54"/>
    <mergeCell ref="G55:L55"/>
    <mergeCell ref="G73:L73"/>
    <mergeCell ref="G74:L74"/>
    <mergeCell ref="G75:L75"/>
    <mergeCell ref="G76:L76"/>
    <mergeCell ref="G112:L112"/>
    <mergeCell ref="G70:L70"/>
    <mergeCell ref="G71:L71"/>
    <mergeCell ref="G77:L77"/>
    <mergeCell ref="G78:L78"/>
    <mergeCell ref="G79:L79"/>
    <mergeCell ref="G80:L80"/>
    <mergeCell ref="G81:L81"/>
    <mergeCell ref="G68:L68"/>
    <mergeCell ref="G63:L63"/>
    <mergeCell ref="G64:L64"/>
    <mergeCell ref="G65:L65"/>
    <mergeCell ref="G66:L66"/>
    <mergeCell ref="G67:L67"/>
    <mergeCell ref="G87:L87"/>
    <mergeCell ref="G88:L88"/>
    <mergeCell ref="G89:L89"/>
    <mergeCell ref="G90:L90"/>
    <mergeCell ref="G91:L91"/>
    <mergeCell ref="G82:L82"/>
    <mergeCell ref="G83:L83"/>
    <mergeCell ref="G84:L84"/>
    <mergeCell ref="G85:L85"/>
    <mergeCell ref="G86:L86"/>
    <mergeCell ref="G97:L97"/>
    <mergeCell ref="G98:L98"/>
    <mergeCell ref="G99:L99"/>
    <mergeCell ref="G100:L100"/>
    <mergeCell ref="G101:L101"/>
    <mergeCell ref="G92:L92"/>
    <mergeCell ref="G93:L93"/>
    <mergeCell ref="G94:L94"/>
    <mergeCell ref="G95:L95"/>
    <mergeCell ref="G96:L96"/>
    <mergeCell ref="G114:L114"/>
    <mergeCell ref="G107:L107"/>
    <mergeCell ref="G108:L108"/>
    <mergeCell ref="G109:L109"/>
    <mergeCell ref="G110:L110"/>
    <mergeCell ref="G111:L111"/>
    <mergeCell ref="G102:L102"/>
    <mergeCell ref="G103:L103"/>
    <mergeCell ref="G104:L104"/>
    <mergeCell ref="G105:L105"/>
    <mergeCell ref="G106:L106"/>
  </mergeCells>
  <phoneticPr fontId="7" type="noConversion"/>
  <conditionalFormatting sqref="E8:E50 E52:E113">
    <cfRule type="expression" dxfId="25" priority="5">
      <formula>$L$4="no"</formula>
    </cfRule>
  </conditionalFormatting>
  <conditionalFormatting sqref="C8:C113">
    <cfRule type="expression" dxfId="24" priority="3">
      <formula>$L$4="yes"</formula>
    </cfRule>
  </conditionalFormatting>
  <conditionalFormatting sqref="E51">
    <cfRule type="expression" dxfId="23" priority="1">
      <formula>$L$4="no"</formula>
    </cfRule>
  </conditionalFormatting>
  <dataValidations count="1">
    <dataValidation allowBlank="1" sqref="C8:C113"/>
  </dataValidations>
  <printOptions horizontalCentered="1"/>
  <pageMargins left="0.5" right="0.5" top="0.5" bottom="0.5" header="0.5" footer="0.5"/>
  <pageSetup scale="91" orientation="portrait" r:id="rId1"/>
  <headerFooter alignWithMargins="0">
    <oddFooter>&amp;L&amp;8&amp;Z&amp;F</oddFooter>
  </headerFooter>
  <ignoredErrors>
    <ignoredError sqref="G8:L53 C4:C5 H5 K5 L117 C8 G54:L57"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Y63"/>
  <sheetViews>
    <sheetView topLeftCell="F1" workbookViewId="0">
      <selection activeCell="Y4" sqref="Y4"/>
    </sheetView>
  </sheetViews>
  <sheetFormatPr defaultRowHeight="13.2" x14ac:dyDescent="0.25"/>
  <cols>
    <col min="5" max="5" width="53.109375" bestFit="1" customWidth="1"/>
    <col min="9" max="9" width="12.21875" customWidth="1"/>
    <col min="11" max="11" width="13.109375" customWidth="1"/>
    <col min="13" max="13" width="10.109375" bestFit="1" customWidth="1"/>
    <col min="14" max="14" width="2.88671875" customWidth="1"/>
    <col min="16" max="16" width="1.5546875" customWidth="1"/>
    <col min="17" max="17" width="12.6640625" customWidth="1"/>
    <col min="18" max="18" width="1.6640625" customWidth="1"/>
    <col min="25" max="25" width="12.44140625" bestFit="1" customWidth="1"/>
  </cols>
  <sheetData>
    <row r="2" spans="1:25" ht="18" x14ac:dyDescent="0.25">
      <c r="E2" s="97" t="s">
        <v>48</v>
      </c>
      <c r="F2" s="97" t="s">
        <v>112</v>
      </c>
      <c r="H2" s="99" t="s">
        <v>121</v>
      </c>
      <c r="I2" s="99"/>
      <c r="J2" s="99" t="s">
        <v>122</v>
      </c>
      <c r="K2" s="99"/>
      <c r="M2" s="103" t="s">
        <v>116</v>
      </c>
      <c r="O2" s="103" t="s">
        <v>193</v>
      </c>
      <c r="Q2" s="103" t="s">
        <v>115</v>
      </c>
      <c r="S2" s="103" t="s">
        <v>199</v>
      </c>
      <c r="U2" s="51" t="s">
        <v>52</v>
      </c>
      <c r="W2" s="133">
        <v>42675</v>
      </c>
      <c r="Y2" s="51" t="s">
        <v>233</v>
      </c>
    </row>
    <row r="3" spans="1:25" ht="18" x14ac:dyDescent="0.25">
      <c r="A3" s="49" t="s">
        <v>52</v>
      </c>
      <c r="E3" s="96" t="str">
        <f>IF(' Accting USE Data Entry Form'!B11&gt;0,' Accting USE Data Entry Form'!B11,"")</f>
        <v>Proof of equipment order furnace uprade</v>
      </c>
      <c r="F3" s="96">
        <f>' Accting USE Data Entry Form'!A11</f>
        <v>1</v>
      </c>
      <c r="H3" s="100" t="s">
        <v>123</v>
      </c>
      <c r="I3" s="99" t="s">
        <v>124</v>
      </c>
      <c r="J3" s="100" t="s">
        <v>123</v>
      </c>
      <c r="K3" s="99" t="s">
        <v>125</v>
      </c>
      <c r="M3" s="102">
        <f ca="1">TODAY()-7</f>
        <v>42909</v>
      </c>
      <c r="O3" s="104" t="s">
        <v>119</v>
      </c>
      <c r="Q3" s="105" t="s">
        <v>118</v>
      </c>
      <c r="S3" s="104" t="s">
        <v>200</v>
      </c>
      <c r="U3" s="121">
        <v>0</v>
      </c>
      <c r="W3" s="133">
        <v>42705</v>
      </c>
      <c r="Y3" s="160">
        <f>160750/4</f>
        <v>40187.5</v>
      </c>
    </row>
    <row r="4" spans="1:25" ht="18" x14ac:dyDescent="0.25">
      <c r="A4" s="50">
        <v>1</v>
      </c>
      <c r="E4" s="96" t="str">
        <f>IF(' Accting USE Data Entry Form'!B12&gt;0,' Accting USE Data Entry Form'!B12,"")</f>
        <v>Proof of completed furnace uprade</v>
      </c>
      <c r="F4" s="96">
        <f>' Accting USE Data Entry Form'!A12</f>
        <v>2</v>
      </c>
      <c r="H4" s="99" t="s">
        <v>126</v>
      </c>
      <c r="I4" s="99" t="s">
        <v>127</v>
      </c>
      <c r="J4" s="99" t="s">
        <v>126</v>
      </c>
      <c r="K4" s="99" t="s">
        <v>125</v>
      </c>
      <c r="M4" s="102">
        <f ca="1">WORKDAY(M3,1)</f>
        <v>42912</v>
      </c>
      <c r="O4" s="104" t="s">
        <v>120</v>
      </c>
      <c r="Q4" s="105" t="s">
        <v>192</v>
      </c>
      <c r="S4" s="104" t="s">
        <v>201</v>
      </c>
      <c r="U4" s="121">
        <v>2.5000000000000001E-2</v>
      </c>
      <c r="W4" s="133">
        <v>42736</v>
      </c>
    </row>
    <row r="5" spans="1:25" ht="18" x14ac:dyDescent="0.25">
      <c r="A5" s="50">
        <v>0.95</v>
      </c>
      <c r="E5" s="96" t="str">
        <f>IF(' Accting USE Data Entry Form'!B13&gt;0,' Accting USE Data Entry Form'!B13,"")</f>
        <v>Acceptance of Ni doping process - Cav 1 (of 2)</v>
      </c>
      <c r="F5" s="96">
        <f>' Accting USE Data Entry Form'!A13</f>
        <v>3</v>
      </c>
      <c r="H5" s="99" t="s">
        <v>128</v>
      </c>
      <c r="I5" s="99" t="s">
        <v>127</v>
      </c>
      <c r="J5" s="99" t="s">
        <v>128</v>
      </c>
      <c r="K5" s="99" t="s">
        <v>129</v>
      </c>
      <c r="M5" s="102">
        <f t="shared" ref="M5:M23" ca="1" si="0">WORKDAY(M4,1)</f>
        <v>42913</v>
      </c>
      <c r="S5" s="104" t="s">
        <v>202</v>
      </c>
      <c r="U5" s="121">
        <f t="shared" ref="U5:U43" si="1">U4+0.025</f>
        <v>0.05</v>
      </c>
      <c r="W5" s="133">
        <v>42767</v>
      </c>
    </row>
    <row r="6" spans="1:25" ht="18" x14ac:dyDescent="0.25">
      <c r="A6" s="50">
        <v>0.89999999999999991</v>
      </c>
      <c r="E6" s="96" t="str">
        <f>IF(' Accting USE Data Entry Form'!B14&gt;0,' Accting USE Data Entry Form'!B14,"")</f>
        <v>Acceptance of Ni doping process - Cav 2 (of 2)</v>
      </c>
      <c r="F6" s="96">
        <f>' Accting USE Data Entry Form'!A14</f>
        <v>4</v>
      </c>
      <c r="H6" s="99" t="s">
        <v>130</v>
      </c>
      <c r="I6" s="99" t="s">
        <v>124</v>
      </c>
      <c r="J6" s="99" t="s">
        <v>130</v>
      </c>
      <c r="K6" s="99" t="s">
        <v>129</v>
      </c>
      <c r="M6" s="102">
        <f t="shared" ca="1" si="0"/>
        <v>42914</v>
      </c>
      <c r="S6" s="104" t="s">
        <v>203</v>
      </c>
      <c r="U6" s="121">
        <f t="shared" si="1"/>
        <v>7.5000000000000011E-2</v>
      </c>
      <c r="W6" s="133">
        <v>42795</v>
      </c>
    </row>
    <row r="7" spans="1:25" ht="18" x14ac:dyDescent="0.25">
      <c r="A7" s="50">
        <v>0.84999999999999987</v>
      </c>
      <c r="E7" s="96" t="str">
        <f>IF(' Accting USE Data Entry Form'!B15&gt;0,' Accting USE Data Entry Form'!B15,"")</f>
        <v>PH II: Mfg Drawings Accepted by JLab</v>
      </c>
      <c r="F7" s="96">
        <f>' Accting USE Data Entry Form'!A15</f>
        <v>5</v>
      </c>
      <c r="H7" s="99" t="s">
        <v>131</v>
      </c>
      <c r="I7" s="99" t="s">
        <v>132</v>
      </c>
      <c r="J7" s="99" t="s">
        <v>131</v>
      </c>
      <c r="K7" s="99" t="s">
        <v>133</v>
      </c>
      <c r="M7" s="102">
        <f t="shared" ca="1" si="0"/>
        <v>42915</v>
      </c>
      <c r="S7" s="104" t="s">
        <v>204</v>
      </c>
      <c r="U7" s="121">
        <f t="shared" si="1"/>
        <v>0.1</v>
      </c>
      <c r="W7" s="133">
        <v>42826</v>
      </c>
    </row>
    <row r="8" spans="1:25" ht="18" x14ac:dyDescent="0.25">
      <c r="A8" s="50">
        <v>0.79999999999999982</v>
      </c>
      <c r="E8" s="96" t="str">
        <f>IF(' Accting USE Data Entry Form'!B16&gt;0,' Accting USE Data Entry Form'!B16,"")</f>
        <v>PH II: FAs Mech Pre-fab (Deep Draw)</v>
      </c>
      <c r="F8" s="96">
        <f>' Accting USE Data Entry Form'!A16</f>
        <v>6</v>
      </c>
      <c r="H8" s="99" t="s">
        <v>134</v>
      </c>
      <c r="I8" s="99" t="s">
        <v>132</v>
      </c>
      <c r="J8" s="99" t="s">
        <v>134</v>
      </c>
      <c r="K8" s="99" t="s">
        <v>133</v>
      </c>
      <c r="M8" s="102">
        <f t="shared" ca="1" si="0"/>
        <v>42916</v>
      </c>
      <c r="S8" s="104" t="s">
        <v>205</v>
      </c>
      <c r="U8" s="121">
        <f t="shared" si="1"/>
        <v>0.125</v>
      </c>
      <c r="W8" s="133">
        <v>42856</v>
      </c>
    </row>
    <row r="9" spans="1:25" ht="18" x14ac:dyDescent="0.25">
      <c r="A9" s="50">
        <v>0.74999999999999978</v>
      </c>
      <c r="E9" s="96" t="str">
        <f>IF(' Accting USE Data Entry Form'!B17&gt;0,' Accting USE Data Entry Form'!B17,"")</f>
        <v xml:space="preserve">PH III: Mech Pre-Fab Cavities (9-72) </v>
      </c>
      <c r="F9" s="96">
        <f>' Accting USE Data Entry Form'!A17</f>
        <v>7</v>
      </c>
      <c r="H9" s="99" t="s">
        <v>135</v>
      </c>
      <c r="I9" s="99" t="s">
        <v>136</v>
      </c>
      <c r="J9" s="99" t="s">
        <v>135</v>
      </c>
      <c r="K9" s="99" t="s">
        <v>137</v>
      </c>
      <c r="M9" s="102">
        <f t="shared" ca="1" si="0"/>
        <v>42919</v>
      </c>
      <c r="S9" s="104" t="s">
        <v>206</v>
      </c>
      <c r="U9" s="121">
        <f t="shared" si="1"/>
        <v>0.15</v>
      </c>
      <c r="W9" s="133">
        <v>42887</v>
      </c>
    </row>
    <row r="10" spans="1:25" ht="18" x14ac:dyDescent="0.25">
      <c r="A10" s="50">
        <v>0.69999999999999973</v>
      </c>
      <c r="E10" s="96" t="str">
        <f>IF(' Accting USE Data Entry Form'!B18&gt;0,' Accting USE Data Entry Form'!B18,"")</f>
        <v xml:space="preserve">PH III: Mech Pre-Fab Cavities (73-133) </v>
      </c>
      <c r="F10" s="96">
        <f>' Accting USE Data Entry Form'!A18</f>
        <v>8</v>
      </c>
      <c r="H10" s="99" t="s">
        <v>138</v>
      </c>
      <c r="I10" s="99" t="s">
        <v>136</v>
      </c>
      <c r="J10" s="99" t="s">
        <v>138</v>
      </c>
      <c r="K10" s="99" t="s">
        <v>137</v>
      </c>
      <c r="M10" s="102">
        <f t="shared" ca="1" si="0"/>
        <v>42920</v>
      </c>
      <c r="S10" s="104" t="s">
        <v>207</v>
      </c>
      <c r="U10" s="121">
        <f t="shared" si="1"/>
        <v>0.17499999999999999</v>
      </c>
      <c r="W10" s="133">
        <v>42917</v>
      </c>
    </row>
    <row r="11" spans="1:25" ht="18" x14ac:dyDescent="0.25">
      <c r="A11" s="50">
        <v>0.64999999999999969</v>
      </c>
      <c r="E11" s="96" t="str">
        <f>IF(' Accting USE Data Entry Form'!B19&gt;0,' Accting USE Data Entry Form'!B19,"")</f>
        <v xml:space="preserve">PH II: First Articles Deliver &amp; Accept (1-8) </v>
      </c>
      <c r="F11" s="96">
        <f>' Accting USE Data Entry Form'!A19</f>
        <v>9</v>
      </c>
      <c r="H11" s="99" t="s">
        <v>139</v>
      </c>
      <c r="I11" s="99" t="s">
        <v>140</v>
      </c>
      <c r="J11" s="99" t="s">
        <v>139</v>
      </c>
      <c r="K11" s="99" t="s">
        <v>141</v>
      </c>
      <c r="M11" s="102">
        <f t="shared" ca="1" si="0"/>
        <v>42921</v>
      </c>
      <c r="U11" s="121">
        <f t="shared" si="1"/>
        <v>0.19999999999999998</v>
      </c>
      <c r="W11" s="133">
        <v>42948</v>
      </c>
    </row>
    <row r="12" spans="1:25" ht="18" x14ac:dyDescent="0.25">
      <c r="A12" s="50">
        <v>0.59999999999999964</v>
      </c>
      <c r="E12" s="96" t="str">
        <f>IF(' Accting USE Data Entry Form'!B20&gt;0,' Accting USE Data Entry Form'!B20,"")</f>
        <v>PH III:  Deliver &amp; Accept  Cavities (9-12)</v>
      </c>
      <c r="F12" s="96">
        <f>' Accting USE Data Entry Form'!A20</f>
        <v>10</v>
      </c>
      <c r="H12" s="99" t="s">
        <v>142</v>
      </c>
      <c r="I12" s="99" t="s">
        <v>140</v>
      </c>
      <c r="J12" s="99" t="s">
        <v>142</v>
      </c>
      <c r="K12" s="99" t="s">
        <v>141</v>
      </c>
      <c r="M12" s="102">
        <f t="shared" ca="1" si="0"/>
        <v>42922</v>
      </c>
      <c r="U12" s="121">
        <f t="shared" si="1"/>
        <v>0.22499999999999998</v>
      </c>
      <c r="W12" s="133">
        <v>42979</v>
      </c>
    </row>
    <row r="13" spans="1:25" ht="18" x14ac:dyDescent="0.25">
      <c r="A13" s="50">
        <v>0.5499999999999996</v>
      </c>
      <c r="E13" s="96" t="str">
        <f>IF(' Accting USE Data Entry Form'!B21&gt;0,' Accting USE Data Entry Form'!B21,"")</f>
        <v>PH III:  Deliver &amp; Accept  Cavities (13-16)</v>
      </c>
      <c r="F13" s="96">
        <f>' Accting USE Data Entry Form'!A21</f>
        <v>11</v>
      </c>
      <c r="H13" s="99" t="s">
        <v>143</v>
      </c>
      <c r="I13" s="99" t="s">
        <v>144</v>
      </c>
      <c r="J13" s="99" t="s">
        <v>143</v>
      </c>
      <c r="K13" s="99" t="s">
        <v>145</v>
      </c>
      <c r="M13" s="102">
        <f t="shared" ca="1" si="0"/>
        <v>42923</v>
      </c>
      <c r="U13" s="121">
        <f t="shared" si="1"/>
        <v>0.24999999999999997</v>
      </c>
      <c r="W13" s="133">
        <v>43009</v>
      </c>
    </row>
    <row r="14" spans="1:25" ht="18" x14ac:dyDescent="0.25">
      <c r="A14" s="50">
        <v>0.49999999999999961</v>
      </c>
      <c r="E14" s="96" t="str">
        <f>IF(' Accting USE Data Entry Form'!B22&gt;0,' Accting USE Data Entry Form'!B22,"")</f>
        <v>PH III:  Deliver &amp; Accept  Cavities (17-20)</v>
      </c>
      <c r="F14" s="96">
        <f>' Accting USE Data Entry Form'!A22</f>
        <v>12</v>
      </c>
      <c r="H14" s="99" t="s">
        <v>146</v>
      </c>
      <c r="I14" s="99" t="s">
        <v>144</v>
      </c>
      <c r="J14" s="99" t="s">
        <v>146</v>
      </c>
      <c r="K14" s="99" t="s">
        <v>145</v>
      </c>
      <c r="M14" s="102">
        <f t="shared" ca="1" si="0"/>
        <v>42926</v>
      </c>
      <c r="U14" s="121">
        <f t="shared" si="1"/>
        <v>0.27499999999999997</v>
      </c>
      <c r="W14" s="133">
        <v>43040</v>
      </c>
    </row>
    <row r="15" spans="1:25" ht="18" x14ac:dyDescent="0.25">
      <c r="A15" s="50">
        <v>0.44999999999999962</v>
      </c>
      <c r="E15" s="96" t="str">
        <f>IF(' Accting USE Data Entry Form'!B23&gt;0,' Accting USE Data Entry Form'!B23,"")</f>
        <v>PH III:  Deliver &amp; Accept  Cavities (21-24)</v>
      </c>
      <c r="F15" s="96">
        <f>' Accting USE Data Entry Form'!A23</f>
        <v>13</v>
      </c>
      <c r="H15" s="99" t="s">
        <v>147</v>
      </c>
      <c r="I15" s="99" t="s">
        <v>148</v>
      </c>
      <c r="J15" s="99" t="s">
        <v>147</v>
      </c>
      <c r="K15" s="99" t="s">
        <v>149</v>
      </c>
      <c r="M15" s="102">
        <f t="shared" ca="1" si="0"/>
        <v>42927</v>
      </c>
      <c r="U15" s="121">
        <f t="shared" si="1"/>
        <v>0.3</v>
      </c>
      <c r="W15" s="133">
        <v>43070</v>
      </c>
    </row>
    <row r="16" spans="1:25" ht="18" x14ac:dyDescent="0.25">
      <c r="A16" s="50">
        <v>0.39999999999999963</v>
      </c>
      <c r="E16" s="96" t="str">
        <f>IF(' Accting USE Data Entry Form'!B24&gt;0,' Accting USE Data Entry Form'!B24,"")</f>
        <v>PH III:  Deliver &amp; Accept  Cavities (25-28)</v>
      </c>
      <c r="F16" s="96">
        <f>' Accting USE Data Entry Form'!A24</f>
        <v>14</v>
      </c>
      <c r="H16" s="99" t="s">
        <v>150</v>
      </c>
      <c r="I16" s="99" t="s">
        <v>148</v>
      </c>
      <c r="J16" s="99" t="s">
        <v>150</v>
      </c>
      <c r="K16" s="99" t="s">
        <v>149</v>
      </c>
      <c r="M16" s="102">
        <f t="shared" ca="1" si="0"/>
        <v>42928</v>
      </c>
      <c r="U16" s="121">
        <f t="shared" si="1"/>
        <v>0.32500000000000001</v>
      </c>
      <c r="W16" s="133">
        <v>43101</v>
      </c>
    </row>
    <row r="17" spans="1:23" ht="18" x14ac:dyDescent="0.25">
      <c r="A17" s="50">
        <v>0.34999999999999964</v>
      </c>
      <c r="E17" s="96" t="str">
        <f>IF(' Accting USE Data Entry Form'!B25&gt;0,' Accting USE Data Entry Form'!B25,"")</f>
        <v>PH III:  Deliver &amp; Accept  Cavities (29-32)</v>
      </c>
      <c r="F17" s="96">
        <f>' Accting USE Data Entry Form'!A25</f>
        <v>15</v>
      </c>
      <c r="H17" s="99" t="s">
        <v>151</v>
      </c>
      <c r="I17" s="99" t="s">
        <v>152</v>
      </c>
      <c r="J17" s="99" t="s">
        <v>151</v>
      </c>
      <c r="K17" s="99" t="s">
        <v>153</v>
      </c>
      <c r="M17" s="102">
        <f t="shared" ca="1" si="0"/>
        <v>42929</v>
      </c>
      <c r="U17" s="121">
        <f t="shared" si="1"/>
        <v>0.35000000000000003</v>
      </c>
      <c r="W17" s="133">
        <v>43132</v>
      </c>
    </row>
    <row r="18" spans="1:23" ht="18" x14ac:dyDescent="0.25">
      <c r="A18" s="50">
        <v>0.29999999999999966</v>
      </c>
      <c r="E18" s="96" t="str">
        <f>IF(' Accting USE Data Entry Form'!B26&gt;0,' Accting USE Data Entry Form'!B26,"")</f>
        <v>PH III:  Deliver &amp; Accept  Cavities (33-36)</v>
      </c>
      <c r="F18" s="96">
        <f>' Accting USE Data Entry Form'!A26</f>
        <v>16</v>
      </c>
      <c r="H18" s="99" t="s">
        <v>154</v>
      </c>
      <c r="I18" s="99" t="s">
        <v>152</v>
      </c>
      <c r="J18" s="99" t="s">
        <v>154</v>
      </c>
      <c r="K18" s="99" t="s">
        <v>153</v>
      </c>
      <c r="M18" s="102">
        <f t="shared" ca="1" si="0"/>
        <v>42930</v>
      </c>
      <c r="U18" s="121">
        <f t="shared" si="1"/>
        <v>0.37500000000000006</v>
      </c>
      <c r="W18" s="133">
        <v>43160</v>
      </c>
    </row>
    <row r="19" spans="1:23" ht="18" x14ac:dyDescent="0.25">
      <c r="A19" s="50">
        <v>0.24999999999999967</v>
      </c>
      <c r="E19" s="96" t="str">
        <f>IF(' Accting USE Data Entry Form'!B27&gt;0,' Accting USE Data Entry Form'!B27,"")</f>
        <v>PH III:  Deliver &amp; Accept  Cavities (37-40)</v>
      </c>
      <c r="F19" s="96">
        <f>' Accting USE Data Entry Form'!A27</f>
        <v>17</v>
      </c>
      <c r="H19" s="99" t="s">
        <v>155</v>
      </c>
      <c r="I19" s="99" t="s">
        <v>156</v>
      </c>
      <c r="J19" s="99" t="s">
        <v>155</v>
      </c>
      <c r="K19" s="99" t="s">
        <v>157</v>
      </c>
      <c r="M19" s="102">
        <f t="shared" ca="1" si="0"/>
        <v>42933</v>
      </c>
      <c r="U19" s="121">
        <f t="shared" si="1"/>
        <v>0.40000000000000008</v>
      </c>
      <c r="W19" s="133">
        <v>43191</v>
      </c>
    </row>
    <row r="20" spans="1:23" ht="18" x14ac:dyDescent="0.25">
      <c r="A20" s="50">
        <v>0.19999999999999968</v>
      </c>
      <c r="E20" s="96" t="str">
        <f>IF(' Accting USE Data Entry Form'!B28&gt;0,' Accting USE Data Entry Form'!B28,"")</f>
        <v>PH III:  Deliver &amp; Accept  Cavities (41-44)</v>
      </c>
      <c r="F20" s="96">
        <f>' Accting USE Data Entry Form'!A28</f>
        <v>18</v>
      </c>
      <c r="H20" s="99" t="s">
        <v>158</v>
      </c>
      <c r="I20" s="99" t="s">
        <v>156</v>
      </c>
      <c r="J20" s="99" t="s">
        <v>158</v>
      </c>
      <c r="K20" s="99" t="s">
        <v>157</v>
      </c>
      <c r="M20" s="102">
        <f t="shared" ca="1" si="0"/>
        <v>42934</v>
      </c>
      <c r="U20" s="121">
        <f t="shared" si="1"/>
        <v>0.4250000000000001</v>
      </c>
      <c r="W20" s="133">
        <v>43221</v>
      </c>
    </row>
    <row r="21" spans="1:23" ht="18" x14ac:dyDescent="0.25">
      <c r="A21" s="50">
        <v>0.14999999999999969</v>
      </c>
      <c r="E21" s="96" t="str">
        <f>IF(' Accting USE Data Entry Form'!B29&gt;0,' Accting USE Data Entry Form'!B29,"")</f>
        <v>PH III:  Deliver &amp; Accept  Cavities (45-48)</v>
      </c>
      <c r="F21" s="96">
        <f>' Accting USE Data Entry Form'!A29</f>
        <v>19</v>
      </c>
      <c r="H21" s="99" t="s">
        <v>159</v>
      </c>
      <c r="I21" s="99" t="s">
        <v>160</v>
      </c>
      <c r="J21" s="99" t="s">
        <v>159</v>
      </c>
      <c r="K21" s="99" t="s">
        <v>161</v>
      </c>
      <c r="M21" s="102">
        <f t="shared" ca="1" si="0"/>
        <v>42935</v>
      </c>
      <c r="U21" s="121">
        <f t="shared" si="1"/>
        <v>0.45000000000000012</v>
      </c>
      <c r="W21" s="133">
        <v>43252</v>
      </c>
    </row>
    <row r="22" spans="1:23" ht="18" x14ac:dyDescent="0.25">
      <c r="A22" s="50">
        <v>9.9999999999999686E-2</v>
      </c>
      <c r="E22" s="96" t="str">
        <f>IF(' Accting USE Data Entry Form'!B30&gt;0,' Accting USE Data Entry Form'!B30,"")</f>
        <v>PH III:  Deliver &amp; Accept  Cavities (49-52)</v>
      </c>
      <c r="F22" s="96">
        <f>' Accting USE Data Entry Form'!A30</f>
        <v>20</v>
      </c>
      <c r="H22" s="99" t="s">
        <v>162</v>
      </c>
      <c r="I22" s="99" t="s">
        <v>160</v>
      </c>
      <c r="J22" s="99" t="s">
        <v>162</v>
      </c>
      <c r="K22" s="99" t="s">
        <v>163</v>
      </c>
      <c r="M22" s="102">
        <f t="shared" ca="1" si="0"/>
        <v>42936</v>
      </c>
      <c r="U22" s="121">
        <f t="shared" si="1"/>
        <v>0.47500000000000014</v>
      </c>
      <c r="W22" s="133">
        <v>43282</v>
      </c>
    </row>
    <row r="23" spans="1:23" ht="18" x14ac:dyDescent="0.25">
      <c r="A23" s="50">
        <v>4.9999999999999684E-2</v>
      </c>
      <c r="E23" s="96" t="str">
        <f>IF(' Accting USE Data Entry Form'!B31&gt;0,' Accting USE Data Entry Form'!B31,"")</f>
        <v>MOD 002: DESY Equip Refurbishment</v>
      </c>
      <c r="F23" s="96">
        <f>' Accting USE Data Entry Form'!A31</f>
        <v>21</v>
      </c>
      <c r="H23" s="99" t="s">
        <v>164</v>
      </c>
      <c r="I23" s="99" t="s">
        <v>165</v>
      </c>
      <c r="J23" s="99" t="s">
        <v>164</v>
      </c>
      <c r="K23" s="99" t="s">
        <v>166</v>
      </c>
      <c r="M23" s="102">
        <f t="shared" ca="1" si="0"/>
        <v>42937</v>
      </c>
      <c r="U23" s="121">
        <f t="shared" si="1"/>
        <v>0.50000000000000011</v>
      </c>
      <c r="W23" s="133">
        <v>43313</v>
      </c>
    </row>
    <row r="24" spans="1:23" ht="18" x14ac:dyDescent="0.25">
      <c r="A24" s="50">
        <v>-3.1918911957973251E-16</v>
      </c>
      <c r="E24" s="96" t="str">
        <f>IF(' Accting USE Data Entry Form'!B32&gt;0,' Accting USE Data Entry Form'!B32,"")</f>
        <v xml:space="preserve">MOD 002: DESY Equip Service &amp; Support Costs  </v>
      </c>
      <c r="F24" s="96">
        <f>' Accting USE Data Entry Form'!A32</f>
        <v>22</v>
      </c>
      <c r="H24" s="99" t="s">
        <v>167</v>
      </c>
      <c r="I24" s="99" t="s">
        <v>165</v>
      </c>
      <c r="J24" s="99" t="s">
        <v>167</v>
      </c>
      <c r="K24" s="99" t="s">
        <v>166</v>
      </c>
      <c r="U24" s="121">
        <f t="shared" si="1"/>
        <v>0.52500000000000013</v>
      </c>
      <c r="W24" s="133">
        <v>43344</v>
      </c>
    </row>
    <row r="25" spans="1:23" ht="18" x14ac:dyDescent="0.25">
      <c r="E25" s="96" t="str">
        <f>IF(' Accting USE Data Entry Form'!B33&gt;0,' Accting USE Data Entry Form'!B33,"")</f>
        <v>MOD 003: Accel Shipment (1-16) Incentives (Max of $323,136)</v>
      </c>
      <c r="F25" s="96">
        <f>' Accting USE Data Entry Form'!A33</f>
        <v>23</v>
      </c>
      <c r="H25" s="99" t="s">
        <v>168</v>
      </c>
      <c r="I25" s="99" t="s">
        <v>169</v>
      </c>
      <c r="J25" s="99" t="s">
        <v>168</v>
      </c>
      <c r="K25" s="99" t="s">
        <v>170</v>
      </c>
      <c r="U25" s="121">
        <f t="shared" si="1"/>
        <v>0.55000000000000016</v>
      </c>
    </row>
    <row r="26" spans="1:23" ht="18" x14ac:dyDescent="0.25">
      <c r="E26" s="96" t="str">
        <f>IF(' Accting USE Data Entry Form'!B34&gt;0,' Accting USE Data Entry Form'!B34,"")</f>
        <v>MOD 004: Incentives for Accelerated Production Deliveries</v>
      </c>
      <c r="F26" s="96">
        <f>' Accting USE Data Entry Form'!A34</f>
        <v>24</v>
      </c>
      <c r="H26" s="99" t="s">
        <v>171</v>
      </c>
      <c r="I26" s="99" t="s">
        <v>169</v>
      </c>
      <c r="J26" s="99" t="s">
        <v>171</v>
      </c>
      <c r="K26" s="99" t="s">
        <v>170</v>
      </c>
      <c r="U26" s="121">
        <f t="shared" si="1"/>
        <v>0.57500000000000018</v>
      </c>
    </row>
    <row r="27" spans="1:23" ht="18" x14ac:dyDescent="0.25">
      <c r="E27" s="96" t="str">
        <f>IF(' Accting USE Data Entry Form'!B35&gt;0,' Accting USE Data Entry Form'!B35,"")</f>
        <v>MOD 005: DESY Equipment Lease ($9,200/ month)</v>
      </c>
      <c r="F27" s="96">
        <f>' Accting USE Data Entry Form'!A35</f>
        <v>25</v>
      </c>
      <c r="H27" s="99" t="s">
        <v>172</v>
      </c>
      <c r="I27" s="99" t="s">
        <v>173</v>
      </c>
      <c r="J27" s="99" t="s">
        <v>172</v>
      </c>
      <c r="K27" s="99" t="s">
        <v>174</v>
      </c>
      <c r="U27" s="121">
        <f t="shared" si="1"/>
        <v>0.6000000000000002</v>
      </c>
    </row>
    <row r="28" spans="1:23" ht="18" x14ac:dyDescent="0.25">
      <c r="E28" s="96" t="str">
        <f>IF(' Accting USE Data Entry Form'!B36&gt;0,' Accting USE Data Entry Form'!B36,"")</f>
        <v>PH III:  Deliver &amp; Accept  Cavities (53-56)</v>
      </c>
      <c r="F28" s="96">
        <f>' Accting USE Data Entry Form'!A36</f>
        <v>26</v>
      </c>
      <c r="H28" s="99" t="s">
        <v>175</v>
      </c>
      <c r="I28" s="99" t="s">
        <v>173</v>
      </c>
      <c r="J28" s="99" t="s">
        <v>175</v>
      </c>
      <c r="K28" s="99" t="s">
        <v>174</v>
      </c>
      <c r="U28" s="121">
        <f t="shared" si="1"/>
        <v>0.62500000000000022</v>
      </c>
    </row>
    <row r="29" spans="1:23" ht="18" x14ac:dyDescent="0.25">
      <c r="E29" s="96" t="str">
        <f>IF(' Accting USE Data Entry Form'!B37&gt;0,' Accting USE Data Entry Form'!B37,"")</f>
        <v>PH III:  Deliver &amp; Accept  Cavities (57-60)</v>
      </c>
      <c r="F29" s="96">
        <f>' Accting USE Data Entry Form'!A37</f>
        <v>27</v>
      </c>
      <c r="H29" s="99" t="s">
        <v>176</v>
      </c>
      <c r="I29" s="99" t="s">
        <v>177</v>
      </c>
      <c r="J29" s="99" t="s">
        <v>176</v>
      </c>
      <c r="K29" s="99" t="s">
        <v>178</v>
      </c>
      <c r="U29" s="121">
        <f t="shared" si="1"/>
        <v>0.65000000000000024</v>
      </c>
    </row>
    <row r="30" spans="1:23" ht="18" x14ac:dyDescent="0.25">
      <c r="E30" s="96" t="str">
        <f>IF(' Accting USE Data Entry Form'!B38&gt;0,' Accting USE Data Entry Form'!B38,"")</f>
        <v>PH III:  Deliver &amp; Accept  Cavities (61-64)</v>
      </c>
      <c r="F30" s="96">
        <f>' Accting USE Data Entry Form'!A38</f>
        <v>28</v>
      </c>
      <c r="H30" s="99" t="s">
        <v>179</v>
      </c>
      <c r="I30" s="99" t="s">
        <v>177</v>
      </c>
      <c r="J30" s="99" t="s">
        <v>179</v>
      </c>
      <c r="K30" s="99" t="s">
        <v>178</v>
      </c>
      <c r="U30" s="121">
        <f t="shared" si="1"/>
        <v>0.67500000000000027</v>
      </c>
    </row>
    <row r="31" spans="1:23" ht="18" x14ac:dyDescent="0.25">
      <c r="E31" s="96" t="str">
        <f>IF(' Accting USE Data Entry Form'!B39&gt;0,' Accting USE Data Entry Form'!B39,"")</f>
        <v>PH III:  Deliver &amp; Accept  Cavities (65-68)</v>
      </c>
      <c r="F31" s="96">
        <f>' Accting USE Data Entry Form'!A39</f>
        <v>29</v>
      </c>
      <c r="H31" s="99" t="s">
        <v>180</v>
      </c>
      <c r="I31" s="99" t="s">
        <v>181</v>
      </c>
      <c r="J31" s="99" t="s">
        <v>180</v>
      </c>
      <c r="K31" s="99" t="s">
        <v>182</v>
      </c>
      <c r="U31" s="121">
        <f t="shared" si="1"/>
        <v>0.70000000000000029</v>
      </c>
    </row>
    <row r="32" spans="1:23" ht="18" x14ac:dyDescent="0.25">
      <c r="E32" s="96" t="str">
        <f>IF(' Accting USE Data Entry Form'!B40&gt;0,' Accting USE Data Entry Form'!B40,"")</f>
        <v>PH III:  Deliver &amp; Accept  Cavities (69-72)</v>
      </c>
      <c r="F32" s="96">
        <f>' Accting USE Data Entry Form'!A40</f>
        <v>30</v>
      </c>
      <c r="H32" s="99" t="s">
        <v>183</v>
      </c>
      <c r="I32" s="99" t="s">
        <v>181</v>
      </c>
      <c r="J32" s="99" t="s">
        <v>183</v>
      </c>
      <c r="K32" s="99" t="s">
        <v>182</v>
      </c>
      <c r="U32" s="121">
        <f t="shared" si="1"/>
        <v>0.72500000000000031</v>
      </c>
    </row>
    <row r="33" spans="5:21" ht="18" x14ac:dyDescent="0.25">
      <c r="E33" s="96" t="str">
        <f>IF(' Accting USE Data Entry Form'!B41&gt;0,' Accting USE Data Entry Form'!B41,"")</f>
        <v>PH III:  Deliver &amp; Accept  Cavities (73-76)</v>
      </c>
      <c r="F33" s="96">
        <f>' Accting USE Data Entry Form'!A41</f>
        <v>31</v>
      </c>
      <c r="H33" s="99" t="s">
        <v>184</v>
      </c>
      <c r="I33" s="99" t="s">
        <v>185</v>
      </c>
      <c r="J33" s="99" t="s">
        <v>184</v>
      </c>
      <c r="K33" s="99" t="s">
        <v>186</v>
      </c>
      <c r="U33" s="121">
        <f t="shared" si="1"/>
        <v>0.75000000000000033</v>
      </c>
    </row>
    <row r="34" spans="5:21" ht="18" x14ac:dyDescent="0.25">
      <c r="E34" s="96" t="str">
        <f>IF(' Accting USE Data Entry Form'!B42&gt;0,' Accting USE Data Entry Form'!B42,"")</f>
        <v>PH III:  Deliver &amp; Accept  Cavities (77-80)</v>
      </c>
      <c r="F34" s="96">
        <f>' Accting USE Data Entry Form'!A42</f>
        <v>32</v>
      </c>
      <c r="H34" s="99" t="s">
        <v>187</v>
      </c>
      <c r="I34" s="99" t="s">
        <v>185</v>
      </c>
      <c r="J34" s="99" t="s">
        <v>187</v>
      </c>
      <c r="K34" s="99" t="s">
        <v>186</v>
      </c>
      <c r="U34" s="121">
        <f t="shared" si="1"/>
        <v>0.77500000000000036</v>
      </c>
    </row>
    <row r="35" spans="5:21" ht="18" x14ac:dyDescent="0.25">
      <c r="E35" s="96" t="str">
        <f>IF(' Accting USE Data Entry Form'!B43&gt;0,' Accting USE Data Entry Form'!B43,"")</f>
        <v>PH III:  Deliver &amp; Accept  Cavities (81-84)</v>
      </c>
      <c r="F35" s="96">
        <f>' Accting USE Data Entry Form'!A43</f>
        <v>33</v>
      </c>
      <c r="H35" s="99" t="s">
        <v>188</v>
      </c>
      <c r="I35" s="99" t="s">
        <v>189</v>
      </c>
      <c r="J35" s="99" t="s">
        <v>190</v>
      </c>
      <c r="K35" s="99" t="s">
        <v>189</v>
      </c>
      <c r="U35" s="121">
        <f t="shared" si="1"/>
        <v>0.80000000000000038</v>
      </c>
    </row>
    <row r="36" spans="5:21" ht="18" x14ac:dyDescent="0.25">
      <c r="E36" s="96" t="str">
        <f>IF(' Accting USE Data Entry Form'!B44&gt;0,' Accting USE Data Entry Form'!B44,"")</f>
        <v>PH III:  Deliver &amp; Accept  Cavities (85-88)</v>
      </c>
      <c r="F36" s="96">
        <f>' Accting USE Data Entry Form'!A44</f>
        <v>34</v>
      </c>
      <c r="H36" s="99" t="s">
        <v>191</v>
      </c>
      <c r="I36" s="99" t="s">
        <v>189</v>
      </c>
      <c r="J36" s="99"/>
      <c r="K36" s="99"/>
      <c r="U36" s="121">
        <f t="shared" si="1"/>
        <v>0.8250000000000004</v>
      </c>
    </row>
    <row r="37" spans="5:21" x14ac:dyDescent="0.25">
      <c r="E37" s="96" t="str">
        <f>IF(' Accting USE Data Entry Form'!B45&gt;0,' Accting USE Data Entry Form'!B45,"")</f>
        <v>PH III:  Deliver &amp; Accept  Cavities (89-92)</v>
      </c>
      <c r="F37" s="96">
        <f>' Accting USE Data Entry Form'!A45</f>
        <v>35</v>
      </c>
      <c r="U37" s="121">
        <f t="shared" si="1"/>
        <v>0.85000000000000042</v>
      </c>
    </row>
    <row r="38" spans="5:21" x14ac:dyDescent="0.25">
      <c r="E38" s="96" t="str">
        <f>IF(' Accting USE Data Entry Form'!B46&gt;0,' Accting USE Data Entry Form'!B46,"")</f>
        <v>PH III:  Deliver &amp; Accept  Cavities (93-96)</v>
      </c>
      <c r="F38" s="96">
        <f>' Accting USE Data Entry Form'!A46</f>
        <v>36</v>
      </c>
      <c r="U38" s="121">
        <f t="shared" si="1"/>
        <v>0.87500000000000044</v>
      </c>
    </row>
    <row r="39" spans="5:21" x14ac:dyDescent="0.25">
      <c r="E39" s="96" t="str">
        <f>IF(' Accting USE Data Entry Form'!B47&gt;0,' Accting USE Data Entry Form'!B47,"")</f>
        <v>PH III:  Deliver &amp; Accept  Cavities (97-100)</v>
      </c>
      <c r="F39" s="96">
        <f>' Accting USE Data Entry Form'!A47</f>
        <v>37</v>
      </c>
      <c r="U39" s="121">
        <f t="shared" si="1"/>
        <v>0.90000000000000047</v>
      </c>
    </row>
    <row r="40" spans="5:21" x14ac:dyDescent="0.25">
      <c r="E40" s="96" t="str">
        <f>IF(' Accting USE Data Entry Form'!B48&gt;0,' Accting USE Data Entry Form'!B48,"")</f>
        <v>PH III:  Deliver &amp; Accept  Cavities (101-104)</v>
      </c>
      <c r="F40" s="96">
        <f>' Accting USE Data Entry Form'!A48</f>
        <v>38</v>
      </c>
      <c r="U40" s="121">
        <f t="shared" si="1"/>
        <v>0.92500000000000049</v>
      </c>
    </row>
    <row r="41" spans="5:21" x14ac:dyDescent="0.25">
      <c r="E41" s="96" t="str">
        <f>IF(' Accting USE Data Entry Form'!B49&gt;0,' Accting USE Data Entry Form'!B49,"")</f>
        <v>PH III:  Deliver &amp; Accept  Cavities (105-108)</v>
      </c>
      <c r="F41" s="96">
        <f>' Accting USE Data Entry Form'!A49</f>
        <v>39</v>
      </c>
      <c r="U41" s="121">
        <f t="shared" si="1"/>
        <v>0.95000000000000051</v>
      </c>
    </row>
    <row r="42" spans="5:21" x14ac:dyDescent="0.25">
      <c r="E42" s="96" t="str">
        <f>IF(' Accting USE Data Entry Form'!B50&gt;0,' Accting USE Data Entry Form'!B50,"")</f>
        <v>PH III:  Deliver &amp; Accept  Cavities (109-112)</v>
      </c>
      <c r="F42" s="96">
        <f>' Accting USE Data Entry Form'!A50</f>
        <v>40</v>
      </c>
      <c r="U42" s="121">
        <f t="shared" si="1"/>
        <v>0.97500000000000053</v>
      </c>
    </row>
    <row r="43" spans="5:21" x14ac:dyDescent="0.25">
      <c r="E43" s="96" t="str">
        <f>IF(' Accting USE Data Entry Form'!B51&gt;0,' Accting USE Data Entry Form'!B51,"")</f>
        <v>PH III:  Deliver &amp; Accept  Cavities (113-116)</v>
      </c>
      <c r="F43" s="96">
        <f>' Accting USE Data Entry Form'!A51</f>
        <v>41</v>
      </c>
      <c r="U43" s="121">
        <f t="shared" si="1"/>
        <v>1.0000000000000004</v>
      </c>
    </row>
    <row r="44" spans="5:21" x14ac:dyDescent="0.25">
      <c r="E44" s="96" t="str">
        <f>IF(' Accting USE Data Entry Form'!B52&gt;0,' Accting USE Data Entry Form'!B52,"")</f>
        <v>PH III:  Deliver &amp; Accept  Cavities (117-120)</v>
      </c>
      <c r="F44" s="96">
        <f>' Accting USE Data Entry Form'!A52</f>
        <v>42</v>
      </c>
    </row>
    <row r="45" spans="5:21" x14ac:dyDescent="0.25">
      <c r="E45" s="96" t="str">
        <f>IF(' Accting USE Data Entry Form'!B53&gt;0,' Accting USE Data Entry Form'!B53,"")</f>
        <v>PH III:  Deliver &amp; Accept  Cavities (121-124)</v>
      </c>
      <c r="F45" s="96">
        <f>' Accting USE Data Entry Form'!A53</f>
        <v>43</v>
      </c>
    </row>
    <row r="46" spans="5:21" x14ac:dyDescent="0.25">
      <c r="E46" s="96" t="str">
        <f>IF(' Accting USE Data Entry Form'!B54&gt;0,' Accting USE Data Entry Form'!B54,"")</f>
        <v>PH III:  Deliver &amp; Accept  Cavities (125-128)</v>
      </c>
      <c r="F46" s="96">
        <f>' Accting USE Data Entry Form'!A54</f>
        <v>44</v>
      </c>
    </row>
    <row r="47" spans="5:21" x14ac:dyDescent="0.25">
      <c r="E47" s="96" t="str">
        <f>IF(' Accting USE Data Entry Form'!B55&gt;0,' Accting USE Data Entry Form'!B55,"")</f>
        <v>PH III:  Deliver &amp; Accept  Cavities (129-133)</v>
      </c>
      <c r="F47" s="96">
        <f>' Accting USE Data Entry Form'!A55</f>
        <v>45</v>
      </c>
    </row>
    <row r="48" spans="5:21" x14ac:dyDescent="0.25">
      <c r="E48" s="96" t="str">
        <f>IF(' Accting USE Data Entry Form'!B56&gt;0,' Accting USE Data Entry Form'!B56,"")</f>
        <v>MOD 007: LCLS-II R&amp;D Cavities (4)</v>
      </c>
      <c r="F48" s="96">
        <f>' Accting USE Data Entry Form'!A56</f>
        <v>46</v>
      </c>
    </row>
    <row r="49" spans="5:6" x14ac:dyDescent="0.25">
      <c r="E49" s="96" t="str">
        <f>IF(' Accting USE Data Entry Form'!B57&gt;0,' Accting USE Data Entry Form'!B57,"")</f>
        <v>MOD 008: CTM Spare Parts</v>
      </c>
      <c r="F49" s="96" t="e">
        <f>' Accting USE Data Entry Form'!#REF!</f>
        <v>#REF!</v>
      </c>
    </row>
    <row r="50" spans="5:6" x14ac:dyDescent="0.25">
      <c r="E50" s="96" t="str">
        <f>IF(' Accting USE Data Entry Form'!B58&gt;0,' Accting USE Data Entry Form'!B58,"")</f>
        <v>MOD 009: Recipe Modification (21-133) ($4283.18/cavity)</v>
      </c>
      <c r="F50" s="96" t="e">
        <f>' Accting USE Data Entry Form'!#REF!</f>
        <v>#REF!</v>
      </c>
    </row>
    <row r="51" spans="5:6" x14ac:dyDescent="0.25">
      <c r="E51" s="96" t="str">
        <f>IF(' Accting USE Data Entry Form'!B59&gt;0,' Accting USE Data Entry Form'!B59,"")</f>
        <v xml:space="preserve">MOD 010: Niobium Caps $490.00/ea (Cavs 17-133)  </v>
      </c>
      <c r="F51" s="96">
        <f>' Accting USE Data Entry Form'!A107</f>
        <v>0</v>
      </c>
    </row>
    <row r="52" spans="5:6" x14ac:dyDescent="0.25">
      <c r="E52" s="96" t="e">
        <f>IF(' Accting USE Data Entry Form'!#REF!&gt;0,' Accting USE Data Entry Form'!#REF!,"")</f>
        <v>#REF!</v>
      </c>
      <c r="F52" s="96" t="str">
        <f>' Accting USE Data Entry Form'!A109</f>
        <v>Procurement Entered By:  ________________________________________________________________</v>
      </c>
    </row>
    <row r="53" spans="5:6" x14ac:dyDescent="0.25">
      <c r="E53" s="96" t="e">
        <f>IF(' Accting USE Data Entry Form'!#REF!&gt;0,' Accting USE Data Entry Form'!#REF!,"")</f>
        <v>#REF!</v>
      </c>
      <c r="F53" s="96">
        <f>' Accting USE Data Entry Form'!A110</f>
        <v>0</v>
      </c>
    </row>
    <row r="54" spans="5:6" x14ac:dyDescent="0.25">
      <c r="E54" s="96" t="str">
        <f>IF(' Accting USE Data Entry Form'!B107&gt;0,' Accting USE Data Entry Form'!B107,"")</f>
        <v/>
      </c>
      <c r="F54" s="96">
        <f>' Accting USE Data Entry Form'!A111</f>
        <v>0</v>
      </c>
    </row>
    <row r="55" spans="5:6" x14ac:dyDescent="0.25">
      <c r="E55" s="96" t="str">
        <f>IF(' Accting USE Data Entry Form'!B109&gt;0,' Accting USE Data Entry Form'!B109,"")</f>
        <v/>
      </c>
      <c r="F55" s="96" t="str">
        <f>' Accting USE Data Entry Form'!A112</f>
        <v>Procurement Data Entry Verified By:  _______________________________________________________</v>
      </c>
    </row>
    <row r="56" spans="5:6" x14ac:dyDescent="0.25">
      <c r="E56" s="96" t="str">
        <f>IF(' Accting USE Data Entry Form'!B110&gt;0,' Accting USE Data Entry Form'!B110,"")</f>
        <v/>
      </c>
      <c r="F56" s="96">
        <f>' Accting USE Data Entry Form'!A113</f>
        <v>0</v>
      </c>
    </row>
    <row r="57" spans="5:6" x14ac:dyDescent="0.25">
      <c r="E57" s="96" t="str">
        <f>IF(' Accting USE Data Entry Form'!B111&gt;0,' Accting USE Data Entry Form'!B111,"")</f>
        <v/>
      </c>
      <c r="F57" s="96">
        <f>' Accting USE Data Entry Form'!A114</f>
        <v>0</v>
      </c>
    </row>
    <row r="58" spans="5:6" x14ac:dyDescent="0.25">
      <c r="E58" s="96" t="str">
        <f>IF(' Accting USE Data Entry Form'!B112&gt;0,' Accting USE Data Entry Form'!B112,"")</f>
        <v/>
      </c>
      <c r="F58" s="96">
        <f>' Accting USE Data Entry Form'!A115</f>
        <v>0</v>
      </c>
    </row>
    <row r="59" spans="5:6" x14ac:dyDescent="0.25">
      <c r="E59" s="96" t="str">
        <f>IF(' Accting USE Data Entry Form'!B113&gt;0,' Accting USE Data Entry Form'!B113,"")</f>
        <v/>
      </c>
      <c r="F59" s="96">
        <f>' Accting USE Data Entry Form'!A116</f>
        <v>0</v>
      </c>
    </row>
    <row r="60" spans="5:6" x14ac:dyDescent="0.25">
      <c r="E60" s="96" t="str">
        <f>IF(' Accting USE Data Entry Form'!B114&gt;0,' Accting USE Data Entry Form'!B114,"")</f>
        <v/>
      </c>
      <c r="F60" s="96">
        <f>' Accting USE Data Entry Form'!A117</f>
        <v>0</v>
      </c>
    </row>
    <row r="61" spans="5:6" x14ac:dyDescent="0.25">
      <c r="E61" s="96" t="str">
        <f>IF(' Accting USE Data Entry Form'!B115&gt;0,' Accting USE Data Entry Form'!B115,"")</f>
        <v/>
      </c>
      <c r="F61" s="96">
        <f>' Accting USE Data Entry Form'!A118</f>
        <v>0</v>
      </c>
    </row>
    <row r="62" spans="5:6" x14ac:dyDescent="0.25">
      <c r="E62" s="96" t="str">
        <f>IF(' Accting USE Data Entry Form'!B116&gt;0,' Accting USE Data Entry Form'!B116,"")</f>
        <v/>
      </c>
      <c r="F62" s="96">
        <f>' Accting USE Data Entry Form'!A119</f>
        <v>0</v>
      </c>
    </row>
    <row r="63" spans="5:6" x14ac:dyDescent="0.25">
      <c r="F63" s="96">
        <f>' Accting USE Data Entry Form'!A120</f>
        <v>0</v>
      </c>
    </row>
  </sheetData>
  <autoFilter ref="E2:F62">
    <sortState ref="E3:F62">
      <sortCondition ref="F2:F62"/>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2"/>
  <sheetViews>
    <sheetView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335"/>
      <c r="B1" s="335"/>
      <c r="C1" s="335"/>
      <c r="D1" s="335"/>
      <c r="E1" s="335"/>
      <c r="F1" s="335"/>
      <c r="G1" s="335"/>
      <c r="H1" s="335"/>
    </row>
    <row r="2" spans="1:11" ht="15.6" x14ac:dyDescent="0.3">
      <c r="A2" s="336" t="s">
        <v>4</v>
      </c>
      <c r="B2" s="336"/>
      <c r="C2" s="336"/>
      <c r="D2" s="336"/>
      <c r="E2" s="336"/>
      <c r="F2" s="336"/>
      <c r="G2" s="336"/>
      <c r="H2" s="336"/>
      <c r="I2" s="336"/>
      <c r="J2" s="336"/>
    </row>
    <row r="3" spans="1:11" ht="15.6" x14ac:dyDescent="0.3">
      <c r="A3" s="336" t="s">
        <v>34</v>
      </c>
      <c r="B3" s="336"/>
      <c r="C3" s="336"/>
      <c r="D3" s="336"/>
      <c r="E3" s="336"/>
      <c r="F3" s="336"/>
      <c r="G3" s="336"/>
      <c r="H3" s="336"/>
      <c r="I3" s="336"/>
      <c r="J3" s="336"/>
    </row>
    <row r="4" spans="1:11" ht="15.6" x14ac:dyDescent="0.3">
      <c r="A4" s="336" t="s">
        <v>44</v>
      </c>
      <c r="B4" s="336"/>
      <c r="C4" s="336"/>
      <c r="D4" s="336"/>
      <c r="E4" s="336"/>
      <c r="F4" s="336"/>
      <c r="G4" s="336"/>
      <c r="H4" s="336"/>
      <c r="I4" s="336"/>
      <c r="J4" s="336"/>
    </row>
    <row r="6" spans="1:11" ht="30.75" customHeight="1" x14ac:dyDescent="0.25">
      <c r="A6" s="337" t="s">
        <v>37</v>
      </c>
      <c r="B6" s="338"/>
      <c r="C6" s="338"/>
      <c r="D6" s="338"/>
      <c r="E6" s="338"/>
      <c r="F6" s="338"/>
      <c r="G6" s="338"/>
      <c r="H6" s="338"/>
      <c r="I6" s="338"/>
      <c r="J6" s="338"/>
    </row>
    <row r="7" spans="1:11" ht="19.5" customHeight="1" x14ac:dyDescent="0.25"/>
    <row r="8" spans="1:11" ht="16.5" customHeight="1" x14ac:dyDescent="0.25">
      <c r="A8" s="33" t="s">
        <v>35</v>
      </c>
      <c r="B8" s="32"/>
      <c r="C8" s="32"/>
      <c r="D8" s="32"/>
      <c r="E8" s="32"/>
      <c r="F8" s="32"/>
      <c r="G8" s="32"/>
      <c r="H8" s="32"/>
    </row>
    <row r="9" spans="1:11" ht="19.5" customHeight="1" x14ac:dyDescent="0.25"/>
    <row r="10" spans="1:11" ht="30.75" customHeight="1" x14ac:dyDescent="0.25">
      <c r="A10" s="337" t="s">
        <v>36</v>
      </c>
      <c r="B10" s="338"/>
      <c r="C10" s="338"/>
      <c r="D10" s="338"/>
      <c r="E10" s="338"/>
      <c r="F10" s="338"/>
      <c r="G10" s="338"/>
      <c r="H10" s="338"/>
      <c r="I10" s="338"/>
      <c r="J10" s="338"/>
    </row>
    <row r="11" spans="1:11" ht="65.25" customHeight="1" x14ac:dyDescent="0.25">
      <c r="B11" s="337" t="s">
        <v>46</v>
      </c>
      <c r="C11" s="338"/>
      <c r="D11" s="338"/>
      <c r="E11" s="338"/>
      <c r="F11" s="338"/>
      <c r="G11" s="338"/>
      <c r="H11" s="338"/>
      <c r="I11" s="338"/>
      <c r="J11" s="35"/>
      <c r="K11" s="35"/>
    </row>
    <row r="12" spans="1:11" ht="19.5" customHeight="1" x14ac:dyDescent="0.25">
      <c r="A12" s="2"/>
      <c r="B12" s="2"/>
      <c r="C12" s="2"/>
      <c r="D12" s="2"/>
      <c r="E12" s="2"/>
      <c r="F12" s="2"/>
      <c r="G12" s="2"/>
      <c r="H12" s="2"/>
    </row>
    <row r="13" spans="1:11" ht="43.5" customHeight="1" x14ac:dyDescent="0.25">
      <c r="A13" s="337" t="s">
        <v>43</v>
      </c>
      <c r="B13" s="337"/>
      <c r="C13" s="337"/>
      <c r="D13" s="337"/>
      <c r="E13" s="337"/>
      <c r="F13" s="337"/>
      <c r="G13" s="337"/>
      <c r="H13" s="337"/>
      <c r="I13" s="337"/>
      <c r="J13" s="337"/>
    </row>
    <row r="14" spans="1:11" ht="19.5" customHeight="1" x14ac:dyDescent="0.25">
      <c r="A14" s="2"/>
      <c r="B14" s="2"/>
      <c r="C14" s="2"/>
      <c r="D14" s="2"/>
      <c r="E14" s="2"/>
      <c r="F14" s="2"/>
      <c r="G14" s="2"/>
      <c r="H14" s="2"/>
    </row>
    <row r="15" spans="1:11" ht="54.75" customHeight="1" x14ac:dyDescent="0.25">
      <c r="A15" s="337" t="s">
        <v>38</v>
      </c>
      <c r="B15" s="340"/>
      <c r="C15" s="340"/>
      <c r="D15" s="340"/>
      <c r="E15" s="340"/>
      <c r="F15" s="340"/>
      <c r="G15" s="340"/>
      <c r="H15" s="340"/>
      <c r="I15" s="340"/>
      <c r="J15" s="340"/>
    </row>
    <row r="16" spans="1:11" ht="19.5" customHeight="1" x14ac:dyDescent="0.25"/>
    <row r="17" spans="1:10" ht="39" customHeight="1" x14ac:dyDescent="0.25">
      <c r="A17" s="339" t="s">
        <v>39</v>
      </c>
      <c r="B17" s="341"/>
      <c r="C17" s="341"/>
      <c r="D17" s="341"/>
      <c r="E17" s="341"/>
      <c r="F17" s="341"/>
      <c r="G17" s="341"/>
      <c r="H17" s="341"/>
      <c r="I17" s="341"/>
      <c r="J17" s="341"/>
    </row>
    <row r="18" spans="1:10" ht="19.5" customHeight="1" x14ac:dyDescent="0.25"/>
    <row r="19" spans="1:10" ht="56.25" customHeight="1" x14ac:dyDescent="0.25">
      <c r="A19" s="339" t="s">
        <v>40</v>
      </c>
      <c r="B19" s="341"/>
      <c r="C19" s="341"/>
      <c r="D19" s="341"/>
      <c r="E19" s="341"/>
      <c r="F19" s="341"/>
      <c r="G19" s="341"/>
      <c r="H19" s="341"/>
      <c r="I19" s="341"/>
      <c r="J19" s="341"/>
    </row>
    <row r="20" spans="1:10" ht="20.25" customHeight="1" x14ac:dyDescent="0.25"/>
    <row r="21" spans="1:10" ht="27.75" customHeight="1" x14ac:dyDescent="0.25">
      <c r="A21" s="339" t="s">
        <v>20</v>
      </c>
      <c r="B21" s="339"/>
      <c r="C21" s="339"/>
      <c r="D21" s="339"/>
      <c r="E21" s="339"/>
      <c r="F21" s="339"/>
      <c r="G21" s="339"/>
      <c r="H21" s="339"/>
      <c r="I21" s="339"/>
      <c r="J21" s="339"/>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pageSetUpPr fitToPage="1"/>
  </sheetPr>
  <dimension ref="A1:AA117"/>
  <sheetViews>
    <sheetView showGridLines="0" zoomScale="85" zoomScaleNormal="85" workbookViewId="0">
      <pane xSplit="2" ySplit="10" topLeftCell="L83" activePane="bottomRight" state="frozen"/>
      <selection activeCell="O5" sqref="O5"/>
      <selection pane="topRight" activeCell="O5" sqref="O5"/>
      <selection pane="bottomLeft" activeCell="O5" sqref="O5"/>
      <selection pane="bottomRight" activeCell="R98" sqref="R98"/>
    </sheetView>
  </sheetViews>
  <sheetFormatPr defaultColWidth="29.5546875" defaultRowHeight="13.2" outlineLevelCol="1" x14ac:dyDescent="0.25"/>
  <cols>
    <col min="1" max="1" width="14.44140625" style="59" customWidth="1"/>
    <col min="2" max="2" width="44.5546875" style="51" customWidth="1"/>
    <col min="3" max="3" width="52" style="51" hidden="1" customWidth="1"/>
    <col min="4" max="4" width="29.77734375" style="51" customWidth="1"/>
    <col min="5" max="5" width="13.6640625" style="51" customWidth="1"/>
    <col min="6" max="6" width="13.5546875" style="51" hidden="1" customWidth="1"/>
    <col min="7" max="7" width="12.5546875" style="51" customWidth="1" outlineLevel="1"/>
    <col min="8" max="8" width="15.44140625" style="51" customWidth="1" outlineLevel="1"/>
    <col min="9" max="9" width="12.5546875" style="51" customWidth="1" outlineLevel="1"/>
    <col min="10" max="10" width="12.5546875" style="161" customWidth="1" outlineLevel="1"/>
    <col min="11" max="11" width="13.33203125" style="51" customWidth="1" outlineLevel="1"/>
    <col min="12" max="12" width="13.77734375" style="51" customWidth="1" outlineLevel="1"/>
    <col min="13" max="13" width="16.77734375" style="51" customWidth="1" outlineLevel="1"/>
    <col min="14" max="18" width="12.5546875" style="51" customWidth="1" outlineLevel="1"/>
    <col min="19" max="20" width="13" style="184" customWidth="1" outlineLevel="1"/>
    <col min="21" max="21" width="12.5546875" style="51" customWidth="1"/>
    <col min="22" max="22" width="10" style="184" customWidth="1"/>
    <col min="23" max="25" width="12.33203125" style="182" customWidth="1"/>
    <col min="26" max="26" width="11.33203125" style="182" customWidth="1"/>
    <col min="27" max="16384" width="29.5546875" style="51"/>
  </cols>
  <sheetData>
    <row r="1" spans="1:27" ht="20.399999999999999" x14ac:dyDescent="0.35">
      <c r="A1" s="267" t="s">
        <v>4</v>
      </c>
      <c r="B1" s="268"/>
      <c r="C1" s="268"/>
      <c r="D1" s="268"/>
      <c r="E1" s="271"/>
      <c r="F1" s="270"/>
      <c r="G1" s="268"/>
      <c r="H1" s="268"/>
      <c r="I1" s="268"/>
      <c r="J1" s="268"/>
      <c r="K1" s="268"/>
      <c r="L1" s="268"/>
      <c r="M1" s="268"/>
      <c r="N1" s="268"/>
      <c r="O1" s="268"/>
      <c r="P1" s="268"/>
      <c r="Q1" s="268"/>
      <c r="R1" s="268"/>
      <c r="S1" s="268"/>
      <c r="T1" s="268"/>
      <c r="U1" s="268" t="s">
        <v>503</v>
      </c>
      <c r="V1" s="268"/>
      <c r="W1" s="268"/>
      <c r="Y1" s="51"/>
      <c r="Z1" s="268"/>
    </row>
    <row r="2" spans="1:27" x14ac:dyDescent="0.25">
      <c r="A2" s="269" t="s">
        <v>9</v>
      </c>
      <c r="B2" s="54"/>
      <c r="C2" s="54"/>
      <c r="D2" s="54"/>
      <c r="E2" s="54"/>
      <c r="F2" s="54"/>
      <c r="G2" s="54"/>
      <c r="H2" s="54"/>
      <c r="I2" s="54"/>
      <c r="J2" s="54"/>
      <c r="K2" s="54"/>
      <c r="L2" s="54"/>
      <c r="M2" s="54"/>
      <c r="N2" s="54"/>
      <c r="O2" s="54"/>
      <c r="P2" s="54"/>
      <c r="Q2" s="54"/>
      <c r="R2" s="54"/>
      <c r="S2" s="54"/>
      <c r="T2" s="54"/>
      <c r="U2" s="54"/>
      <c r="V2" s="54"/>
      <c r="W2" s="54"/>
      <c r="X2" s="54"/>
      <c r="Y2" s="54"/>
      <c r="Z2" s="54"/>
    </row>
    <row r="3" spans="1:27" x14ac:dyDescent="0.25">
      <c r="A3" s="269" t="s">
        <v>19</v>
      </c>
      <c r="B3" s="54"/>
      <c r="C3" s="54"/>
      <c r="D3" s="54"/>
      <c r="E3" s="54"/>
      <c r="F3" s="54"/>
      <c r="G3" s="54"/>
      <c r="H3" s="54"/>
      <c r="I3" s="54"/>
      <c r="J3" s="54"/>
      <c r="K3" s="54"/>
      <c r="L3" s="54"/>
      <c r="M3" s="54"/>
      <c r="N3" s="54"/>
      <c r="O3" s="54"/>
      <c r="P3" s="54"/>
      <c r="Q3" s="54"/>
      <c r="R3" s="54"/>
      <c r="S3" s="54"/>
      <c r="T3" s="54"/>
      <c r="U3" s="54"/>
      <c r="V3" s="54"/>
      <c r="W3" s="54"/>
      <c r="X3" s="54"/>
      <c r="Y3" s="54"/>
      <c r="Z3" s="54"/>
    </row>
    <row r="4" spans="1:27" ht="13.8" x14ac:dyDescent="0.25">
      <c r="A4" s="272" t="s">
        <v>500</v>
      </c>
      <c r="B4" s="275" t="s">
        <v>56</v>
      </c>
      <c r="C4" s="275"/>
      <c r="D4" s="279"/>
      <c r="E4" s="279"/>
      <c r="F4" s="279"/>
      <c r="G4" s="279"/>
      <c r="J4" s="51"/>
    </row>
    <row r="5" spans="1:27" ht="15" customHeight="1" x14ac:dyDescent="0.25">
      <c r="A5" s="273" t="s">
        <v>501</v>
      </c>
      <c r="B5" s="276" t="s">
        <v>50</v>
      </c>
      <c r="C5" s="276"/>
      <c r="D5" s="280"/>
      <c r="E5" s="280"/>
      <c r="F5" s="280"/>
      <c r="G5" s="53"/>
      <c r="H5" s="183"/>
      <c r="I5" s="183"/>
      <c r="J5" s="183"/>
      <c r="K5" s="183"/>
      <c r="L5" s="183"/>
      <c r="M5" s="183"/>
      <c r="N5" s="183"/>
      <c r="O5" s="183"/>
      <c r="P5" s="183"/>
      <c r="Q5" s="183"/>
      <c r="R5" s="183"/>
      <c r="S5" s="183"/>
      <c r="T5" s="183"/>
      <c r="U5" s="182"/>
    </row>
    <row r="6" spans="1:27" x14ac:dyDescent="0.25">
      <c r="A6" s="274" t="s">
        <v>41</v>
      </c>
      <c r="B6" s="277" t="s">
        <v>57</v>
      </c>
      <c r="C6" s="277"/>
      <c r="D6" s="281"/>
      <c r="E6" s="281"/>
      <c r="F6" s="57"/>
      <c r="G6" s="57"/>
      <c r="H6" s="182"/>
      <c r="I6" s="182"/>
      <c r="J6" s="182"/>
      <c r="K6" s="182"/>
      <c r="L6" s="182"/>
      <c r="M6" s="182"/>
      <c r="N6" s="182"/>
      <c r="O6" s="182"/>
      <c r="P6" s="182"/>
      <c r="Q6" s="182"/>
      <c r="R6" s="182"/>
      <c r="S6" s="58"/>
      <c r="T6" s="58"/>
      <c r="U6" s="182"/>
      <c r="W6" s="57"/>
      <c r="Y6" s="58"/>
    </row>
    <row r="7" spans="1:27" ht="13.2" customHeight="1" x14ac:dyDescent="0.25">
      <c r="A7" s="283" t="s">
        <v>502</v>
      </c>
      <c r="B7" s="284">
        <v>42916</v>
      </c>
      <c r="C7" s="52"/>
      <c r="D7" s="52"/>
      <c r="E7" s="282"/>
      <c r="F7" s="282"/>
      <c r="G7" s="57"/>
      <c r="H7" s="182"/>
      <c r="I7" s="182"/>
      <c r="J7" s="52"/>
      <c r="K7" s="52"/>
      <c r="L7" s="52"/>
      <c r="M7" s="52"/>
      <c r="N7" s="52"/>
      <c r="O7" s="52"/>
      <c r="P7" s="52"/>
      <c r="Q7" s="52"/>
      <c r="R7" s="52"/>
      <c r="S7" s="52"/>
      <c r="T7" s="52"/>
      <c r="U7" s="182"/>
      <c r="X7" s="47"/>
      <c r="Y7" s="57"/>
    </row>
    <row r="8" spans="1:27" x14ac:dyDescent="0.25">
      <c r="C8" s="53"/>
      <c r="D8" s="53"/>
      <c r="E8" s="53"/>
      <c r="F8" s="53"/>
      <c r="G8" s="182"/>
      <c r="H8" s="182"/>
      <c r="I8" s="182"/>
      <c r="J8" s="52"/>
      <c r="K8" s="52"/>
      <c r="L8" s="52"/>
      <c r="M8" s="52"/>
      <c r="N8" s="52"/>
      <c r="O8" s="52"/>
      <c r="P8" s="52"/>
      <c r="Q8" s="52"/>
      <c r="R8" s="52"/>
      <c r="S8" s="52"/>
      <c r="T8" s="52"/>
      <c r="U8" s="56"/>
      <c r="X8" s="57"/>
      <c r="Y8" s="75"/>
    </row>
    <row r="9" spans="1:27" ht="2.4" customHeight="1" x14ac:dyDescent="0.25">
      <c r="B9" s="53"/>
      <c r="C9" s="53"/>
      <c r="D9" s="53"/>
      <c r="E9" s="53"/>
      <c r="F9" s="53"/>
      <c r="G9" s="182"/>
      <c r="H9" s="182"/>
      <c r="I9" s="182"/>
      <c r="J9" s="52"/>
      <c r="K9" s="52"/>
      <c r="L9" s="52"/>
      <c r="M9" s="52"/>
      <c r="N9" s="52"/>
      <c r="O9" s="52"/>
      <c r="P9" s="52"/>
      <c r="Q9" s="52"/>
      <c r="R9" s="52"/>
      <c r="S9" s="52"/>
      <c r="T9" s="52"/>
      <c r="U9" s="56"/>
      <c r="V9" s="106"/>
      <c r="Y9" s="61"/>
    </row>
    <row r="10" spans="1:27" s="74" customFormat="1" ht="44.4" customHeight="1" x14ac:dyDescent="0.25">
      <c r="A10" s="285" t="s">
        <v>1</v>
      </c>
      <c r="B10" s="286" t="s">
        <v>48</v>
      </c>
      <c r="C10" s="286" t="s">
        <v>208</v>
      </c>
      <c r="D10" s="286"/>
      <c r="E10" s="286" t="s">
        <v>504</v>
      </c>
      <c r="F10" s="286" t="s">
        <v>210</v>
      </c>
      <c r="G10" s="287">
        <v>42675</v>
      </c>
      <c r="H10" s="287">
        <v>42705</v>
      </c>
      <c r="I10" s="287">
        <v>42736</v>
      </c>
      <c r="J10" s="287" t="s">
        <v>477</v>
      </c>
      <c r="K10" s="287" t="s">
        <v>478</v>
      </c>
      <c r="L10" s="287" t="s">
        <v>479</v>
      </c>
      <c r="M10" s="287" t="s">
        <v>480</v>
      </c>
      <c r="N10" s="287" t="s">
        <v>481</v>
      </c>
      <c r="O10" s="287" t="s">
        <v>482</v>
      </c>
      <c r="P10" s="287" t="s">
        <v>483</v>
      </c>
      <c r="Q10" s="287" t="s">
        <v>484</v>
      </c>
      <c r="R10" s="287" t="s">
        <v>485</v>
      </c>
      <c r="S10" s="287" t="s">
        <v>486</v>
      </c>
      <c r="T10" s="287" t="s">
        <v>487</v>
      </c>
      <c r="U10" s="286" t="s">
        <v>505</v>
      </c>
      <c r="V10" s="286" t="s">
        <v>5</v>
      </c>
      <c r="W10" s="286" t="s">
        <v>11</v>
      </c>
      <c r="X10" s="286" t="s">
        <v>15</v>
      </c>
      <c r="Y10" s="286" t="s">
        <v>13</v>
      </c>
      <c r="Z10" s="286" t="s">
        <v>14</v>
      </c>
      <c r="AA10" s="288" t="s">
        <v>195</v>
      </c>
    </row>
    <row r="11" spans="1:27" ht="14.4" customHeight="1" x14ac:dyDescent="0.25">
      <c r="A11" s="289">
        <v>1</v>
      </c>
      <c r="B11" s="290" t="s">
        <v>49</v>
      </c>
      <c r="C11" s="290">
        <f>A11</f>
        <v>1</v>
      </c>
      <c r="D11" s="290"/>
      <c r="E11" s="291">
        <v>157470</v>
      </c>
      <c r="F11" s="292">
        <v>1</v>
      </c>
      <c r="G11" s="293"/>
      <c r="H11" s="292"/>
      <c r="I11" s="294"/>
      <c r="J11" s="294"/>
      <c r="K11" s="294"/>
      <c r="L11" s="294"/>
      <c r="M11" s="295"/>
      <c r="N11" s="295"/>
      <c r="O11" s="295"/>
      <c r="P11" s="295"/>
      <c r="Q11" s="295"/>
      <c r="R11" s="295"/>
      <c r="S11" s="294"/>
      <c r="T11" s="294"/>
      <c r="U11" s="296">
        <v>42248</v>
      </c>
      <c r="V11" s="292">
        <f t="shared" ref="V11:V42" si="0">IF(F11&lt;1,SUM(G11:T11)/E11+F11,1)</f>
        <v>1</v>
      </c>
      <c r="W11" s="297">
        <f>V11*E11</f>
        <v>157470</v>
      </c>
      <c r="X11" s="297">
        <f>E11-Y11</f>
        <v>0</v>
      </c>
      <c r="Y11" s="297">
        <f>SUMIF(Table2[Milestone/ Line],$B11,Table2[Invoice Amount])</f>
        <v>157470</v>
      </c>
      <c r="Z11" s="297">
        <f>E11-X11-Y11</f>
        <v>0</v>
      </c>
      <c r="AA11" s="298"/>
    </row>
    <row r="12" spans="1:27" ht="14.4" customHeight="1" x14ac:dyDescent="0.25">
      <c r="A12" s="289">
        <v>2</v>
      </c>
      <c r="B12" s="290" t="s">
        <v>47</v>
      </c>
      <c r="C12" s="290">
        <f t="shared" ref="C12:C60" si="1">A12</f>
        <v>2</v>
      </c>
      <c r="D12" s="290"/>
      <c r="E12" s="291">
        <v>157470</v>
      </c>
      <c r="F12" s="292">
        <v>1</v>
      </c>
      <c r="G12" s="293"/>
      <c r="H12" s="292"/>
      <c r="I12" s="294"/>
      <c r="J12" s="294"/>
      <c r="K12" s="294"/>
      <c r="L12" s="294"/>
      <c r="M12" s="295"/>
      <c r="N12" s="295"/>
      <c r="O12" s="295"/>
      <c r="P12" s="295"/>
      <c r="Q12" s="295"/>
      <c r="R12" s="295"/>
      <c r="S12" s="294"/>
      <c r="T12" s="294"/>
      <c r="U12" s="296">
        <v>42309</v>
      </c>
      <c r="V12" s="292">
        <f t="shared" si="0"/>
        <v>1</v>
      </c>
      <c r="W12" s="297">
        <f t="shared" ref="W12:W75" si="2">V12*E12</f>
        <v>157470</v>
      </c>
      <c r="X12" s="297">
        <f t="shared" ref="X12:X75" si="3">E12-Y12</f>
        <v>0</v>
      </c>
      <c r="Y12" s="297">
        <f>SUMIF(Table2[Milestone/ Line],$B12,Table2[Invoice Amount])</f>
        <v>157470</v>
      </c>
      <c r="Z12" s="297">
        <f t="shared" ref="Z12:Z75" si="4">E12-X12-Y12</f>
        <v>0</v>
      </c>
      <c r="AA12" s="298"/>
    </row>
    <row r="13" spans="1:27" ht="14.4" customHeight="1" x14ac:dyDescent="0.25">
      <c r="A13" s="289">
        <v>3</v>
      </c>
      <c r="B13" s="290" t="s">
        <v>53</v>
      </c>
      <c r="C13" s="290">
        <f t="shared" si="1"/>
        <v>3</v>
      </c>
      <c r="D13" s="290"/>
      <c r="E13" s="291">
        <v>104980</v>
      </c>
      <c r="F13" s="292">
        <v>1</v>
      </c>
      <c r="G13" s="293"/>
      <c r="H13" s="292"/>
      <c r="I13" s="294"/>
      <c r="J13" s="294"/>
      <c r="K13" s="294"/>
      <c r="L13" s="294"/>
      <c r="M13" s="295"/>
      <c r="N13" s="295"/>
      <c r="O13" s="295"/>
      <c r="P13" s="295"/>
      <c r="Q13" s="295"/>
      <c r="R13" s="295"/>
      <c r="S13" s="294"/>
      <c r="T13" s="294"/>
      <c r="U13" s="296">
        <v>42339</v>
      </c>
      <c r="V13" s="292">
        <f t="shared" si="0"/>
        <v>1</v>
      </c>
      <c r="W13" s="297">
        <f t="shared" si="2"/>
        <v>104980</v>
      </c>
      <c r="X13" s="297">
        <f t="shared" si="3"/>
        <v>0</v>
      </c>
      <c r="Y13" s="297">
        <f>SUMIF(Table2[Milestone/ Line],$B13,Table2[Invoice Amount])</f>
        <v>104980</v>
      </c>
      <c r="Z13" s="297">
        <f t="shared" si="4"/>
        <v>0</v>
      </c>
      <c r="AA13" s="298"/>
    </row>
    <row r="14" spans="1:27" ht="14.4" customHeight="1" x14ac:dyDescent="0.25">
      <c r="A14" s="289">
        <v>4</v>
      </c>
      <c r="B14" s="290" t="s">
        <v>54</v>
      </c>
      <c r="C14" s="290">
        <f t="shared" si="1"/>
        <v>4</v>
      </c>
      <c r="D14" s="290"/>
      <c r="E14" s="291">
        <v>104980</v>
      </c>
      <c r="F14" s="292">
        <v>1</v>
      </c>
      <c r="G14" s="293"/>
      <c r="H14" s="292"/>
      <c r="I14" s="294"/>
      <c r="J14" s="294"/>
      <c r="K14" s="294"/>
      <c r="L14" s="294"/>
      <c r="M14" s="295"/>
      <c r="N14" s="295"/>
      <c r="O14" s="295"/>
      <c r="P14" s="295"/>
      <c r="Q14" s="295"/>
      <c r="R14" s="295"/>
      <c r="S14" s="294"/>
      <c r="T14" s="294"/>
      <c r="U14" s="296">
        <f>U11+180</f>
        <v>42428</v>
      </c>
      <c r="V14" s="292">
        <f t="shared" si="0"/>
        <v>1</v>
      </c>
      <c r="W14" s="297">
        <f t="shared" si="2"/>
        <v>104980</v>
      </c>
      <c r="X14" s="297">
        <f t="shared" si="3"/>
        <v>0</v>
      </c>
      <c r="Y14" s="297">
        <f>SUMIF(Table2[Milestone/ Line],$B14,Table2[Invoice Amount])</f>
        <v>104980</v>
      </c>
      <c r="Z14" s="297">
        <f t="shared" si="4"/>
        <v>0</v>
      </c>
      <c r="AA14" s="298"/>
    </row>
    <row r="15" spans="1:27" ht="14.4" customHeight="1" x14ac:dyDescent="0.25">
      <c r="A15" s="289">
        <v>5</v>
      </c>
      <c r="B15" s="290" t="s">
        <v>104</v>
      </c>
      <c r="C15" s="290">
        <f t="shared" si="1"/>
        <v>5</v>
      </c>
      <c r="D15" s="290"/>
      <c r="E15" s="291">
        <v>317520</v>
      </c>
      <c r="F15" s="292">
        <v>1</v>
      </c>
      <c r="G15" s="293"/>
      <c r="H15" s="292"/>
      <c r="I15" s="294"/>
      <c r="J15" s="294"/>
      <c r="K15" s="294"/>
      <c r="L15" s="294"/>
      <c r="M15" s="295"/>
      <c r="N15" s="295"/>
      <c r="O15" s="295"/>
      <c r="P15" s="295"/>
      <c r="Q15" s="295"/>
      <c r="R15" s="295"/>
      <c r="S15" s="294"/>
      <c r="T15" s="294"/>
      <c r="U15" s="296">
        <v>42342</v>
      </c>
      <c r="V15" s="292">
        <f t="shared" si="0"/>
        <v>1</v>
      </c>
      <c r="W15" s="297">
        <f t="shared" si="2"/>
        <v>317520</v>
      </c>
      <c r="X15" s="297">
        <f t="shared" si="3"/>
        <v>0</v>
      </c>
      <c r="Y15" s="297">
        <f>SUMIF(Table2[Milestone/ Line],$B15,Table2[Invoice Amount])</f>
        <v>317520</v>
      </c>
      <c r="Z15" s="297">
        <f t="shared" si="4"/>
        <v>0</v>
      </c>
      <c r="AA15" s="298"/>
    </row>
    <row r="16" spans="1:27" ht="14.4" customHeight="1" x14ac:dyDescent="0.25">
      <c r="A16" s="289">
        <v>6</v>
      </c>
      <c r="B16" s="290" t="s">
        <v>105</v>
      </c>
      <c r="C16" s="290">
        <f t="shared" si="1"/>
        <v>6</v>
      </c>
      <c r="D16" s="290"/>
      <c r="E16" s="291">
        <v>423360</v>
      </c>
      <c r="F16" s="292">
        <v>1</v>
      </c>
      <c r="G16" s="293"/>
      <c r="H16" s="292"/>
      <c r="I16" s="294"/>
      <c r="J16" s="294"/>
      <c r="K16" s="294"/>
      <c r="L16" s="294"/>
      <c r="M16" s="295"/>
      <c r="N16" s="295"/>
      <c r="O16" s="295"/>
      <c r="P16" s="295"/>
      <c r="Q16" s="295"/>
      <c r="R16" s="295"/>
      <c r="S16" s="294"/>
      <c r="T16" s="294"/>
      <c r="U16" s="296">
        <v>42349</v>
      </c>
      <c r="V16" s="292">
        <f t="shared" si="0"/>
        <v>1</v>
      </c>
      <c r="W16" s="297">
        <f t="shared" si="2"/>
        <v>423360</v>
      </c>
      <c r="X16" s="297">
        <f t="shared" si="3"/>
        <v>0</v>
      </c>
      <c r="Y16" s="297">
        <f>SUMIF(Table2[Milestone/ Line],$B16,Table2[Invoice Amount])</f>
        <v>423360</v>
      </c>
      <c r="Z16" s="297">
        <f t="shared" si="4"/>
        <v>0</v>
      </c>
      <c r="AA16" s="298"/>
    </row>
    <row r="17" spans="1:27" ht="14.4" customHeight="1" x14ac:dyDescent="0.25">
      <c r="A17" s="289">
        <v>7</v>
      </c>
      <c r="B17" s="299" t="s">
        <v>106</v>
      </c>
      <c r="C17" s="290">
        <f t="shared" si="1"/>
        <v>7</v>
      </c>
      <c r="D17" s="290"/>
      <c r="E17" s="291">
        <v>1607500</v>
      </c>
      <c r="F17" s="292">
        <v>1</v>
      </c>
      <c r="G17" s="293"/>
      <c r="H17" s="292"/>
      <c r="I17" s="294"/>
      <c r="J17" s="294"/>
      <c r="K17" s="294"/>
      <c r="L17" s="294"/>
      <c r="M17" s="295"/>
      <c r="N17" s="295"/>
      <c r="O17" s="295"/>
      <c r="P17" s="295"/>
      <c r="Q17" s="295"/>
      <c r="R17" s="295"/>
      <c r="S17" s="294"/>
      <c r="T17" s="294"/>
      <c r="U17" s="296">
        <v>42356</v>
      </c>
      <c r="V17" s="292">
        <f t="shared" si="0"/>
        <v>1</v>
      </c>
      <c r="W17" s="297">
        <f t="shared" si="2"/>
        <v>1607500</v>
      </c>
      <c r="X17" s="297">
        <f t="shared" si="3"/>
        <v>0</v>
      </c>
      <c r="Y17" s="297">
        <f>SUMIF(Table2[Milestone/ Line],$B17,Table2[Invoice Amount])</f>
        <v>1607500</v>
      </c>
      <c r="Z17" s="297">
        <f t="shared" si="4"/>
        <v>0</v>
      </c>
      <c r="AA17" s="298"/>
    </row>
    <row r="18" spans="1:27" ht="14.4" customHeight="1" x14ac:dyDescent="0.25">
      <c r="A18" s="289">
        <v>8</v>
      </c>
      <c r="B18" s="299" t="s">
        <v>58</v>
      </c>
      <c r="C18" s="290">
        <f t="shared" si="1"/>
        <v>8</v>
      </c>
      <c r="D18" s="290"/>
      <c r="E18" s="300">
        <v>1446750</v>
      </c>
      <c r="F18" s="292">
        <v>1</v>
      </c>
      <c r="G18" s="301"/>
      <c r="H18" s="292"/>
      <c r="I18" s="294"/>
      <c r="J18" s="294"/>
      <c r="K18" s="294"/>
      <c r="L18" s="294"/>
      <c r="M18" s="295"/>
      <c r="N18" s="295"/>
      <c r="O18" s="295"/>
      <c r="P18" s="295"/>
      <c r="Q18" s="295"/>
      <c r="R18" s="295"/>
      <c r="S18" s="295"/>
      <c r="T18" s="295"/>
      <c r="U18" s="296">
        <v>42460</v>
      </c>
      <c r="V18" s="292">
        <f t="shared" si="0"/>
        <v>1</v>
      </c>
      <c r="W18" s="297">
        <f t="shared" si="2"/>
        <v>1446750</v>
      </c>
      <c r="X18" s="297">
        <f t="shared" si="3"/>
        <v>0</v>
      </c>
      <c r="Y18" s="297">
        <f>SUMIF(Table2[Milestone/ Line],$B18,Table2[Invoice Amount])</f>
        <v>1446750</v>
      </c>
      <c r="Z18" s="297">
        <f t="shared" si="4"/>
        <v>0</v>
      </c>
      <c r="AA18" s="298"/>
    </row>
    <row r="19" spans="1:27" ht="14.4" customHeight="1" x14ac:dyDescent="0.25">
      <c r="A19" s="289">
        <v>9</v>
      </c>
      <c r="B19" s="299" t="s">
        <v>59</v>
      </c>
      <c r="C19" s="290">
        <f t="shared" si="1"/>
        <v>9</v>
      </c>
      <c r="D19" s="290"/>
      <c r="E19" s="300">
        <v>317520</v>
      </c>
      <c r="F19" s="292">
        <v>1</v>
      </c>
      <c r="G19" s="301"/>
      <c r="H19" s="292"/>
      <c r="I19" s="294"/>
      <c r="J19" s="294"/>
      <c r="K19" s="294"/>
      <c r="L19" s="294"/>
      <c r="M19" s="295"/>
      <c r="N19" s="295"/>
      <c r="O19" s="295"/>
      <c r="P19" s="295"/>
      <c r="Q19" s="295"/>
      <c r="R19" s="295"/>
      <c r="S19" s="295"/>
      <c r="T19" s="295"/>
      <c r="U19" s="296">
        <v>42607</v>
      </c>
      <c r="V19" s="292">
        <f t="shared" si="0"/>
        <v>1</v>
      </c>
      <c r="W19" s="297">
        <f t="shared" si="2"/>
        <v>317520</v>
      </c>
      <c r="X19" s="297">
        <f t="shared" si="3"/>
        <v>0</v>
      </c>
      <c r="Y19" s="297">
        <f>SUMIF(Table2[Milestone/ Line],$B19,Table2[Invoice Amount])</f>
        <v>317520</v>
      </c>
      <c r="Z19" s="297">
        <f t="shared" si="4"/>
        <v>0</v>
      </c>
      <c r="AA19" s="298"/>
    </row>
    <row r="20" spans="1:27" ht="14.4" customHeight="1" x14ac:dyDescent="0.25">
      <c r="A20" s="289">
        <v>10</v>
      </c>
      <c r="B20" s="299" t="s">
        <v>60</v>
      </c>
      <c r="C20" s="290">
        <f t="shared" si="1"/>
        <v>10</v>
      </c>
      <c r="D20" s="290"/>
      <c r="E20" s="300">
        <v>160750</v>
      </c>
      <c r="F20" s="292">
        <v>1</v>
      </c>
      <c r="G20" s="301"/>
      <c r="H20" s="292"/>
      <c r="I20" s="294"/>
      <c r="J20" s="294"/>
      <c r="K20" s="294"/>
      <c r="L20" s="294"/>
      <c r="M20" s="295"/>
      <c r="N20" s="295"/>
      <c r="O20" s="295"/>
      <c r="P20" s="295"/>
      <c r="Q20" s="295"/>
      <c r="R20" s="295"/>
      <c r="S20" s="295"/>
      <c r="T20" s="295"/>
      <c r="U20" s="296">
        <v>42719</v>
      </c>
      <c r="V20" s="292">
        <f t="shared" si="0"/>
        <v>1</v>
      </c>
      <c r="W20" s="297">
        <f t="shared" si="2"/>
        <v>160750</v>
      </c>
      <c r="X20" s="297">
        <f t="shared" si="3"/>
        <v>0</v>
      </c>
      <c r="Y20" s="297">
        <f>SUMIF(Table2[Milestone/ Line],$B20,Table2[Invoice Amount])</f>
        <v>160750</v>
      </c>
      <c r="Z20" s="297">
        <f t="shared" si="4"/>
        <v>0</v>
      </c>
      <c r="AA20" s="298"/>
    </row>
    <row r="21" spans="1:27" ht="14.4" customHeight="1" x14ac:dyDescent="0.25">
      <c r="A21" s="289">
        <v>11</v>
      </c>
      <c r="B21" s="299" t="s">
        <v>61</v>
      </c>
      <c r="C21" s="290">
        <f t="shared" si="1"/>
        <v>11</v>
      </c>
      <c r="D21" s="290"/>
      <c r="E21" s="300">
        <v>160750</v>
      </c>
      <c r="F21" s="292">
        <v>1</v>
      </c>
      <c r="G21" s="301"/>
      <c r="H21" s="292"/>
      <c r="I21" s="294"/>
      <c r="J21" s="294"/>
      <c r="K21" s="294"/>
      <c r="L21" s="294"/>
      <c r="M21" s="295"/>
      <c r="N21" s="295"/>
      <c r="O21" s="295"/>
      <c r="P21" s="295"/>
      <c r="Q21" s="295"/>
      <c r="R21" s="295"/>
      <c r="S21" s="295"/>
      <c r="T21" s="295"/>
      <c r="U21" s="296">
        <v>42738</v>
      </c>
      <c r="V21" s="292">
        <f t="shared" si="0"/>
        <v>1</v>
      </c>
      <c r="W21" s="297">
        <f t="shared" si="2"/>
        <v>160750</v>
      </c>
      <c r="X21" s="297">
        <f t="shared" si="3"/>
        <v>0</v>
      </c>
      <c r="Y21" s="297">
        <f>SUMIF(Table2[Milestone/ Line],$B21,Table2[Invoice Amount])</f>
        <v>160750</v>
      </c>
      <c r="Z21" s="297">
        <f t="shared" si="4"/>
        <v>0</v>
      </c>
      <c r="AA21" s="298"/>
    </row>
    <row r="22" spans="1:27" ht="14.4" customHeight="1" x14ac:dyDescent="0.25">
      <c r="A22" s="289">
        <v>12</v>
      </c>
      <c r="B22" s="299" t="s">
        <v>62</v>
      </c>
      <c r="C22" s="290">
        <f t="shared" si="1"/>
        <v>12</v>
      </c>
      <c r="D22" s="290"/>
      <c r="E22" s="300">
        <v>160750</v>
      </c>
      <c r="F22" s="292">
        <v>1</v>
      </c>
      <c r="G22" s="301"/>
      <c r="H22" s="292"/>
      <c r="I22" s="294"/>
      <c r="J22" s="294"/>
      <c r="K22" s="294"/>
      <c r="L22" s="294"/>
      <c r="M22" s="295"/>
      <c r="N22" s="295"/>
      <c r="O22" s="295"/>
      <c r="P22" s="295"/>
      <c r="Q22" s="295"/>
      <c r="R22" s="295"/>
      <c r="S22" s="295"/>
      <c r="T22" s="295"/>
      <c r="U22" s="296">
        <v>42746</v>
      </c>
      <c r="V22" s="292">
        <f t="shared" si="0"/>
        <v>1</v>
      </c>
      <c r="W22" s="297">
        <f t="shared" si="2"/>
        <v>160750</v>
      </c>
      <c r="X22" s="297">
        <f t="shared" si="3"/>
        <v>0</v>
      </c>
      <c r="Y22" s="297">
        <f>SUMIF(Table2[Milestone/ Line],$B22,Table2[Invoice Amount])</f>
        <v>160750</v>
      </c>
      <c r="Z22" s="297">
        <f t="shared" si="4"/>
        <v>0</v>
      </c>
      <c r="AA22" s="298"/>
    </row>
    <row r="23" spans="1:27" ht="14.4" customHeight="1" x14ac:dyDescent="0.25">
      <c r="A23" s="289">
        <v>13</v>
      </c>
      <c r="B23" s="299" t="s">
        <v>63</v>
      </c>
      <c r="C23" s="290">
        <f t="shared" si="1"/>
        <v>13</v>
      </c>
      <c r="D23" s="290"/>
      <c r="E23" s="300">
        <v>160750</v>
      </c>
      <c r="F23" s="292"/>
      <c r="G23" s="301">
        <v>160750</v>
      </c>
      <c r="H23" s="292"/>
      <c r="I23" s="294"/>
      <c r="J23" s="294"/>
      <c r="K23" s="294"/>
      <c r="L23" s="294"/>
      <c r="M23" s="295"/>
      <c r="N23" s="295"/>
      <c r="O23" s="295"/>
      <c r="P23" s="295"/>
      <c r="Q23" s="295"/>
      <c r="R23" s="295"/>
      <c r="S23" s="295"/>
      <c r="T23" s="295"/>
      <c r="U23" s="296">
        <v>42754</v>
      </c>
      <c r="V23" s="292">
        <f t="shared" si="0"/>
        <v>1</v>
      </c>
      <c r="W23" s="297">
        <f t="shared" si="2"/>
        <v>160750</v>
      </c>
      <c r="X23" s="297">
        <f t="shared" si="3"/>
        <v>0</v>
      </c>
      <c r="Y23" s="297">
        <f>SUMIF(Table2[Milestone/ Line],$B23,Table2[Invoice Amount])</f>
        <v>160750</v>
      </c>
      <c r="Z23" s="297">
        <f t="shared" si="4"/>
        <v>0</v>
      </c>
      <c r="AA23" s="298"/>
    </row>
    <row r="24" spans="1:27" ht="14.4" customHeight="1" x14ac:dyDescent="0.25">
      <c r="A24" s="289">
        <v>14</v>
      </c>
      <c r="B24" s="299" t="s">
        <v>64</v>
      </c>
      <c r="C24" s="290">
        <f t="shared" si="1"/>
        <v>14</v>
      </c>
      <c r="D24" s="290"/>
      <c r="E24" s="300">
        <v>160750</v>
      </c>
      <c r="F24" s="292"/>
      <c r="G24" s="301"/>
      <c r="H24" s="294">
        <v>160750</v>
      </c>
      <c r="I24" s="294"/>
      <c r="J24" s="294"/>
      <c r="K24" s="294"/>
      <c r="L24" s="294"/>
      <c r="M24" s="295"/>
      <c r="N24" s="295"/>
      <c r="O24" s="295"/>
      <c r="P24" s="295"/>
      <c r="Q24" s="295"/>
      <c r="R24" s="295"/>
      <c r="S24" s="295"/>
      <c r="T24" s="295"/>
      <c r="U24" s="296">
        <v>42762</v>
      </c>
      <c r="V24" s="292">
        <f t="shared" si="0"/>
        <v>1</v>
      </c>
      <c r="W24" s="297">
        <f t="shared" si="2"/>
        <v>160750</v>
      </c>
      <c r="X24" s="297">
        <f t="shared" si="3"/>
        <v>0</v>
      </c>
      <c r="Y24" s="297">
        <f>SUMIF(Table2[Milestone/ Line],$B24,Table2[Invoice Amount])</f>
        <v>160750</v>
      </c>
      <c r="Z24" s="297">
        <f t="shared" si="4"/>
        <v>0</v>
      </c>
      <c r="AA24" s="298"/>
    </row>
    <row r="25" spans="1:27" ht="14.4" customHeight="1" x14ac:dyDescent="0.25">
      <c r="A25" s="289">
        <v>15</v>
      </c>
      <c r="B25" s="299" t="s">
        <v>65</v>
      </c>
      <c r="C25" s="290">
        <f t="shared" si="1"/>
        <v>15</v>
      </c>
      <c r="D25" s="290"/>
      <c r="E25" s="300">
        <v>160750</v>
      </c>
      <c r="F25" s="292"/>
      <c r="G25" s="301"/>
      <c r="H25" s="294">
        <v>160750</v>
      </c>
      <c r="I25" s="294"/>
      <c r="J25" s="294"/>
      <c r="K25" s="294"/>
      <c r="L25" s="294"/>
      <c r="M25" s="295"/>
      <c r="N25" s="295"/>
      <c r="O25" s="295"/>
      <c r="P25" s="295"/>
      <c r="Q25" s="295"/>
      <c r="R25" s="295"/>
      <c r="S25" s="295"/>
      <c r="T25" s="295"/>
      <c r="U25" s="296">
        <v>42772</v>
      </c>
      <c r="V25" s="292">
        <f t="shared" si="0"/>
        <v>1</v>
      </c>
      <c r="W25" s="297">
        <f t="shared" si="2"/>
        <v>160750</v>
      </c>
      <c r="X25" s="297">
        <f t="shared" si="3"/>
        <v>0</v>
      </c>
      <c r="Y25" s="297">
        <f>SUMIF(Table2[Milestone/ Line],$B25,Table2[Invoice Amount])</f>
        <v>160750</v>
      </c>
      <c r="Z25" s="297">
        <f t="shared" si="4"/>
        <v>0</v>
      </c>
      <c r="AA25" s="298"/>
    </row>
    <row r="26" spans="1:27" ht="14.4" customHeight="1" x14ac:dyDescent="0.25">
      <c r="A26" s="289">
        <v>16</v>
      </c>
      <c r="B26" s="299" t="s">
        <v>66</v>
      </c>
      <c r="C26" s="290">
        <f t="shared" si="1"/>
        <v>16</v>
      </c>
      <c r="D26" s="290"/>
      <c r="E26" s="300">
        <v>160750</v>
      </c>
      <c r="F26" s="292"/>
      <c r="G26" s="301"/>
      <c r="H26" s="294">
        <v>160750</v>
      </c>
      <c r="I26" s="294"/>
      <c r="J26" s="294"/>
      <c r="K26" s="294"/>
      <c r="L26" s="294"/>
      <c r="M26" s="295"/>
      <c r="N26" s="295"/>
      <c r="O26" s="295"/>
      <c r="P26" s="295"/>
      <c r="Q26" s="295"/>
      <c r="R26" s="295"/>
      <c r="S26" s="295"/>
      <c r="T26" s="295"/>
      <c r="U26" s="296">
        <v>42780</v>
      </c>
      <c r="V26" s="292">
        <f t="shared" si="0"/>
        <v>1</v>
      </c>
      <c r="W26" s="297">
        <f t="shared" si="2"/>
        <v>160750</v>
      </c>
      <c r="X26" s="297">
        <f t="shared" si="3"/>
        <v>0</v>
      </c>
      <c r="Y26" s="297">
        <f>SUMIF(Table2[Milestone/ Line],$B26,Table2[Invoice Amount])</f>
        <v>160750</v>
      </c>
      <c r="Z26" s="297">
        <f t="shared" si="4"/>
        <v>0</v>
      </c>
      <c r="AA26" s="298"/>
    </row>
    <row r="27" spans="1:27" ht="14.4" customHeight="1" x14ac:dyDescent="0.25">
      <c r="A27" s="289">
        <v>17</v>
      </c>
      <c r="B27" s="299" t="s">
        <v>67</v>
      </c>
      <c r="C27" s="290">
        <f t="shared" si="1"/>
        <v>17</v>
      </c>
      <c r="D27" s="290"/>
      <c r="E27" s="300">
        <v>160750</v>
      </c>
      <c r="F27" s="292"/>
      <c r="G27" s="301"/>
      <c r="H27" s="294">
        <v>160750</v>
      </c>
      <c r="I27" s="294"/>
      <c r="J27" s="294"/>
      <c r="K27" s="294"/>
      <c r="L27" s="294"/>
      <c r="M27" s="295"/>
      <c r="N27" s="295"/>
      <c r="O27" s="295"/>
      <c r="P27" s="295"/>
      <c r="Q27" s="295"/>
      <c r="R27" s="295"/>
      <c r="S27" s="295"/>
      <c r="T27" s="295"/>
      <c r="U27" s="296">
        <v>42788</v>
      </c>
      <c r="V27" s="292">
        <f t="shared" si="0"/>
        <v>1</v>
      </c>
      <c r="W27" s="297">
        <f t="shared" si="2"/>
        <v>160750</v>
      </c>
      <c r="X27" s="297">
        <f t="shared" si="3"/>
        <v>0</v>
      </c>
      <c r="Y27" s="297">
        <f>SUMIF(Table2[Milestone/ Line],$B27,Table2[Invoice Amount])</f>
        <v>160750</v>
      </c>
      <c r="Z27" s="297">
        <f t="shared" si="4"/>
        <v>0</v>
      </c>
      <c r="AA27" s="298"/>
    </row>
    <row r="28" spans="1:27" ht="14.4" customHeight="1" x14ac:dyDescent="0.25">
      <c r="A28" s="289">
        <v>18</v>
      </c>
      <c r="B28" s="299" t="s">
        <v>68</v>
      </c>
      <c r="C28" s="290">
        <f t="shared" si="1"/>
        <v>18</v>
      </c>
      <c r="D28" s="290"/>
      <c r="E28" s="300">
        <v>160750</v>
      </c>
      <c r="F28" s="292"/>
      <c r="G28" s="301"/>
      <c r="H28" s="294">
        <v>160750</v>
      </c>
      <c r="I28" s="294"/>
      <c r="J28" s="294"/>
      <c r="K28" s="294"/>
      <c r="L28" s="294"/>
      <c r="M28" s="295"/>
      <c r="N28" s="295"/>
      <c r="O28" s="295"/>
      <c r="P28" s="295"/>
      <c r="Q28" s="295"/>
      <c r="R28" s="295"/>
      <c r="S28" s="295"/>
      <c r="T28" s="295"/>
      <c r="U28" s="296">
        <v>42796</v>
      </c>
      <c r="V28" s="292">
        <f t="shared" si="0"/>
        <v>1</v>
      </c>
      <c r="W28" s="297">
        <f t="shared" si="2"/>
        <v>160750</v>
      </c>
      <c r="X28" s="297">
        <f t="shared" si="3"/>
        <v>0</v>
      </c>
      <c r="Y28" s="297">
        <f>SUMIF(Table2[Milestone/ Line],$B28,Table2[Invoice Amount])</f>
        <v>160750</v>
      </c>
      <c r="Z28" s="297">
        <f t="shared" si="4"/>
        <v>0</v>
      </c>
      <c r="AA28" s="298"/>
    </row>
    <row r="29" spans="1:27" ht="14.4" customHeight="1" x14ac:dyDescent="0.25">
      <c r="A29" s="289">
        <v>19</v>
      </c>
      <c r="B29" s="299" t="s">
        <v>69</v>
      </c>
      <c r="C29" s="290">
        <f t="shared" si="1"/>
        <v>19</v>
      </c>
      <c r="D29" s="290"/>
      <c r="E29" s="300">
        <v>160750</v>
      </c>
      <c r="F29" s="292">
        <v>1</v>
      </c>
      <c r="G29" s="301"/>
      <c r="H29" s="294"/>
      <c r="I29" s="294"/>
      <c r="J29" s="294">
        <v>160750</v>
      </c>
      <c r="K29" s="294"/>
      <c r="L29" s="294"/>
      <c r="M29" s="295"/>
      <c r="N29" s="295"/>
      <c r="O29" s="295"/>
      <c r="P29" s="295"/>
      <c r="Q29" s="295"/>
      <c r="R29" s="295"/>
      <c r="S29" s="295"/>
      <c r="T29" s="295"/>
      <c r="U29" s="296">
        <v>42804</v>
      </c>
      <c r="V29" s="292">
        <f t="shared" si="0"/>
        <v>1</v>
      </c>
      <c r="W29" s="297">
        <f t="shared" si="2"/>
        <v>160750</v>
      </c>
      <c r="X29" s="297">
        <f t="shared" si="3"/>
        <v>0</v>
      </c>
      <c r="Y29" s="297">
        <f>SUMIF(Table2[Milestone/ Line],$B29,Table2[Invoice Amount])</f>
        <v>160750</v>
      </c>
      <c r="Z29" s="297">
        <f t="shared" si="4"/>
        <v>0</v>
      </c>
      <c r="AA29" s="298"/>
    </row>
    <row r="30" spans="1:27" ht="14.4" customHeight="1" x14ac:dyDescent="0.25">
      <c r="A30" s="289">
        <v>20</v>
      </c>
      <c r="B30" s="299" t="s">
        <v>70</v>
      </c>
      <c r="C30" s="290">
        <f t="shared" si="1"/>
        <v>20</v>
      </c>
      <c r="D30" s="290"/>
      <c r="E30" s="300">
        <v>160750</v>
      </c>
      <c r="F30" s="292">
        <v>1</v>
      </c>
      <c r="G30" s="301"/>
      <c r="H30" s="294"/>
      <c r="I30" s="294"/>
      <c r="J30" s="294">
        <v>160750</v>
      </c>
      <c r="K30" s="294"/>
      <c r="L30" s="294"/>
      <c r="M30" s="295"/>
      <c r="N30" s="295"/>
      <c r="O30" s="295"/>
      <c r="P30" s="295"/>
      <c r="Q30" s="295"/>
      <c r="R30" s="295"/>
      <c r="S30" s="295"/>
      <c r="T30" s="295"/>
      <c r="U30" s="296">
        <v>42814</v>
      </c>
      <c r="V30" s="292">
        <f t="shared" si="0"/>
        <v>1</v>
      </c>
      <c r="W30" s="297">
        <f t="shared" si="2"/>
        <v>160750</v>
      </c>
      <c r="X30" s="297">
        <f t="shared" si="3"/>
        <v>0</v>
      </c>
      <c r="Y30" s="297">
        <f>SUMIF(Table2[Milestone/ Line],$B30,Table2[Invoice Amount])</f>
        <v>160750</v>
      </c>
      <c r="Z30" s="297">
        <f t="shared" si="4"/>
        <v>0</v>
      </c>
      <c r="AA30" s="298"/>
    </row>
    <row r="31" spans="1:27" ht="14.4" customHeight="1" x14ac:dyDescent="0.25">
      <c r="A31" s="289">
        <v>21</v>
      </c>
      <c r="B31" s="299" t="s">
        <v>489</v>
      </c>
      <c r="C31" s="290">
        <f t="shared" si="1"/>
        <v>21</v>
      </c>
      <c r="D31" s="290"/>
      <c r="E31" s="300">
        <v>90800</v>
      </c>
      <c r="F31" s="292">
        <v>1</v>
      </c>
      <c r="G31" s="301"/>
      <c r="H31" s="294"/>
      <c r="I31" s="294"/>
      <c r="J31" s="294"/>
      <c r="K31" s="294"/>
      <c r="L31" s="294"/>
      <c r="M31" s="295"/>
      <c r="N31" s="295"/>
      <c r="O31" s="295"/>
      <c r="P31" s="295"/>
      <c r="Q31" s="295"/>
      <c r="R31" s="295"/>
      <c r="S31" s="295"/>
      <c r="T31" s="295"/>
      <c r="U31" s="296">
        <v>42478</v>
      </c>
      <c r="V31" s="292">
        <f t="shared" si="0"/>
        <v>1</v>
      </c>
      <c r="W31" s="297">
        <f t="shared" si="2"/>
        <v>90800</v>
      </c>
      <c r="X31" s="297">
        <f t="shared" si="3"/>
        <v>0</v>
      </c>
      <c r="Y31" s="297">
        <f>SUMIF(Table2[Milestone/ Line],$B31,Table2[Invoice Amount])</f>
        <v>90800</v>
      </c>
      <c r="Z31" s="297">
        <f t="shared" si="4"/>
        <v>0</v>
      </c>
      <c r="AA31" s="298"/>
    </row>
    <row r="32" spans="1:27" ht="14.4" customHeight="1" x14ac:dyDescent="0.25">
      <c r="A32" s="289">
        <v>22</v>
      </c>
      <c r="B32" s="299" t="s">
        <v>490</v>
      </c>
      <c r="C32" s="290">
        <f t="shared" si="1"/>
        <v>22</v>
      </c>
      <c r="D32" s="290"/>
      <c r="E32" s="300">
        <v>49696</v>
      </c>
      <c r="F32" s="292">
        <v>0.152</v>
      </c>
      <c r="G32" s="301"/>
      <c r="H32" s="294">
        <v>7554.66</v>
      </c>
      <c r="I32" s="294"/>
      <c r="J32" s="294"/>
      <c r="K32" s="294"/>
      <c r="L32" s="294"/>
      <c r="M32" s="295"/>
      <c r="N32" s="295"/>
      <c r="O32" s="295"/>
      <c r="P32" s="295"/>
      <c r="Q32" s="295"/>
      <c r="R32" s="295"/>
      <c r="S32" s="295"/>
      <c r="T32" s="295"/>
      <c r="U32" s="296">
        <v>42905</v>
      </c>
      <c r="V32" s="292">
        <f t="shared" si="0"/>
        <v>0.30401746619446235</v>
      </c>
      <c r="W32" s="297">
        <f t="shared" si="2"/>
        <v>15108.452000000001</v>
      </c>
      <c r="X32" s="297">
        <f t="shared" si="3"/>
        <v>42141.34</v>
      </c>
      <c r="Y32" s="297">
        <f>SUMIF(Table2[Milestone/ Line],$B32,Table2[Invoice Amount])</f>
        <v>7554.66</v>
      </c>
      <c r="Z32" s="297">
        <f t="shared" si="4"/>
        <v>0</v>
      </c>
      <c r="AA32" s="298"/>
    </row>
    <row r="33" spans="1:27" ht="14.4" customHeight="1" x14ac:dyDescent="0.25">
      <c r="A33" s="289">
        <v>23</v>
      </c>
      <c r="B33" s="299" t="s">
        <v>491</v>
      </c>
      <c r="C33" s="290">
        <f t="shared" si="1"/>
        <v>23</v>
      </c>
      <c r="D33" s="290"/>
      <c r="E33" s="300">
        <v>323136</v>
      </c>
      <c r="F33" s="292">
        <v>0.97727272727269998</v>
      </c>
      <c r="G33" s="301"/>
      <c r="H33" s="294"/>
      <c r="I33" s="294"/>
      <c r="J33" s="294"/>
      <c r="K33" s="294"/>
      <c r="L33" s="294"/>
      <c r="M33" s="295"/>
      <c r="N33" s="295"/>
      <c r="O33" s="295"/>
      <c r="P33" s="295"/>
      <c r="Q33" s="295"/>
      <c r="R33" s="295"/>
      <c r="S33" s="295"/>
      <c r="T33" s="295"/>
      <c r="U33" s="296">
        <v>42653</v>
      </c>
      <c r="V33" s="292">
        <f t="shared" si="0"/>
        <v>0.97727272727269998</v>
      </c>
      <c r="W33" s="297">
        <f t="shared" si="2"/>
        <v>315791.99999999115</v>
      </c>
      <c r="X33" s="297">
        <f t="shared" si="3"/>
        <v>7344</v>
      </c>
      <c r="Y33" s="297">
        <f>SUMIF(Table2[Milestone/ Line],$B33,Table2[Invoice Amount])</f>
        <v>315792</v>
      </c>
      <c r="Z33" s="297">
        <f t="shared" si="4"/>
        <v>0</v>
      </c>
      <c r="AA33" s="298" t="s">
        <v>109</v>
      </c>
    </row>
    <row r="34" spans="1:27" ht="14.4" customHeight="1" x14ac:dyDescent="0.25">
      <c r="A34" s="289">
        <v>24</v>
      </c>
      <c r="B34" s="299" t="s">
        <v>492</v>
      </c>
      <c r="C34" s="290">
        <f t="shared" si="1"/>
        <v>24</v>
      </c>
      <c r="D34" s="290"/>
      <c r="E34" s="300">
        <v>246240</v>
      </c>
      <c r="F34" s="292">
        <v>9.3404808000000006E-2</v>
      </c>
      <c r="G34" s="301">
        <v>23000</v>
      </c>
      <c r="H34" s="294">
        <v>101080</v>
      </c>
      <c r="I34" s="294"/>
      <c r="J34" s="294">
        <f>2270*8</f>
        <v>18160</v>
      </c>
      <c r="K34" s="294">
        <v>7000</v>
      </c>
      <c r="L34" s="294">
        <v>10000</v>
      </c>
      <c r="M34" s="314">
        <v>6993.21</v>
      </c>
      <c r="N34" s="295">
        <v>18000</v>
      </c>
      <c r="O34" s="295"/>
      <c r="P34" s="295"/>
      <c r="Q34" s="295"/>
      <c r="R34" s="295"/>
      <c r="S34" s="295"/>
      <c r="T34" s="295"/>
      <c r="U34" s="296">
        <v>42933</v>
      </c>
      <c r="V34" s="292">
        <f t="shared" si="0"/>
        <v>0.84159035868226129</v>
      </c>
      <c r="W34" s="297">
        <f t="shared" si="2"/>
        <v>207233.20992192003</v>
      </c>
      <c r="X34" s="297">
        <f t="shared" si="3"/>
        <v>60000</v>
      </c>
      <c r="Y34" s="297">
        <f>SUMIF(Table2[Milestone/ Line],$B34,Table2[Invoice Amount])</f>
        <v>186240</v>
      </c>
      <c r="Z34" s="297">
        <f t="shared" si="4"/>
        <v>0</v>
      </c>
      <c r="AA34" s="298" t="s">
        <v>113</v>
      </c>
    </row>
    <row r="35" spans="1:27" ht="14.4" customHeight="1" x14ac:dyDescent="0.25">
      <c r="A35" s="289">
        <v>25</v>
      </c>
      <c r="B35" s="299" t="s">
        <v>493</v>
      </c>
      <c r="C35" s="290">
        <f t="shared" si="1"/>
        <v>25</v>
      </c>
      <c r="D35" s="290"/>
      <c r="E35" s="300">
        <v>147200</v>
      </c>
      <c r="F35" s="292">
        <v>0.3125</v>
      </c>
      <c r="G35" s="301">
        <v>9200</v>
      </c>
      <c r="H35" s="294">
        <v>9200</v>
      </c>
      <c r="I35" s="294">
        <v>9200</v>
      </c>
      <c r="J35" s="294">
        <v>9200</v>
      </c>
      <c r="K35" s="294">
        <v>9200</v>
      </c>
      <c r="L35" s="294">
        <v>9200</v>
      </c>
      <c r="M35" s="295">
        <v>9200</v>
      </c>
      <c r="N35" s="295">
        <v>9200</v>
      </c>
      <c r="O35" s="295"/>
      <c r="P35" s="295"/>
      <c r="Q35" s="295"/>
      <c r="R35" s="295"/>
      <c r="S35" s="295"/>
      <c r="T35" s="295"/>
      <c r="U35" s="296">
        <v>42933</v>
      </c>
      <c r="V35" s="292">
        <f t="shared" si="0"/>
        <v>0.8125</v>
      </c>
      <c r="W35" s="297">
        <f t="shared" si="2"/>
        <v>119600</v>
      </c>
      <c r="X35" s="297">
        <f t="shared" si="3"/>
        <v>55200</v>
      </c>
      <c r="Y35" s="297">
        <f>SUMIF(Table2[Milestone/ Line],$B35,Table2[Invoice Amount])</f>
        <v>92000</v>
      </c>
      <c r="Z35" s="297">
        <f t="shared" si="4"/>
        <v>0</v>
      </c>
      <c r="AA35" s="298" t="s">
        <v>114</v>
      </c>
    </row>
    <row r="36" spans="1:27" ht="14.4" customHeight="1" x14ac:dyDescent="0.25">
      <c r="A36" s="289">
        <v>26</v>
      </c>
      <c r="B36" s="299" t="s">
        <v>71</v>
      </c>
      <c r="C36" s="290">
        <f t="shared" si="1"/>
        <v>26</v>
      </c>
      <c r="D36" s="290"/>
      <c r="E36" s="300">
        <v>160750</v>
      </c>
      <c r="F36" s="292"/>
      <c r="G36" s="301"/>
      <c r="H36" s="294"/>
      <c r="I36" s="294"/>
      <c r="J36" s="294"/>
      <c r="K36" s="294">
        <v>160750</v>
      </c>
      <c r="L36" s="294"/>
      <c r="M36" s="295"/>
      <c r="N36" s="295"/>
      <c r="O36" s="295"/>
      <c r="P36" s="295"/>
      <c r="Q36" s="295"/>
      <c r="R36" s="295"/>
      <c r="S36" s="295"/>
      <c r="T36" s="295"/>
      <c r="U36" s="296">
        <v>42822</v>
      </c>
      <c r="V36" s="292">
        <f t="shared" si="0"/>
        <v>1</v>
      </c>
      <c r="W36" s="297">
        <f t="shared" si="2"/>
        <v>160750</v>
      </c>
      <c r="X36" s="297">
        <f t="shared" si="3"/>
        <v>0</v>
      </c>
      <c r="Y36" s="297">
        <f>SUMIF(Table2[Milestone/ Line],$B36,Table2[Invoice Amount])</f>
        <v>160750</v>
      </c>
      <c r="Z36" s="297">
        <f t="shared" si="4"/>
        <v>0</v>
      </c>
      <c r="AA36" s="298"/>
    </row>
    <row r="37" spans="1:27" ht="14.4" customHeight="1" x14ac:dyDescent="0.25">
      <c r="A37" s="289">
        <v>27</v>
      </c>
      <c r="B37" s="299" t="s">
        <v>72</v>
      </c>
      <c r="C37" s="290">
        <f t="shared" si="1"/>
        <v>27</v>
      </c>
      <c r="D37" s="290"/>
      <c r="E37" s="300">
        <v>160750</v>
      </c>
      <c r="F37" s="292"/>
      <c r="G37" s="301"/>
      <c r="H37" s="294"/>
      <c r="I37" s="294"/>
      <c r="J37" s="294">
        <f>160750/2</f>
        <v>80375</v>
      </c>
      <c r="K37" s="294"/>
      <c r="L37" s="294">
        <v>80375</v>
      </c>
      <c r="M37" s="295"/>
      <c r="N37" s="295"/>
      <c r="O37" s="295"/>
      <c r="P37" s="295"/>
      <c r="Q37" s="295"/>
      <c r="R37" s="295"/>
      <c r="S37" s="295"/>
      <c r="T37" s="295"/>
      <c r="U37" s="296">
        <v>42830</v>
      </c>
      <c r="V37" s="292">
        <f t="shared" si="0"/>
        <v>1</v>
      </c>
      <c r="W37" s="297">
        <f t="shared" si="2"/>
        <v>160750</v>
      </c>
      <c r="X37" s="297">
        <f t="shared" si="3"/>
        <v>0</v>
      </c>
      <c r="Y37" s="297">
        <f>SUMIF(Table2[Milestone/ Line],$B37,Table2[Invoice Amount])</f>
        <v>160750</v>
      </c>
      <c r="Z37" s="297">
        <f t="shared" si="4"/>
        <v>0</v>
      </c>
      <c r="AA37" s="298"/>
    </row>
    <row r="38" spans="1:27" ht="14.4" customHeight="1" x14ac:dyDescent="0.25">
      <c r="A38" s="289">
        <v>28</v>
      </c>
      <c r="B38" s="299" t="s">
        <v>73</v>
      </c>
      <c r="C38" s="290">
        <f t="shared" si="1"/>
        <v>28</v>
      </c>
      <c r="D38" s="290"/>
      <c r="E38" s="300">
        <v>160750</v>
      </c>
      <c r="F38" s="292"/>
      <c r="G38" s="301"/>
      <c r="H38" s="294"/>
      <c r="I38" s="294"/>
      <c r="J38" s="294">
        <f>160750/4</f>
        <v>40187.5</v>
      </c>
      <c r="K38" s="294">
        <v>120562.5</v>
      </c>
      <c r="L38" s="294"/>
      <c r="M38" s="295"/>
      <c r="N38" s="295"/>
      <c r="O38" s="295"/>
      <c r="P38" s="295"/>
      <c r="Q38" s="295"/>
      <c r="R38" s="295"/>
      <c r="S38" s="295"/>
      <c r="T38" s="295"/>
      <c r="U38" s="296">
        <v>42838</v>
      </c>
      <c r="V38" s="292">
        <f t="shared" si="0"/>
        <v>1</v>
      </c>
      <c r="W38" s="297">
        <f t="shared" si="2"/>
        <v>160750</v>
      </c>
      <c r="X38" s="297">
        <f t="shared" si="3"/>
        <v>0</v>
      </c>
      <c r="Y38" s="297">
        <f>SUMIF(Table2[Milestone/ Line],$B38,Table2[Invoice Amount])</f>
        <v>160750</v>
      </c>
      <c r="Z38" s="297">
        <f t="shared" si="4"/>
        <v>0</v>
      </c>
      <c r="AA38" s="298"/>
    </row>
    <row r="39" spans="1:27" ht="14.4" customHeight="1" x14ac:dyDescent="0.25">
      <c r="A39" s="289">
        <v>29</v>
      </c>
      <c r="B39" s="299" t="s">
        <v>74</v>
      </c>
      <c r="C39" s="290">
        <f t="shared" si="1"/>
        <v>29</v>
      </c>
      <c r="D39" s="290"/>
      <c r="E39" s="300">
        <v>160750</v>
      </c>
      <c r="F39" s="292"/>
      <c r="G39" s="301"/>
      <c r="H39" s="294"/>
      <c r="I39" s="294"/>
      <c r="J39" s="294"/>
      <c r="K39" s="294"/>
      <c r="L39" s="294">
        <v>160750</v>
      </c>
      <c r="M39" s="295"/>
      <c r="N39" s="295"/>
      <c r="O39" s="295"/>
      <c r="P39" s="295"/>
      <c r="Q39" s="295"/>
      <c r="R39" s="295"/>
      <c r="S39" s="295"/>
      <c r="T39" s="295"/>
      <c r="U39" s="296">
        <v>42846</v>
      </c>
      <c r="V39" s="292">
        <f t="shared" si="0"/>
        <v>1</v>
      </c>
      <c r="W39" s="297">
        <f t="shared" si="2"/>
        <v>160750</v>
      </c>
      <c r="X39" s="297">
        <f t="shared" si="3"/>
        <v>0</v>
      </c>
      <c r="Y39" s="297">
        <f>SUMIF(Table2[Milestone/ Line],$B39,Table2[Invoice Amount])</f>
        <v>160750</v>
      </c>
      <c r="Z39" s="297">
        <f t="shared" si="4"/>
        <v>0</v>
      </c>
      <c r="AA39" s="298"/>
    </row>
    <row r="40" spans="1:27" ht="14.4" customHeight="1" x14ac:dyDescent="0.25">
      <c r="A40" s="289">
        <v>30</v>
      </c>
      <c r="B40" s="299" t="s">
        <v>75</v>
      </c>
      <c r="C40" s="290">
        <f t="shared" si="1"/>
        <v>30</v>
      </c>
      <c r="D40" s="290"/>
      <c r="E40" s="300">
        <v>160750</v>
      </c>
      <c r="F40" s="292"/>
      <c r="G40" s="301"/>
      <c r="H40" s="294"/>
      <c r="I40" s="294"/>
      <c r="J40" s="294"/>
      <c r="K40" s="294"/>
      <c r="L40" s="294">
        <v>160750</v>
      </c>
      <c r="M40" s="295"/>
      <c r="N40" s="295"/>
      <c r="O40" s="295"/>
      <c r="P40" s="295"/>
      <c r="Q40" s="295"/>
      <c r="R40" s="295"/>
      <c r="S40" s="295"/>
      <c r="T40" s="295"/>
      <c r="U40" s="296">
        <v>42856</v>
      </c>
      <c r="V40" s="292">
        <f t="shared" si="0"/>
        <v>1</v>
      </c>
      <c r="W40" s="297">
        <f t="shared" si="2"/>
        <v>160750</v>
      </c>
      <c r="X40" s="297">
        <f t="shared" si="3"/>
        <v>0</v>
      </c>
      <c r="Y40" s="297">
        <f>SUMIF(Table2[Milestone/ Line],$B40,Table2[Invoice Amount])</f>
        <v>160750</v>
      </c>
      <c r="Z40" s="297">
        <f t="shared" si="4"/>
        <v>0</v>
      </c>
      <c r="AA40" s="298"/>
    </row>
    <row r="41" spans="1:27" ht="14.4" customHeight="1" x14ac:dyDescent="0.25">
      <c r="A41" s="289">
        <v>31</v>
      </c>
      <c r="B41" s="299" t="s">
        <v>76</v>
      </c>
      <c r="C41" s="290">
        <f t="shared" si="1"/>
        <v>31</v>
      </c>
      <c r="D41" s="290"/>
      <c r="E41" s="300">
        <v>160750</v>
      </c>
      <c r="F41" s="292"/>
      <c r="G41" s="301"/>
      <c r="H41" s="294"/>
      <c r="I41" s="294"/>
      <c r="J41" s="294"/>
      <c r="K41" s="294"/>
      <c r="L41" s="294">
        <v>40187.5</v>
      </c>
      <c r="M41" s="295">
        <v>120562.5</v>
      </c>
      <c r="N41" s="295"/>
      <c r="O41" s="295"/>
      <c r="P41" s="295"/>
      <c r="Q41" s="295"/>
      <c r="R41" s="295"/>
      <c r="S41" s="295"/>
      <c r="T41" s="295"/>
      <c r="U41" s="296">
        <v>42864</v>
      </c>
      <c r="V41" s="292">
        <f t="shared" si="0"/>
        <v>1</v>
      </c>
      <c r="W41" s="297">
        <f t="shared" si="2"/>
        <v>160750</v>
      </c>
      <c r="X41" s="297">
        <f t="shared" si="3"/>
        <v>120562.5</v>
      </c>
      <c r="Y41" s="297">
        <f>SUMIF(Table2[Milestone/ Line],$B41,Table2[Invoice Amount])</f>
        <v>40187.5</v>
      </c>
      <c r="Z41" s="297">
        <f t="shared" si="4"/>
        <v>0</v>
      </c>
      <c r="AA41" s="298"/>
    </row>
    <row r="42" spans="1:27" ht="14.4" customHeight="1" x14ac:dyDescent="0.25">
      <c r="A42" s="289">
        <v>32</v>
      </c>
      <c r="B42" s="299" t="s">
        <v>77</v>
      </c>
      <c r="C42" s="290">
        <f t="shared" si="1"/>
        <v>32</v>
      </c>
      <c r="D42" s="290"/>
      <c r="E42" s="300">
        <v>160750</v>
      </c>
      <c r="F42" s="292"/>
      <c r="G42" s="301"/>
      <c r="H42" s="294"/>
      <c r="I42" s="294"/>
      <c r="J42" s="294"/>
      <c r="K42" s="294"/>
      <c r="L42" s="294"/>
      <c r="M42" s="295">
        <v>160750</v>
      </c>
      <c r="N42" s="295"/>
      <c r="O42" s="295"/>
      <c r="P42" s="295"/>
      <c r="Q42" s="295"/>
      <c r="R42" s="295"/>
      <c r="S42" s="295"/>
      <c r="T42" s="295"/>
      <c r="U42" s="296">
        <v>42872</v>
      </c>
      <c r="V42" s="292">
        <f t="shared" si="0"/>
        <v>1</v>
      </c>
      <c r="W42" s="297">
        <f t="shared" si="2"/>
        <v>160750</v>
      </c>
      <c r="X42" s="297">
        <f t="shared" si="3"/>
        <v>160750</v>
      </c>
      <c r="Y42" s="297">
        <f>SUMIF(Table2[Milestone/ Line],$B42,Table2[Invoice Amount])</f>
        <v>0</v>
      </c>
      <c r="Z42" s="297">
        <f t="shared" si="4"/>
        <v>0</v>
      </c>
      <c r="AA42" s="298"/>
    </row>
    <row r="43" spans="1:27" ht="14.4" customHeight="1" x14ac:dyDescent="0.25">
      <c r="A43" s="289">
        <v>33</v>
      </c>
      <c r="B43" s="299" t="s">
        <v>78</v>
      </c>
      <c r="C43" s="290">
        <f t="shared" si="1"/>
        <v>33</v>
      </c>
      <c r="D43" s="290"/>
      <c r="E43" s="300">
        <v>160750</v>
      </c>
      <c r="F43" s="292"/>
      <c r="G43" s="301"/>
      <c r="H43" s="294"/>
      <c r="I43" s="294"/>
      <c r="J43" s="294"/>
      <c r="K43" s="294"/>
      <c r="L43" s="294"/>
      <c r="M43" s="295">
        <v>160750</v>
      </c>
      <c r="N43" s="295"/>
      <c r="O43" s="295"/>
      <c r="P43" s="295"/>
      <c r="Q43" s="295"/>
      <c r="R43" s="295"/>
      <c r="S43" s="295"/>
      <c r="T43" s="295"/>
      <c r="U43" s="296">
        <v>42880</v>
      </c>
      <c r="V43" s="292">
        <f t="shared" ref="V43:V74" si="5">IF(F43&lt;1,SUM(G43:T43)/E43+F43,1)</f>
        <v>1</v>
      </c>
      <c r="W43" s="297">
        <f t="shared" si="2"/>
        <v>160750</v>
      </c>
      <c r="X43" s="297">
        <f t="shared" si="3"/>
        <v>160750</v>
      </c>
      <c r="Y43" s="297">
        <f>SUMIF(Table2[Milestone/ Line],$B43,Table2[Invoice Amount])</f>
        <v>0</v>
      </c>
      <c r="Z43" s="297">
        <f t="shared" si="4"/>
        <v>0</v>
      </c>
      <c r="AA43" s="298"/>
    </row>
    <row r="44" spans="1:27" ht="14.4" customHeight="1" x14ac:dyDescent="0.25">
      <c r="A44" s="289">
        <v>34</v>
      </c>
      <c r="B44" s="299" t="s">
        <v>79</v>
      </c>
      <c r="C44" s="290">
        <f t="shared" si="1"/>
        <v>34</v>
      </c>
      <c r="D44" s="290"/>
      <c r="E44" s="300">
        <v>160750</v>
      </c>
      <c r="F44" s="292"/>
      <c r="G44" s="301"/>
      <c r="H44" s="294"/>
      <c r="I44" s="294"/>
      <c r="J44" s="294"/>
      <c r="K44" s="294"/>
      <c r="L44" s="294"/>
      <c r="M44" s="295"/>
      <c r="N44" s="295">
        <v>160750</v>
      </c>
      <c r="O44" s="295"/>
      <c r="P44" s="295"/>
      <c r="Q44" s="295"/>
      <c r="R44" s="295"/>
      <c r="S44" s="295"/>
      <c r="T44" s="295"/>
      <c r="U44" s="296">
        <v>42888</v>
      </c>
      <c r="V44" s="292">
        <f t="shared" si="5"/>
        <v>1</v>
      </c>
      <c r="W44" s="297">
        <f t="shared" si="2"/>
        <v>160750</v>
      </c>
      <c r="X44" s="297">
        <f t="shared" si="3"/>
        <v>160750</v>
      </c>
      <c r="Y44" s="297">
        <f>SUMIF(Table2[Milestone/ Line],$B44,Table2[Invoice Amount])</f>
        <v>0</v>
      </c>
      <c r="Z44" s="297">
        <f t="shared" si="4"/>
        <v>0</v>
      </c>
      <c r="AA44" s="298"/>
    </row>
    <row r="45" spans="1:27" ht="14.4" customHeight="1" x14ac:dyDescent="0.25">
      <c r="A45" s="289">
        <v>35</v>
      </c>
      <c r="B45" s="299" t="s">
        <v>80</v>
      </c>
      <c r="C45" s="290">
        <f t="shared" si="1"/>
        <v>35</v>
      </c>
      <c r="D45" s="290"/>
      <c r="E45" s="300">
        <v>160750</v>
      </c>
      <c r="F45" s="292"/>
      <c r="G45" s="301"/>
      <c r="H45" s="294"/>
      <c r="I45" s="294"/>
      <c r="J45" s="294"/>
      <c r="K45" s="294"/>
      <c r="L45" s="294"/>
      <c r="M45" s="295"/>
      <c r="N45" s="295">
        <v>160750</v>
      </c>
      <c r="O45" s="295"/>
      <c r="P45" s="295"/>
      <c r="Q45" s="295"/>
      <c r="R45" s="295"/>
      <c r="S45" s="295"/>
      <c r="T45" s="295"/>
      <c r="U45" s="296">
        <v>42898</v>
      </c>
      <c r="V45" s="292">
        <f t="shared" si="5"/>
        <v>1</v>
      </c>
      <c r="W45" s="297">
        <f t="shared" si="2"/>
        <v>160750</v>
      </c>
      <c r="X45" s="297">
        <f t="shared" si="3"/>
        <v>160750</v>
      </c>
      <c r="Y45" s="297">
        <f>SUMIF(Table2[Milestone/ Line],$B45,Table2[Invoice Amount])</f>
        <v>0</v>
      </c>
      <c r="Z45" s="297">
        <f t="shared" si="4"/>
        <v>0</v>
      </c>
      <c r="AA45" s="298"/>
    </row>
    <row r="46" spans="1:27" ht="14.4" customHeight="1" x14ac:dyDescent="0.25">
      <c r="A46" s="289">
        <v>36</v>
      </c>
      <c r="B46" s="299" t="s">
        <v>81</v>
      </c>
      <c r="C46" s="290">
        <f t="shared" si="1"/>
        <v>36</v>
      </c>
      <c r="D46" s="290"/>
      <c r="E46" s="300">
        <v>160750</v>
      </c>
      <c r="F46" s="292"/>
      <c r="G46" s="301"/>
      <c r="H46" s="294"/>
      <c r="I46" s="294"/>
      <c r="J46" s="294"/>
      <c r="K46" s="294"/>
      <c r="L46" s="294"/>
      <c r="M46" s="295"/>
      <c r="N46" s="295">
        <v>160750</v>
      </c>
      <c r="O46" s="295"/>
      <c r="P46" s="295"/>
      <c r="Q46" s="295"/>
      <c r="R46" s="295"/>
      <c r="S46" s="295"/>
      <c r="T46" s="295"/>
      <c r="U46" s="296">
        <v>42906</v>
      </c>
      <c r="V46" s="292">
        <f t="shared" si="5"/>
        <v>1</v>
      </c>
      <c r="W46" s="297">
        <f t="shared" si="2"/>
        <v>160750</v>
      </c>
      <c r="X46" s="297">
        <f t="shared" si="3"/>
        <v>160750</v>
      </c>
      <c r="Y46" s="297">
        <f>SUMIF(Table2[Milestone/ Line],$B46,Table2[Invoice Amount])</f>
        <v>0</v>
      </c>
      <c r="Z46" s="297">
        <f t="shared" si="4"/>
        <v>0</v>
      </c>
      <c r="AA46" s="298"/>
    </row>
    <row r="47" spans="1:27" ht="14.4" customHeight="1" x14ac:dyDescent="0.25">
      <c r="A47" s="289">
        <v>37</v>
      </c>
      <c r="B47" s="299" t="s">
        <v>82</v>
      </c>
      <c r="C47" s="290">
        <f t="shared" si="1"/>
        <v>37</v>
      </c>
      <c r="D47" s="290"/>
      <c r="E47" s="300">
        <v>160750</v>
      </c>
      <c r="F47" s="292"/>
      <c r="G47" s="301"/>
      <c r="H47" s="294"/>
      <c r="I47" s="294"/>
      <c r="J47" s="294"/>
      <c r="K47" s="294"/>
      <c r="L47" s="294"/>
      <c r="M47" s="295"/>
      <c r="N47" s="295">
        <v>160750</v>
      </c>
      <c r="O47" s="295"/>
      <c r="P47" s="295"/>
      <c r="Q47" s="295"/>
      <c r="R47" s="295"/>
      <c r="S47" s="295"/>
      <c r="T47" s="295"/>
      <c r="U47" s="296">
        <v>42914</v>
      </c>
      <c r="V47" s="292">
        <f t="shared" si="5"/>
        <v>1</v>
      </c>
      <c r="W47" s="297">
        <f t="shared" si="2"/>
        <v>160750</v>
      </c>
      <c r="X47" s="297">
        <f t="shared" si="3"/>
        <v>160750</v>
      </c>
      <c r="Y47" s="297">
        <f>SUMIF(Table2[Milestone/ Line],$B47,Table2[Invoice Amount])</f>
        <v>0</v>
      </c>
      <c r="Z47" s="297">
        <f t="shared" si="4"/>
        <v>0</v>
      </c>
      <c r="AA47" s="298"/>
    </row>
    <row r="48" spans="1:27" ht="14.4" customHeight="1" x14ac:dyDescent="0.25">
      <c r="A48" s="289">
        <v>38</v>
      </c>
      <c r="B48" s="299" t="s">
        <v>83</v>
      </c>
      <c r="C48" s="290">
        <f t="shared" si="1"/>
        <v>38</v>
      </c>
      <c r="D48" s="290"/>
      <c r="E48" s="300">
        <v>160750</v>
      </c>
      <c r="F48" s="292"/>
      <c r="G48" s="301"/>
      <c r="H48" s="294"/>
      <c r="I48" s="294"/>
      <c r="J48" s="294"/>
      <c r="K48" s="294"/>
      <c r="L48" s="294"/>
      <c r="M48" s="295"/>
      <c r="N48" s="295">
        <v>80375</v>
      </c>
      <c r="O48" s="295"/>
      <c r="P48" s="295"/>
      <c r="Q48" s="295"/>
      <c r="R48" s="295"/>
      <c r="S48" s="295"/>
      <c r="T48" s="295"/>
      <c r="U48" s="296">
        <v>42922</v>
      </c>
      <c r="V48" s="292">
        <f t="shared" si="5"/>
        <v>0.5</v>
      </c>
      <c r="W48" s="297">
        <f t="shared" si="2"/>
        <v>80375</v>
      </c>
      <c r="X48" s="297">
        <f t="shared" si="3"/>
        <v>160750</v>
      </c>
      <c r="Y48" s="297">
        <f>SUMIF(Table2[Milestone/ Line],$B48,Table2[Invoice Amount])</f>
        <v>0</v>
      </c>
      <c r="Z48" s="297">
        <f t="shared" si="4"/>
        <v>0</v>
      </c>
      <c r="AA48" s="298"/>
    </row>
    <row r="49" spans="1:27" ht="14.4" customHeight="1" x14ac:dyDescent="0.25">
      <c r="A49" s="289">
        <v>39</v>
      </c>
      <c r="B49" s="299" t="s">
        <v>84</v>
      </c>
      <c r="C49" s="290">
        <f t="shared" si="1"/>
        <v>39</v>
      </c>
      <c r="D49" s="290"/>
      <c r="E49" s="300">
        <v>160750</v>
      </c>
      <c r="F49" s="292"/>
      <c r="G49" s="301"/>
      <c r="H49" s="294"/>
      <c r="I49" s="294"/>
      <c r="J49" s="294"/>
      <c r="K49" s="294"/>
      <c r="L49" s="294"/>
      <c r="M49" s="295"/>
      <c r="N49" s="295"/>
      <c r="O49" s="295"/>
      <c r="P49" s="295"/>
      <c r="Q49" s="295"/>
      <c r="R49" s="295"/>
      <c r="S49" s="295"/>
      <c r="T49" s="295"/>
      <c r="U49" s="296">
        <v>42930</v>
      </c>
      <c r="V49" s="292">
        <f t="shared" si="5"/>
        <v>0</v>
      </c>
      <c r="W49" s="297">
        <f t="shared" si="2"/>
        <v>0</v>
      </c>
      <c r="X49" s="297">
        <f t="shared" si="3"/>
        <v>160750</v>
      </c>
      <c r="Y49" s="297">
        <f>SUMIF(Table2[Milestone/ Line],$B49,Table2[Invoice Amount])</f>
        <v>0</v>
      </c>
      <c r="Z49" s="297">
        <f t="shared" si="4"/>
        <v>0</v>
      </c>
      <c r="AA49" s="298"/>
    </row>
    <row r="50" spans="1:27" ht="14.4" customHeight="1" x14ac:dyDescent="0.25">
      <c r="A50" s="289">
        <v>40</v>
      </c>
      <c r="B50" s="299" t="s">
        <v>85</v>
      </c>
      <c r="C50" s="290">
        <f t="shared" si="1"/>
        <v>40</v>
      </c>
      <c r="D50" s="290"/>
      <c r="E50" s="300">
        <v>160750</v>
      </c>
      <c r="F50" s="292"/>
      <c r="G50" s="301"/>
      <c r="H50" s="294"/>
      <c r="I50" s="294"/>
      <c r="J50" s="294"/>
      <c r="K50" s="294"/>
      <c r="L50" s="294"/>
      <c r="M50" s="295"/>
      <c r="N50" s="295"/>
      <c r="O50" s="295"/>
      <c r="P50" s="295"/>
      <c r="Q50" s="295"/>
      <c r="R50" s="295"/>
      <c r="S50" s="295"/>
      <c r="T50" s="295"/>
      <c r="U50" s="296">
        <v>42940</v>
      </c>
      <c r="V50" s="292">
        <f t="shared" si="5"/>
        <v>0</v>
      </c>
      <c r="W50" s="297">
        <f t="shared" si="2"/>
        <v>0</v>
      </c>
      <c r="X50" s="297">
        <f t="shared" si="3"/>
        <v>160750</v>
      </c>
      <c r="Y50" s="297">
        <f>SUMIF(Table2[Milestone/ Line],$B50,Table2[Invoice Amount])</f>
        <v>0</v>
      </c>
      <c r="Z50" s="297">
        <f t="shared" si="4"/>
        <v>0</v>
      </c>
      <c r="AA50" s="298"/>
    </row>
    <row r="51" spans="1:27" ht="14.4" customHeight="1" x14ac:dyDescent="0.25">
      <c r="A51" s="289">
        <v>41</v>
      </c>
      <c r="B51" s="299" t="s">
        <v>86</v>
      </c>
      <c r="C51" s="290">
        <f t="shared" si="1"/>
        <v>41</v>
      </c>
      <c r="D51" s="290"/>
      <c r="E51" s="300">
        <v>160750</v>
      </c>
      <c r="F51" s="292"/>
      <c r="G51" s="301"/>
      <c r="H51" s="294"/>
      <c r="I51" s="294"/>
      <c r="J51" s="294"/>
      <c r="K51" s="294"/>
      <c r="L51" s="294"/>
      <c r="M51" s="295"/>
      <c r="N51" s="295"/>
      <c r="O51" s="295"/>
      <c r="P51" s="295"/>
      <c r="Q51" s="295"/>
      <c r="R51" s="295"/>
      <c r="S51" s="295"/>
      <c r="T51" s="295"/>
      <c r="U51" s="296">
        <v>42948</v>
      </c>
      <c r="V51" s="292">
        <f t="shared" si="5"/>
        <v>0</v>
      </c>
      <c r="W51" s="297">
        <f t="shared" si="2"/>
        <v>0</v>
      </c>
      <c r="X51" s="297">
        <f t="shared" si="3"/>
        <v>160750</v>
      </c>
      <c r="Y51" s="297">
        <f>SUMIF(Table2[Milestone/ Line],$B51,Table2[Invoice Amount])</f>
        <v>0</v>
      </c>
      <c r="Z51" s="297">
        <f t="shared" si="4"/>
        <v>0</v>
      </c>
      <c r="AA51" s="298"/>
    </row>
    <row r="52" spans="1:27" ht="14.4" customHeight="1" x14ac:dyDescent="0.25">
      <c r="A52" s="289">
        <v>42</v>
      </c>
      <c r="B52" s="299" t="s">
        <v>87</v>
      </c>
      <c r="C52" s="290">
        <f t="shared" si="1"/>
        <v>42</v>
      </c>
      <c r="D52" s="290"/>
      <c r="E52" s="300">
        <v>160750</v>
      </c>
      <c r="F52" s="292"/>
      <c r="G52" s="301"/>
      <c r="H52" s="294"/>
      <c r="I52" s="294"/>
      <c r="J52" s="294"/>
      <c r="K52" s="294"/>
      <c r="L52" s="294"/>
      <c r="M52" s="295"/>
      <c r="N52" s="295"/>
      <c r="O52" s="295"/>
      <c r="P52" s="295"/>
      <c r="Q52" s="295"/>
      <c r="R52" s="295"/>
      <c r="S52" s="295"/>
      <c r="T52" s="295"/>
      <c r="U52" s="296">
        <v>42956</v>
      </c>
      <c r="V52" s="292">
        <f t="shared" si="5"/>
        <v>0</v>
      </c>
      <c r="W52" s="297">
        <f t="shared" si="2"/>
        <v>0</v>
      </c>
      <c r="X52" s="297">
        <f t="shared" si="3"/>
        <v>160750</v>
      </c>
      <c r="Y52" s="297">
        <f>SUMIF(Table2[Milestone/ Line],$B52,Table2[Invoice Amount])</f>
        <v>0</v>
      </c>
      <c r="Z52" s="297">
        <f t="shared" si="4"/>
        <v>0</v>
      </c>
      <c r="AA52" s="298"/>
    </row>
    <row r="53" spans="1:27" ht="14.4" customHeight="1" x14ac:dyDescent="0.25">
      <c r="A53" s="289">
        <v>43</v>
      </c>
      <c r="B53" s="299" t="s">
        <v>88</v>
      </c>
      <c r="C53" s="290">
        <f t="shared" si="1"/>
        <v>43</v>
      </c>
      <c r="D53" s="290"/>
      <c r="E53" s="300">
        <v>160750</v>
      </c>
      <c r="F53" s="292"/>
      <c r="G53" s="301"/>
      <c r="H53" s="294"/>
      <c r="I53" s="294"/>
      <c r="J53" s="294"/>
      <c r="K53" s="294"/>
      <c r="L53" s="294"/>
      <c r="M53" s="295"/>
      <c r="N53" s="295"/>
      <c r="O53" s="295"/>
      <c r="P53" s="295"/>
      <c r="Q53" s="295"/>
      <c r="R53" s="295"/>
      <c r="S53" s="295"/>
      <c r="T53" s="295"/>
      <c r="U53" s="296">
        <v>42964</v>
      </c>
      <c r="V53" s="292">
        <f t="shared" si="5"/>
        <v>0</v>
      </c>
      <c r="W53" s="297">
        <f t="shared" si="2"/>
        <v>0</v>
      </c>
      <c r="X53" s="297">
        <f t="shared" si="3"/>
        <v>160750</v>
      </c>
      <c r="Y53" s="297">
        <f>SUMIF(Table2[Milestone/ Line],$B53,Table2[Invoice Amount])</f>
        <v>0</v>
      </c>
      <c r="Z53" s="297">
        <f t="shared" si="4"/>
        <v>0</v>
      </c>
      <c r="AA53" s="298"/>
    </row>
    <row r="54" spans="1:27" ht="14.4" customHeight="1" x14ac:dyDescent="0.25">
      <c r="A54" s="289">
        <v>44</v>
      </c>
      <c r="B54" s="299" t="s">
        <v>89</v>
      </c>
      <c r="C54" s="290">
        <f t="shared" si="1"/>
        <v>44</v>
      </c>
      <c r="D54" s="290"/>
      <c r="E54" s="300">
        <v>160750</v>
      </c>
      <c r="F54" s="292"/>
      <c r="G54" s="301"/>
      <c r="H54" s="294"/>
      <c r="I54" s="294"/>
      <c r="J54" s="294"/>
      <c r="K54" s="294"/>
      <c r="L54" s="294"/>
      <c r="M54" s="295"/>
      <c r="N54" s="295"/>
      <c r="O54" s="295"/>
      <c r="P54" s="295"/>
      <c r="Q54" s="295"/>
      <c r="R54" s="295"/>
      <c r="S54" s="295"/>
      <c r="T54" s="295"/>
      <c r="U54" s="296">
        <v>42972</v>
      </c>
      <c r="V54" s="292">
        <f t="shared" si="5"/>
        <v>0</v>
      </c>
      <c r="W54" s="297">
        <f t="shared" si="2"/>
        <v>0</v>
      </c>
      <c r="X54" s="297">
        <f t="shared" si="3"/>
        <v>160750</v>
      </c>
      <c r="Y54" s="297">
        <f>SUMIF(Table2[Milestone/ Line],$B54,Table2[Invoice Amount])</f>
        <v>0</v>
      </c>
      <c r="Z54" s="297">
        <f t="shared" si="4"/>
        <v>0</v>
      </c>
      <c r="AA54" s="298"/>
    </row>
    <row r="55" spans="1:27" ht="14.4" customHeight="1" x14ac:dyDescent="0.25">
      <c r="A55" s="289">
        <v>45</v>
      </c>
      <c r="B55" s="299" t="s">
        <v>90</v>
      </c>
      <c r="C55" s="290">
        <f t="shared" si="1"/>
        <v>45</v>
      </c>
      <c r="D55" s="290"/>
      <c r="E55" s="300">
        <v>160750</v>
      </c>
      <c r="F55" s="292"/>
      <c r="G55" s="301"/>
      <c r="H55" s="294"/>
      <c r="I55" s="294"/>
      <c r="J55" s="294"/>
      <c r="K55" s="294"/>
      <c r="L55" s="294"/>
      <c r="M55" s="295"/>
      <c r="N55" s="295"/>
      <c r="O55" s="295"/>
      <c r="P55" s="295"/>
      <c r="Q55" s="295"/>
      <c r="R55" s="295"/>
      <c r="S55" s="295"/>
      <c r="T55" s="295"/>
      <c r="U55" s="296">
        <v>42997</v>
      </c>
      <c r="V55" s="292">
        <f t="shared" si="5"/>
        <v>0</v>
      </c>
      <c r="W55" s="297">
        <f t="shared" si="2"/>
        <v>0</v>
      </c>
      <c r="X55" s="297">
        <f t="shared" si="3"/>
        <v>160750</v>
      </c>
      <c r="Y55" s="297">
        <f>SUMIF(Table2[Milestone/ Line],$B55,Table2[Invoice Amount])</f>
        <v>0</v>
      </c>
      <c r="Z55" s="297">
        <f t="shared" si="4"/>
        <v>0</v>
      </c>
      <c r="AA55" s="298"/>
    </row>
    <row r="56" spans="1:27" ht="14.4" customHeight="1" x14ac:dyDescent="0.25">
      <c r="A56" s="289">
        <v>46</v>
      </c>
      <c r="B56" s="299" t="s">
        <v>494</v>
      </c>
      <c r="C56" s="290">
        <f t="shared" si="1"/>
        <v>46</v>
      </c>
      <c r="D56" s="290"/>
      <c r="E56" s="300">
        <v>38000</v>
      </c>
      <c r="F56" s="292">
        <v>1</v>
      </c>
      <c r="G56" s="301"/>
      <c r="H56" s="294"/>
      <c r="I56" s="294"/>
      <c r="J56" s="294"/>
      <c r="K56" s="294"/>
      <c r="L56" s="294"/>
      <c r="M56" s="295"/>
      <c r="N56" s="295"/>
      <c r="O56" s="295"/>
      <c r="P56" s="295"/>
      <c r="Q56" s="295"/>
      <c r="R56" s="295"/>
      <c r="S56" s="295"/>
      <c r="T56" s="295"/>
      <c r="U56" s="296">
        <v>42614</v>
      </c>
      <c r="V56" s="292">
        <f t="shared" si="5"/>
        <v>1</v>
      </c>
      <c r="W56" s="297">
        <f t="shared" si="2"/>
        <v>38000</v>
      </c>
      <c r="X56" s="297">
        <f t="shared" si="3"/>
        <v>0</v>
      </c>
      <c r="Y56" s="297">
        <f>SUMIF(Table2[Milestone/ Line],$B56,Table2[Invoice Amount])</f>
        <v>38000</v>
      </c>
      <c r="Z56" s="297">
        <f t="shared" si="4"/>
        <v>0</v>
      </c>
      <c r="AA56" s="298"/>
    </row>
    <row r="57" spans="1:27" ht="14.4" customHeight="1" x14ac:dyDescent="0.25">
      <c r="A57" s="289">
        <v>47</v>
      </c>
      <c r="B57" s="299" t="s">
        <v>495</v>
      </c>
      <c r="C57" s="290">
        <f t="shared" si="1"/>
        <v>47</v>
      </c>
      <c r="D57" s="290"/>
      <c r="E57" s="300">
        <v>71500</v>
      </c>
      <c r="F57" s="292">
        <v>1</v>
      </c>
      <c r="G57" s="301"/>
      <c r="H57" s="294"/>
      <c r="I57" s="294"/>
      <c r="J57" s="294"/>
      <c r="K57" s="294"/>
      <c r="L57" s="294"/>
      <c r="M57" s="295"/>
      <c r="N57" s="295"/>
      <c r="O57" s="295"/>
      <c r="P57" s="295"/>
      <c r="Q57" s="295"/>
      <c r="R57" s="295"/>
      <c r="S57" s="295"/>
      <c r="T57" s="295"/>
      <c r="U57" s="296">
        <v>42643</v>
      </c>
      <c r="V57" s="292">
        <f t="shared" si="5"/>
        <v>1</v>
      </c>
      <c r="W57" s="297">
        <f t="shared" si="2"/>
        <v>71500</v>
      </c>
      <c r="X57" s="297">
        <f t="shared" si="3"/>
        <v>0</v>
      </c>
      <c r="Y57" s="297">
        <f>SUMIF(Table2[Milestone/ Line],$B57,Table2[Invoice Amount])</f>
        <v>71500</v>
      </c>
      <c r="Z57" s="297">
        <f t="shared" si="4"/>
        <v>0</v>
      </c>
      <c r="AA57" s="298"/>
    </row>
    <row r="58" spans="1:27" ht="14.4" customHeight="1" x14ac:dyDescent="0.25">
      <c r="A58" s="289">
        <v>48</v>
      </c>
      <c r="B58" s="299" t="s">
        <v>496</v>
      </c>
      <c r="C58" s="290">
        <f t="shared" si="1"/>
        <v>48</v>
      </c>
      <c r="D58" s="290">
        <v>4283.18</v>
      </c>
      <c r="E58" s="300">
        <v>484000</v>
      </c>
      <c r="F58" s="292"/>
      <c r="G58" s="301">
        <v>17132.759999999998</v>
      </c>
      <c r="H58" s="294">
        <v>102796.56000000003</v>
      </c>
      <c r="I58" s="294"/>
      <c r="J58" s="294">
        <f>16*4283.18</f>
        <v>68530.880000000005</v>
      </c>
      <c r="K58" s="294">
        <v>29982.260000000002</v>
      </c>
      <c r="L58" s="294">
        <v>47114.98</v>
      </c>
      <c r="M58" s="295">
        <v>47114.98</v>
      </c>
      <c r="N58" s="295">
        <f>4283.18*18</f>
        <v>77097.240000000005</v>
      </c>
      <c r="O58" s="295"/>
      <c r="P58" s="295"/>
      <c r="Q58" s="295"/>
      <c r="R58" s="295"/>
      <c r="S58" s="295"/>
      <c r="T58" s="295"/>
      <c r="U58" s="296">
        <v>42987</v>
      </c>
      <c r="V58" s="292">
        <f t="shared" si="5"/>
        <v>0.80530921487603302</v>
      </c>
      <c r="W58" s="297">
        <f t="shared" si="2"/>
        <v>389769.66</v>
      </c>
      <c r="X58" s="297">
        <f t="shared" si="3"/>
        <v>256991.45999999996</v>
      </c>
      <c r="Y58" s="297">
        <f>SUMIF(Table2[Milestone/ Line],$B58,Table2[Invoice Amount])</f>
        <v>227008.54000000004</v>
      </c>
      <c r="Z58" s="297">
        <f t="shared" si="4"/>
        <v>0</v>
      </c>
      <c r="AA58" s="298"/>
    </row>
    <row r="59" spans="1:27" ht="14.4" customHeight="1" x14ac:dyDescent="0.25">
      <c r="A59" s="289">
        <v>49</v>
      </c>
      <c r="B59" s="299" t="s">
        <v>497</v>
      </c>
      <c r="C59" s="290">
        <f t="shared" si="1"/>
        <v>49</v>
      </c>
      <c r="D59" s="290">
        <v>490</v>
      </c>
      <c r="E59" s="300">
        <v>57800</v>
      </c>
      <c r="F59" s="292"/>
      <c r="G59" s="302"/>
      <c r="H59" s="294">
        <v>13720</v>
      </c>
      <c r="I59" s="294">
        <v>112.56</v>
      </c>
      <c r="J59" s="294">
        <f>16*494.02</f>
        <v>7904.32</v>
      </c>
      <c r="K59" s="294">
        <v>3430</v>
      </c>
      <c r="L59" s="294">
        <v>5390</v>
      </c>
      <c r="M59" s="295">
        <v>5390</v>
      </c>
      <c r="N59" s="295">
        <f>490*18</f>
        <v>8820</v>
      </c>
      <c r="O59" s="295"/>
      <c r="P59" s="295"/>
      <c r="Q59" s="295"/>
      <c r="R59" s="295"/>
      <c r="S59" s="295"/>
      <c r="T59" s="295"/>
      <c r="U59" s="296">
        <v>42987</v>
      </c>
      <c r="V59" s="292">
        <f t="shared" si="5"/>
        <v>0.77451349480968856</v>
      </c>
      <c r="W59" s="297">
        <f t="shared" si="2"/>
        <v>44766.879999999997</v>
      </c>
      <c r="X59" s="297">
        <f t="shared" si="3"/>
        <v>47510</v>
      </c>
      <c r="Y59" s="297">
        <f>SUMIF(Table2[Milestone/ Line],$B59,Table2[Invoice Amount])</f>
        <v>10290</v>
      </c>
      <c r="Z59" s="297">
        <f t="shared" si="4"/>
        <v>0</v>
      </c>
      <c r="AA59" s="298"/>
    </row>
    <row r="60" spans="1:27" ht="14.4" customHeight="1" x14ac:dyDescent="0.25">
      <c r="A60" s="289">
        <v>50</v>
      </c>
      <c r="B60" s="299" t="s">
        <v>498</v>
      </c>
      <c r="C60" s="290">
        <f t="shared" si="1"/>
        <v>50</v>
      </c>
      <c r="D60" s="290"/>
      <c r="E60" s="300">
        <v>21335</v>
      </c>
      <c r="F60" s="292"/>
      <c r="G60" s="302"/>
      <c r="H60" s="294"/>
      <c r="I60" s="294">
        <v>21335</v>
      </c>
      <c r="J60" s="294"/>
      <c r="K60" s="294"/>
      <c r="L60" s="294"/>
      <c r="M60" s="295"/>
      <c r="N60" s="295"/>
      <c r="O60" s="295"/>
      <c r="P60" s="295"/>
      <c r="Q60" s="295"/>
      <c r="R60" s="295"/>
      <c r="S60" s="295"/>
      <c r="T60" s="295"/>
      <c r="U60" s="296">
        <v>42987</v>
      </c>
      <c r="V60" s="292">
        <f t="shared" si="5"/>
        <v>1</v>
      </c>
      <c r="W60" s="297">
        <f t="shared" si="2"/>
        <v>21335</v>
      </c>
      <c r="X60" s="297">
        <f t="shared" si="3"/>
        <v>0</v>
      </c>
      <c r="Y60" s="297">
        <f>SUMIF(Table2[Milestone/ Line],$B60,Table2[Invoice Amount])</f>
        <v>21335</v>
      </c>
      <c r="Z60" s="297">
        <f t="shared" si="4"/>
        <v>0</v>
      </c>
      <c r="AA60" s="298"/>
    </row>
    <row r="61" spans="1:27" ht="14.4" customHeight="1" x14ac:dyDescent="0.25">
      <c r="A61" s="289">
        <v>51</v>
      </c>
      <c r="B61" s="299" t="s">
        <v>499</v>
      </c>
      <c r="C61" s="290">
        <f t="shared" ref="C61:C62" si="6">A61</f>
        <v>51</v>
      </c>
      <c r="D61" s="290"/>
      <c r="E61" s="300">
        <v>499817.6</v>
      </c>
      <c r="F61" s="292"/>
      <c r="G61" s="302"/>
      <c r="H61" s="294"/>
      <c r="I61" s="294"/>
      <c r="J61" s="294"/>
      <c r="K61" s="294"/>
      <c r="L61" s="294"/>
      <c r="M61" s="295"/>
      <c r="N61" s="295"/>
      <c r="O61" s="295"/>
      <c r="P61" s="295"/>
      <c r="Q61" s="295"/>
      <c r="R61" s="295"/>
      <c r="S61" s="295"/>
      <c r="T61" s="295"/>
      <c r="U61" s="296">
        <v>43131</v>
      </c>
      <c r="V61" s="292">
        <f t="shared" si="5"/>
        <v>0</v>
      </c>
      <c r="W61" s="297">
        <f t="shared" si="2"/>
        <v>0</v>
      </c>
      <c r="X61" s="297">
        <f t="shared" si="3"/>
        <v>499817.6</v>
      </c>
      <c r="Y61" s="297">
        <f>SUMIF(Table2[Milestone/ Line],$B61,Table2[Invoice Amount])</f>
        <v>0</v>
      </c>
      <c r="Z61" s="297">
        <f t="shared" si="4"/>
        <v>0</v>
      </c>
      <c r="AA61" s="298"/>
    </row>
    <row r="62" spans="1:27" ht="14.4" customHeight="1" x14ac:dyDescent="0.25">
      <c r="A62" s="289">
        <v>52</v>
      </c>
      <c r="B62" s="299" t="s">
        <v>237</v>
      </c>
      <c r="C62" s="290">
        <f t="shared" si="6"/>
        <v>52</v>
      </c>
      <c r="D62" s="290"/>
      <c r="E62" s="300">
        <v>129500</v>
      </c>
      <c r="F62" s="292"/>
      <c r="G62" s="302"/>
      <c r="H62" s="294"/>
      <c r="I62" s="294"/>
      <c r="J62" s="294"/>
      <c r="K62" s="294"/>
      <c r="L62" s="294">
        <v>64750</v>
      </c>
      <c r="M62" s="295"/>
      <c r="N62" s="295">
        <v>64750</v>
      </c>
      <c r="O62" s="295"/>
      <c r="P62" s="295"/>
      <c r="Q62" s="295"/>
      <c r="R62" s="295"/>
      <c r="S62" s="295"/>
      <c r="T62" s="301"/>
      <c r="U62" s="296">
        <v>42888</v>
      </c>
      <c r="V62" s="292">
        <f t="shared" si="5"/>
        <v>1</v>
      </c>
      <c r="W62" s="297">
        <f t="shared" si="2"/>
        <v>129500</v>
      </c>
      <c r="X62" s="297">
        <f t="shared" si="3"/>
        <v>129500</v>
      </c>
      <c r="Y62" s="297">
        <f>SUMIF(Table2[Milestone/ Line],$B62,Table2[Invoice Amount])</f>
        <v>0</v>
      </c>
      <c r="Z62" s="297">
        <f t="shared" si="4"/>
        <v>0</v>
      </c>
      <c r="AA62" s="298"/>
    </row>
    <row r="63" spans="1:27" ht="14.4" customHeight="1" x14ac:dyDescent="0.25">
      <c r="A63" s="289">
        <v>53</v>
      </c>
      <c r="B63" s="299" t="s">
        <v>238</v>
      </c>
      <c r="C63" s="290"/>
      <c r="D63" s="290"/>
      <c r="E63" s="300">
        <v>58240</v>
      </c>
      <c r="F63" s="292"/>
      <c r="G63" s="302"/>
      <c r="H63" s="294"/>
      <c r="I63" s="294"/>
      <c r="J63" s="294"/>
      <c r="K63" s="294"/>
      <c r="L63" s="294"/>
      <c r="M63" s="295"/>
      <c r="N63" s="295"/>
      <c r="O63" s="295"/>
      <c r="P63" s="295"/>
      <c r="Q63" s="295"/>
      <c r="R63" s="295"/>
      <c r="S63" s="295"/>
      <c r="T63" s="295"/>
      <c r="U63" s="296">
        <v>42997</v>
      </c>
      <c r="V63" s="292">
        <f t="shared" si="5"/>
        <v>0</v>
      </c>
      <c r="W63" s="297">
        <f t="shared" si="2"/>
        <v>0</v>
      </c>
      <c r="X63" s="297">
        <f t="shared" si="3"/>
        <v>58240</v>
      </c>
      <c r="Y63" s="297">
        <f>SUMIF(Table2[Milestone/ Line],$B63,Table2[Invoice Amount])</f>
        <v>0</v>
      </c>
      <c r="Z63" s="297">
        <f t="shared" si="4"/>
        <v>0</v>
      </c>
      <c r="AA63" s="298"/>
    </row>
    <row r="64" spans="1:27" ht="14.4" customHeight="1" x14ac:dyDescent="0.25">
      <c r="A64" s="289">
        <v>54</v>
      </c>
      <c r="B64" s="299" t="s">
        <v>372</v>
      </c>
      <c r="C64" s="290"/>
      <c r="D64" s="290"/>
      <c r="E64" s="300">
        <v>658681</v>
      </c>
      <c r="F64" s="292"/>
      <c r="G64" s="302"/>
      <c r="H64" s="294"/>
      <c r="I64" s="294"/>
      <c r="J64" s="294"/>
      <c r="K64" s="294"/>
      <c r="L64" s="294"/>
      <c r="M64" s="295"/>
      <c r="N64" s="300">
        <v>658681</v>
      </c>
      <c r="O64" s="295"/>
      <c r="P64" s="295"/>
      <c r="Q64" s="295"/>
      <c r="R64" s="295"/>
      <c r="S64" s="295"/>
      <c r="T64" s="295"/>
      <c r="U64" s="296">
        <v>42913</v>
      </c>
      <c r="V64" s="292">
        <f t="shared" si="5"/>
        <v>1</v>
      </c>
      <c r="W64" s="297">
        <f t="shared" si="2"/>
        <v>658681</v>
      </c>
      <c r="X64" s="297">
        <f t="shared" si="3"/>
        <v>658681</v>
      </c>
      <c r="Y64" s="297">
        <f>SUMIF(Table2[Milestone/ Line],$B64,Table2[Invoice Amount])</f>
        <v>0</v>
      </c>
      <c r="Z64" s="297">
        <f t="shared" si="4"/>
        <v>0</v>
      </c>
      <c r="AA64" s="298"/>
    </row>
    <row r="65" spans="1:27" ht="14.4" customHeight="1" x14ac:dyDescent="0.25">
      <c r="A65" s="289">
        <v>55</v>
      </c>
      <c r="B65" s="299" t="s">
        <v>373</v>
      </c>
      <c r="C65" s="290"/>
      <c r="D65" s="290"/>
      <c r="E65" s="300">
        <v>658681</v>
      </c>
      <c r="F65" s="292"/>
      <c r="G65" s="302"/>
      <c r="H65" s="294"/>
      <c r="I65" s="294"/>
      <c r="J65" s="294"/>
      <c r="K65" s="294"/>
      <c r="L65" s="294"/>
      <c r="M65" s="295"/>
      <c r="N65" s="295"/>
      <c r="O65" s="295"/>
      <c r="P65" s="295"/>
      <c r="Q65" s="295"/>
      <c r="R65" s="295"/>
      <c r="S65" s="295"/>
      <c r="T65" s="295"/>
      <c r="U65" s="296">
        <v>42934</v>
      </c>
      <c r="V65" s="292">
        <f t="shared" si="5"/>
        <v>0</v>
      </c>
      <c r="W65" s="297">
        <f t="shared" si="2"/>
        <v>0</v>
      </c>
      <c r="X65" s="297">
        <f t="shared" si="3"/>
        <v>658681</v>
      </c>
      <c r="Y65" s="297">
        <f>SUMIF(Table2[Milestone/ Line],$B65,Table2[Invoice Amount])</f>
        <v>0</v>
      </c>
      <c r="Z65" s="297">
        <f t="shared" si="4"/>
        <v>0</v>
      </c>
      <c r="AA65" s="298"/>
    </row>
    <row r="66" spans="1:27" ht="14.4" customHeight="1" x14ac:dyDescent="0.25">
      <c r="A66" s="289">
        <v>56</v>
      </c>
      <c r="B66" s="299" t="s">
        <v>374</v>
      </c>
      <c r="C66" s="290"/>
      <c r="D66" s="290"/>
      <c r="E66" s="300">
        <v>69750</v>
      </c>
      <c r="F66" s="292"/>
      <c r="G66" s="302"/>
      <c r="H66" s="294"/>
      <c r="I66" s="294"/>
      <c r="J66" s="294"/>
      <c r="K66" s="294"/>
      <c r="L66" s="294"/>
      <c r="M66" s="295"/>
      <c r="N66" s="295"/>
      <c r="O66" s="295"/>
      <c r="P66" s="295"/>
      <c r="Q66" s="295"/>
      <c r="R66" s="295"/>
      <c r="S66" s="295"/>
      <c r="T66" s="295"/>
      <c r="U66" s="296">
        <v>42941</v>
      </c>
      <c r="V66" s="292">
        <f t="shared" si="5"/>
        <v>0</v>
      </c>
      <c r="W66" s="297">
        <f t="shared" si="2"/>
        <v>0</v>
      </c>
      <c r="X66" s="297">
        <f t="shared" si="3"/>
        <v>69750</v>
      </c>
      <c r="Y66" s="297">
        <f>SUMIF(Table2[Milestone/ Line],$B66,Table2[Invoice Amount])</f>
        <v>0</v>
      </c>
      <c r="Z66" s="297">
        <f t="shared" si="4"/>
        <v>0</v>
      </c>
      <c r="AA66" s="298"/>
    </row>
    <row r="67" spans="1:27" ht="14.4" customHeight="1" x14ac:dyDescent="0.25">
      <c r="A67" s="289">
        <v>57</v>
      </c>
      <c r="B67" s="299" t="s">
        <v>375</v>
      </c>
      <c r="C67" s="290"/>
      <c r="D67" s="290"/>
      <c r="E67" s="300">
        <v>69750</v>
      </c>
      <c r="F67" s="292"/>
      <c r="G67" s="302"/>
      <c r="H67" s="294"/>
      <c r="I67" s="294"/>
      <c r="J67" s="294"/>
      <c r="K67" s="294"/>
      <c r="L67" s="294"/>
      <c r="M67" s="295"/>
      <c r="N67" s="295"/>
      <c r="O67" s="295"/>
      <c r="P67" s="295"/>
      <c r="Q67" s="295"/>
      <c r="R67" s="295"/>
      <c r="S67" s="295"/>
      <c r="T67" s="295"/>
      <c r="U67" s="296">
        <v>42962</v>
      </c>
      <c r="V67" s="292">
        <f t="shared" si="5"/>
        <v>0</v>
      </c>
      <c r="W67" s="297">
        <f t="shared" si="2"/>
        <v>0</v>
      </c>
      <c r="X67" s="297">
        <f t="shared" si="3"/>
        <v>69750</v>
      </c>
      <c r="Y67" s="297">
        <f>SUMIF(Table2[Milestone/ Line],$B67,Table2[Invoice Amount])</f>
        <v>0</v>
      </c>
      <c r="Z67" s="297">
        <f t="shared" si="4"/>
        <v>0</v>
      </c>
      <c r="AA67" s="298"/>
    </row>
    <row r="68" spans="1:27" ht="14.4" customHeight="1" x14ac:dyDescent="0.25">
      <c r="A68" s="289">
        <v>58</v>
      </c>
      <c r="B68" s="299" t="s">
        <v>376</v>
      </c>
      <c r="C68" s="290"/>
      <c r="D68" s="290"/>
      <c r="E68" s="300">
        <v>299200</v>
      </c>
      <c r="F68" s="292"/>
      <c r="G68" s="302"/>
      <c r="H68" s="294"/>
      <c r="I68" s="294"/>
      <c r="J68" s="294"/>
      <c r="K68" s="294"/>
      <c r="L68" s="294"/>
      <c r="M68" s="295"/>
      <c r="N68" s="295"/>
      <c r="O68" s="295"/>
      <c r="P68" s="295"/>
      <c r="Q68" s="295"/>
      <c r="R68" s="295"/>
      <c r="S68" s="295"/>
      <c r="T68" s="295"/>
      <c r="U68" s="296">
        <v>43187</v>
      </c>
      <c r="V68" s="292">
        <f t="shared" si="5"/>
        <v>0</v>
      </c>
      <c r="W68" s="297">
        <f t="shared" si="2"/>
        <v>0</v>
      </c>
      <c r="X68" s="297">
        <f t="shared" si="3"/>
        <v>299200</v>
      </c>
      <c r="Y68" s="297">
        <f>SUMIF(Table2[Milestone/ Line],$B68,Table2[Invoice Amount])</f>
        <v>0</v>
      </c>
      <c r="Z68" s="297">
        <f t="shared" si="4"/>
        <v>0</v>
      </c>
      <c r="AA68" s="298"/>
    </row>
    <row r="69" spans="1:27" ht="14.4" customHeight="1" x14ac:dyDescent="0.25">
      <c r="A69" s="289">
        <v>59</v>
      </c>
      <c r="B69" s="299" t="s">
        <v>376</v>
      </c>
      <c r="C69" s="290"/>
      <c r="D69" s="290"/>
      <c r="E69" s="300">
        <v>299200</v>
      </c>
      <c r="F69" s="292"/>
      <c r="G69" s="302"/>
      <c r="H69" s="294"/>
      <c r="I69" s="294"/>
      <c r="J69" s="294"/>
      <c r="K69" s="294"/>
      <c r="L69" s="294"/>
      <c r="M69" s="295"/>
      <c r="N69" s="295"/>
      <c r="O69" s="295"/>
      <c r="P69" s="295"/>
      <c r="Q69" s="295"/>
      <c r="R69" s="295"/>
      <c r="S69" s="295"/>
      <c r="T69" s="295"/>
      <c r="U69" s="296">
        <v>43194</v>
      </c>
      <c r="V69" s="292">
        <f t="shared" si="5"/>
        <v>0</v>
      </c>
      <c r="W69" s="297">
        <f t="shared" si="2"/>
        <v>0</v>
      </c>
      <c r="X69" s="297">
        <f t="shared" si="3"/>
        <v>299200</v>
      </c>
      <c r="Y69" s="297">
        <f>SUMIF(Table2[Milestone/ Line],$B69,Table2[Invoice Amount])</f>
        <v>0</v>
      </c>
      <c r="Z69" s="297">
        <f t="shared" si="4"/>
        <v>0</v>
      </c>
      <c r="AA69" s="298"/>
    </row>
    <row r="70" spans="1:27" ht="14.4" customHeight="1" x14ac:dyDescent="0.25">
      <c r="A70" s="289">
        <v>60</v>
      </c>
      <c r="B70" s="299" t="s">
        <v>376</v>
      </c>
      <c r="C70" s="290"/>
      <c r="D70" s="290"/>
      <c r="E70" s="300">
        <v>299200</v>
      </c>
      <c r="F70" s="292"/>
      <c r="G70" s="302"/>
      <c r="H70" s="294"/>
      <c r="I70" s="294"/>
      <c r="J70" s="294"/>
      <c r="K70" s="294"/>
      <c r="L70" s="294"/>
      <c r="M70" s="295"/>
      <c r="N70" s="295"/>
      <c r="O70" s="295"/>
      <c r="P70" s="295"/>
      <c r="Q70" s="295"/>
      <c r="R70" s="295"/>
      <c r="S70" s="295"/>
      <c r="T70" s="295"/>
      <c r="U70" s="296">
        <v>43201</v>
      </c>
      <c r="V70" s="292">
        <f t="shared" si="5"/>
        <v>0</v>
      </c>
      <c r="W70" s="297">
        <f t="shared" si="2"/>
        <v>0</v>
      </c>
      <c r="X70" s="297">
        <f t="shared" si="3"/>
        <v>299200</v>
      </c>
      <c r="Y70" s="297">
        <f>SUMIF(Table2[Milestone/ Line],$B70,Table2[Invoice Amount])</f>
        <v>0</v>
      </c>
      <c r="Z70" s="297">
        <f t="shared" si="4"/>
        <v>0</v>
      </c>
      <c r="AA70" s="298"/>
    </row>
    <row r="71" spans="1:27" ht="14.4" customHeight="1" x14ac:dyDescent="0.25">
      <c r="A71" s="289">
        <v>61</v>
      </c>
      <c r="B71" s="299" t="s">
        <v>376</v>
      </c>
      <c r="C71" s="290"/>
      <c r="D71" s="290"/>
      <c r="E71" s="300">
        <v>299200</v>
      </c>
      <c r="F71" s="292"/>
      <c r="G71" s="302"/>
      <c r="H71" s="294"/>
      <c r="I71" s="294"/>
      <c r="J71" s="294"/>
      <c r="K71" s="294"/>
      <c r="L71" s="294"/>
      <c r="M71" s="295"/>
      <c r="N71" s="295"/>
      <c r="O71" s="295"/>
      <c r="P71" s="295"/>
      <c r="Q71" s="295"/>
      <c r="R71" s="295"/>
      <c r="S71" s="295"/>
      <c r="T71" s="295"/>
      <c r="U71" s="296">
        <v>43208</v>
      </c>
      <c r="V71" s="292">
        <f t="shared" si="5"/>
        <v>0</v>
      </c>
      <c r="W71" s="297">
        <f t="shared" si="2"/>
        <v>0</v>
      </c>
      <c r="X71" s="297">
        <f t="shared" si="3"/>
        <v>299200</v>
      </c>
      <c r="Y71" s="297">
        <f>SUMIF(Table2[Milestone/ Line],$B71,Table2[Invoice Amount])</f>
        <v>0</v>
      </c>
      <c r="Z71" s="297">
        <f t="shared" si="4"/>
        <v>0</v>
      </c>
      <c r="AA71" s="298"/>
    </row>
    <row r="72" spans="1:27" ht="14.4" customHeight="1" x14ac:dyDescent="0.25">
      <c r="A72" s="289">
        <v>62</v>
      </c>
      <c r="B72" s="299" t="s">
        <v>376</v>
      </c>
      <c r="C72" s="290"/>
      <c r="D72" s="290"/>
      <c r="E72" s="300">
        <v>299200</v>
      </c>
      <c r="F72" s="292"/>
      <c r="G72" s="302"/>
      <c r="H72" s="294"/>
      <c r="I72" s="294"/>
      <c r="J72" s="294"/>
      <c r="K72" s="294"/>
      <c r="L72" s="294"/>
      <c r="M72" s="295"/>
      <c r="N72" s="295"/>
      <c r="O72" s="295"/>
      <c r="P72" s="295"/>
      <c r="Q72" s="295"/>
      <c r="R72" s="295"/>
      <c r="S72" s="295"/>
      <c r="T72" s="295"/>
      <c r="U72" s="296">
        <v>43215</v>
      </c>
      <c r="V72" s="292">
        <f t="shared" si="5"/>
        <v>0</v>
      </c>
      <c r="W72" s="297">
        <f t="shared" si="2"/>
        <v>0</v>
      </c>
      <c r="X72" s="297">
        <f t="shared" si="3"/>
        <v>299200</v>
      </c>
      <c r="Y72" s="297">
        <f>SUMIF(Table2[Milestone/ Line],$B72,Table2[Invoice Amount])</f>
        <v>0</v>
      </c>
      <c r="Z72" s="297">
        <f t="shared" si="4"/>
        <v>0</v>
      </c>
      <c r="AA72" s="298"/>
    </row>
    <row r="73" spans="1:27" ht="14.4" customHeight="1" x14ac:dyDescent="0.25">
      <c r="A73" s="289">
        <v>63</v>
      </c>
      <c r="B73" s="299" t="s">
        <v>376</v>
      </c>
      <c r="C73" s="290"/>
      <c r="D73" s="290"/>
      <c r="E73" s="300">
        <v>299200</v>
      </c>
      <c r="F73" s="292"/>
      <c r="G73" s="302"/>
      <c r="H73" s="294"/>
      <c r="I73" s="294"/>
      <c r="J73" s="294"/>
      <c r="K73" s="294"/>
      <c r="L73" s="294"/>
      <c r="M73" s="295"/>
      <c r="N73" s="295"/>
      <c r="O73" s="295"/>
      <c r="P73" s="295"/>
      <c r="Q73" s="295"/>
      <c r="R73" s="295"/>
      <c r="S73" s="295"/>
      <c r="T73" s="295"/>
      <c r="U73" s="296">
        <v>43222</v>
      </c>
      <c r="V73" s="292">
        <f t="shared" si="5"/>
        <v>0</v>
      </c>
      <c r="W73" s="297">
        <f t="shared" si="2"/>
        <v>0</v>
      </c>
      <c r="X73" s="297">
        <f t="shared" si="3"/>
        <v>299200</v>
      </c>
      <c r="Y73" s="297">
        <f>SUMIF(Table2[Milestone/ Line],$B73,Table2[Invoice Amount])</f>
        <v>0</v>
      </c>
      <c r="Z73" s="297">
        <f t="shared" si="4"/>
        <v>0</v>
      </c>
      <c r="AA73" s="298"/>
    </row>
    <row r="74" spans="1:27" ht="14.4" customHeight="1" x14ac:dyDescent="0.25">
      <c r="A74" s="289">
        <v>64</v>
      </c>
      <c r="B74" s="299" t="s">
        <v>376</v>
      </c>
      <c r="C74" s="290"/>
      <c r="D74" s="290"/>
      <c r="E74" s="300">
        <v>299200</v>
      </c>
      <c r="F74" s="292"/>
      <c r="G74" s="302"/>
      <c r="H74" s="294"/>
      <c r="I74" s="294"/>
      <c r="J74" s="294"/>
      <c r="K74" s="294"/>
      <c r="L74" s="294"/>
      <c r="M74" s="295"/>
      <c r="N74" s="295"/>
      <c r="O74" s="295"/>
      <c r="P74" s="295"/>
      <c r="Q74" s="295"/>
      <c r="R74" s="295"/>
      <c r="S74" s="295"/>
      <c r="T74" s="295"/>
      <c r="U74" s="296">
        <v>43229</v>
      </c>
      <c r="V74" s="292">
        <f t="shared" si="5"/>
        <v>0</v>
      </c>
      <c r="W74" s="297">
        <f t="shared" si="2"/>
        <v>0</v>
      </c>
      <c r="X74" s="297">
        <f t="shared" si="3"/>
        <v>299200</v>
      </c>
      <c r="Y74" s="297">
        <f>SUMIF(Table2[Milestone/ Line],$B74,Table2[Invoice Amount])</f>
        <v>0</v>
      </c>
      <c r="Z74" s="297">
        <f t="shared" si="4"/>
        <v>0</v>
      </c>
      <c r="AA74" s="298"/>
    </row>
    <row r="75" spans="1:27" ht="14.4" customHeight="1" x14ac:dyDescent="0.25">
      <c r="A75" s="289">
        <v>65</v>
      </c>
      <c r="B75" s="299" t="s">
        <v>376</v>
      </c>
      <c r="C75" s="290"/>
      <c r="D75" s="290"/>
      <c r="E75" s="300">
        <v>299200</v>
      </c>
      <c r="F75" s="292"/>
      <c r="G75" s="302"/>
      <c r="H75" s="294"/>
      <c r="I75" s="294"/>
      <c r="J75" s="294"/>
      <c r="K75" s="294"/>
      <c r="L75" s="294"/>
      <c r="M75" s="295"/>
      <c r="N75" s="295"/>
      <c r="O75" s="295"/>
      <c r="P75" s="295"/>
      <c r="Q75" s="295"/>
      <c r="R75" s="295"/>
      <c r="S75" s="295"/>
      <c r="T75" s="295"/>
      <c r="U75" s="296">
        <v>43236</v>
      </c>
      <c r="V75" s="292">
        <f t="shared" ref="V75:V104" si="7">IF(F75&lt;1,SUM(G75:T75)/E75+F75,1)</f>
        <v>0</v>
      </c>
      <c r="W75" s="297">
        <f t="shared" si="2"/>
        <v>0</v>
      </c>
      <c r="X75" s="297">
        <f t="shared" si="3"/>
        <v>299200</v>
      </c>
      <c r="Y75" s="297">
        <f>SUMIF(Table2[Milestone/ Line],$B75,Table2[Invoice Amount])</f>
        <v>0</v>
      </c>
      <c r="Z75" s="297">
        <f t="shared" si="4"/>
        <v>0</v>
      </c>
      <c r="AA75" s="298"/>
    </row>
    <row r="76" spans="1:27" ht="14.4" customHeight="1" x14ac:dyDescent="0.25">
      <c r="A76" s="289">
        <v>66</v>
      </c>
      <c r="B76" s="299" t="s">
        <v>377</v>
      </c>
      <c r="C76" s="290"/>
      <c r="D76" s="290"/>
      <c r="E76" s="300">
        <v>23400</v>
      </c>
      <c r="F76" s="292"/>
      <c r="G76" s="302"/>
      <c r="H76" s="294"/>
      <c r="I76" s="294"/>
      <c r="J76" s="294"/>
      <c r="K76" s="294"/>
      <c r="L76" s="294"/>
      <c r="M76" s="295"/>
      <c r="N76" s="295"/>
      <c r="O76" s="295"/>
      <c r="P76" s="295"/>
      <c r="Q76" s="295"/>
      <c r="R76" s="295"/>
      <c r="S76" s="295"/>
      <c r="T76" s="295"/>
      <c r="U76" s="296">
        <v>43236</v>
      </c>
      <c r="V76" s="292">
        <f t="shared" si="7"/>
        <v>0</v>
      </c>
      <c r="W76" s="297">
        <f t="shared" ref="W76:W104" si="8">V76*E76</f>
        <v>0</v>
      </c>
      <c r="X76" s="297">
        <f t="shared" ref="X76:X94" si="9">E76-Y76</f>
        <v>23400</v>
      </c>
      <c r="Y76" s="297">
        <f>SUMIF(Table2[Milestone/ Line],$B76,Table2[Invoice Amount])</f>
        <v>0</v>
      </c>
      <c r="Z76" s="297">
        <f t="shared" ref="Z76:Z94" si="10">E76-X76-Y76</f>
        <v>0</v>
      </c>
      <c r="AA76" s="298"/>
    </row>
    <row r="77" spans="1:27" ht="14.4" customHeight="1" x14ac:dyDescent="0.25">
      <c r="A77" s="289">
        <v>67</v>
      </c>
      <c r="B77" s="299" t="s">
        <v>378</v>
      </c>
      <c r="C77" s="290"/>
      <c r="D77" s="290"/>
      <c r="E77" s="300">
        <v>93000</v>
      </c>
      <c r="F77" s="292"/>
      <c r="G77" s="302"/>
      <c r="H77" s="294"/>
      <c r="I77" s="294"/>
      <c r="J77" s="294"/>
      <c r="K77" s="294"/>
      <c r="L77" s="294"/>
      <c r="M77" s="295"/>
      <c r="N77" s="295"/>
      <c r="O77" s="295"/>
      <c r="P77" s="295"/>
      <c r="Q77" s="295"/>
      <c r="R77" s="295"/>
      <c r="S77" s="295"/>
      <c r="T77" s="295"/>
      <c r="U77" s="296">
        <v>43550</v>
      </c>
      <c r="V77" s="292">
        <f t="shared" si="7"/>
        <v>0</v>
      </c>
      <c r="W77" s="297">
        <f t="shared" si="8"/>
        <v>0</v>
      </c>
      <c r="X77" s="297">
        <f t="shared" si="9"/>
        <v>93000</v>
      </c>
      <c r="Y77" s="297">
        <f>SUMIF(Table2[Milestone/ Line],$B77,Table2[Invoice Amount])</f>
        <v>0</v>
      </c>
      <c r="Z77" s="297">
        <f t="shared" si="10"/>
        <v>0</v>
      </c>
      <c r="AA77" s="298"/>
    </row>
    <row r="78" spans="1:27" ht="14.4" customHeight="1" x14ac:dyDescent="0.25">
      <c r="A78" s="289">
        <v>68</v>
      </c>
      <c r="B78" s="299" t="s">
        <v>379</v>
      </c>
      <c r="C78" s="290"/>
      <c r="D78" s="290"/>
      <c r="E78" s="300">
        <v>1299466.75</v>
      </c>
      <c r="F78" s="292"/>
      <c r="G78" s="302"/>
      <c r="H78" s="294"/>
      <c r="I78" s="294"/>
      <c r="J78" s="294"/>
      <c r="K78" s="294"/>
      <c r="L78" s="294"/>
      <c r="M78" s="295"/>
      <c r="N78" s="295"/>
      <c r="O78" s="295"/>
      <c r="P78" s="295"/>
      <c r="Q78" s="295"/>
      <c r="R78" s="295"/>
      <c r="S78" s="295"/>
      <c r="T78" s="295"/>
      <c r="U78" s="296">
        <v>43046</v>
      </c>
      <c r="V78" s="292">
        <f t="shared" si="7"/>
        <v>0</v>
      </c>
      <c r="W78" s="297">
        <f t="shared" si="8"/>
        <v>0</v>
      </c>
      <c r="X78" s="297">
        <f t="shared" si="9"/>
        <v>1299466.75</v>
      </c>
      <c r="Y78" s="297">
        <f>SUMIF(Table2[Milestone/ Line],$B78,Table2[Invoice Amount])</f>
        <v>0</v>
      </c>
      <c r="Z78" s="297">
        <f t="shared" si="10"/>
        <v>0</v>
      </c>
      <c r="AA78" s="298"/>
    </row>
    <row r="79" spans="1:27" ht="14.4" customHeight="1" x14ac:dyDescent="0.25">
      <c r="A79" s="289">
        <v>69</v>
      </c>
      <c r="B79" s="299" t="s">
        <v>380</v>
      </c>
      <c r="C79" s="290"/>
      <c r="D79" s="290"/>
      <c r="E79" s="300">
        <v>135725</v>
      </c>
      <c r="F79" s="292"/>
      <c r="G79" s="302"/>
      <c r="H79" s="294"/>
      <c r="I79" s="294"/>
      <c r="J79" s="294"/>
      <c r="K79" s="294"/>
      <c r="L79" s="294"/>
      <c r="M79" s="295"/>
      <c r="N79" s="295"/>
      <c r="O79" s="295"/>
      <c r="P79" s="295"/>
      <c r="Q79" s="295"/>
      <c r="R79" s="295"/>
      <c r="S79" s="295"/>
      <c r="T79" s="295"/>
      <c r="U79" s="296">
        <v>43102</v>
      </c>
      <c r="V79" s="292">
        <f t="shared" si="7"/>
        <v>0</v>
      </c>
      <c r="W79" s="297">
        <f t="shared" si="8"/>
        <v>0</v>
      </c>
      <c r="X79" s="297">
        <f t="shared" si="9"/>
        <v>135725</v>
      </c>
      <c r="Y79" s="297">
        <f>SUMIF(Table2[Milestone/ Line],$B79,Table2[Invoice Amount])</f>
        <v>0</v>
      </c>
      <c r="Z79" s="297">
        <f t="shared" si="10"/>
        <v>0</v>
      </c>
      <c r="AA79" s="298"/>
    </row>
    <row r="80" spans="1:27" ht="14.4" customHeight="1" x14ac:dyDescent="0.25">
      <c r="A80" s="289">
        <v>70</v>
      </c>
      <c r="B80" s="299" t="s">
        <v>381</v>
      </c>
      <c r="C80" s="290"/>
      <c r="D80" s="290"/>
      <c r="E80" s="300">
        <v>1299466.75</v>
      </c>
      <c r="F80" s="292"/>
      <c r="G80" s="302"/>
      <c r="H80" s="294"/>
      <c r="I80" s="294"/>
      <c r="J80" s="294"/>
      <c r="K80" s="294"/>
      <c r="L80" s="294"/>
      <c r="M80" s="295"/>
      <c r="N80" s="295"/>
      <c r="O80" s="295"/>
      <c r="P80" s="295"/>
      <c r="Q80" s="295"/>
      <c r="R80" s="295"/>
      <c r="S80" s="295"/>
      <c r="T80" s="295"/>
      <c r="U80" s="296">
        <v>43158</v>
      </c>
      <c r="V80" s="292">
        <f t="shared" si="7"/>
        <v>0</v>
      </c>
      <c r="W80" s="297">
        <f t="shared" si="8"/>
        <v>0</v>
      </c>
      <c r="X80" s="297">
        <f t="shared" si="9"/>
        <v>1299466.75</v>
      </c>
      <c r="Y80" s="297">
        <f>SUMIF(Table2[Milestone/ Line],$B80,Table2[Invoice Amount])</f>
        <v>0</v>
      </c>
      <c r="Z80" s="297">
        <f t="shared" si="10"/>
        <v>0</v>
      </c>
      <c r="AA80" s="298"/>
    </row>
    <row r="81" spans="1:27" ht="14.4" customHeight="1" x14ac:dyDescent="0.25">
      <c r="A81" s="289">
        <v>71</v>
      </c>
      <c r="B81" s="299" t="s">
        <v>382</v>
      </c>
      <c r="C81" s="290"/>
      <c r="D81" s="290"/>
      <c r="E81" s="300">
        <v>135725</v>
      </c>
      <c r="F81" s="292"/>
      <c r="G81" s="302"/>
      <c r="H81" s="294"/>
      <c r="I81" s="294"/>
      <c r="J81" s="294"/>
      <c r="K81" s="294"/>
      <c r="L81" s="294"/>
      <c r="M81" s="295"/>
      <c r="N81" s="295"/>
      <c r="O81" s="295"/>
      <c r="P81" s="295"/>
      <c r="Q81" s="295"/>
      <c r="R81" s="295"/>
      <c r="S81" s="295"/>
      <c r="T81" s="295"/>
      <c r="U81" s="296">
        <v>43214</v>
      </c>
      <c r="V81" s="292">
        <f t="shared" si="7"/>
        <v>0</v>
      </c>
      <c r="W81" s="297">
        <f t="shared" si="8"/>
        <v>0</v>
      </c>
      <c r="X81" s="297">
        <f t="shared" si="9"/>
        <v>135725</v>
      </c>
      <c r="Y81" s="297">
        <f>SUMIF(Table2[Milestone/ Line],$B81,Table2[Invoice Amount])</f>
        <v>0</v>
      </c>
      <c r="Z81" s="297">
        <f t="shared" si="10"/>
        <v>0</v>
      </c>
      <c r="AA81" s="298"/>
    </row>
    <row r="82" spans="1:27" ht="14.4" customHeight="1" x14ac:dyDescent="0.25">
      <c r="A82" s="289">
        <v>72</v>
      </c>
      <c r="B82" s="299" t="s">
        <v>383</v>
      </c>
      <c r="C82" s="290"/>
      <c r="D82" s="290"/>
      <c r="E82" s="300">
        <v>1299466.75</v>
      </c>
      <c r="F82" s="292"/>
      <c r="G82" s="302"/>
      <c r="H82" s="294"/>
      <c r="I82" s="294"/>
      <c r="J82" s="294"/>
      <c r="K82" s="294"/>
      <c r="L82" s="294"/>
      <c r="M82" s="295"/>
      <c r="N82" s="295"/>
      <c r="O82" s="295"/>
      <c r="P82" s="295"/>
      <c r="Q82" s="295"/>
      <c r="R82" s="295"/>
      <c r="S82" s="295"/>
      <c r="T82" s="295"/>
      <c r="U82" s="296">
        <v>43270</v>
      </c>
      <c r="V82" s="292">
        <f t="shared" si="7"/>
        <v>0</v>
      </c>
      <c r="W82" s="297">
        <f t="shared" si="8"/>
        <v>0</v>
      </c>
      <c r="X82" s="297">
        <f t="shared" si="9"/>
        <v>1299466.75</v>
      </c>
      <c r="Y82" s="297">
        <f>SUMIF(Table2[Milestone/ Line],$B82,Table2[Invoice Amount])</f>
        <v>0</v>
      </c>
      <c r="Z82" s="297">
        <f t="shared" si="10"/>
        <v>0</v>
      </c>
      <c r="AA82" s="298"/>
    </row>
    <row r="83" spans="1:27" ht="14.4" customHeight="1" x14ac:dyDescent="0.25">
      <c r="A83" s="289">
        <v>73</v>
      </c>
      <c r="B83" s="299" t="s">
        <v>384</v>
      </c>
      <c r="C83" s="290"/>
      <c r="D83" s="290"/>
      <c r="E83" s="300">
        <v>135725</v>
      </c>
      <c r="F83" s="292"/>
      <c r="G83" s="302"/>
      <c r="H83" s="294"/>
      <c r="I83" s="294"/>
      <c r="J83" s="294"/>
      <c r="K83" s="294"/>
      <c r="L83" s="294"/>
      <c r="M83" s="295"/>
      <c r="N83" s="295"/>
      <c r="O83" s="295"/>
      <c r="P83" s="295"/>
      <c r="Q83" s="295"/>
      <c r="R83" s="295"/>
      <c r="S83" s="295"/>
      <c r="T83" s="295"/>
      <c r="U83" s="296">
        <v>43326</v>
      </c>
      <c r="V83" s="292">
        <f t="shared" si="7"/>
        <v>0</v>
      </c>
      <c r="W83" s="297">
        <f t="shared" si="8"/>
        <v>0</v>
      </c>
      <c r="X83" s="297">
        <f t="shared" si="9"/>
        <v>135725</v>
      </c>
      <c r="Y83" s="297">
        <f>SUMIF(Table2[Milestone/ Line],$B83,Table2[Invoice Amount])</f>
        <v>0</v>
      </c>
      <c r="Z83" s="297">
        <f t="shared" si="10"/>
        <v>0</v>
      </c>
      <c r="AA83" s="298"/>
    </row>
    <row r="84" spans="1:27" ht="14.4" customHeight="1" x14ac:dyDescent="0.25">
      <c r="A84" s="289">
        <v>74</v>
      </c>
      <c r="B84" s="299" t="s">
        <v>385</v>
      </c>
      <c r="C84" s="290"/>
      <c r="D84" s="290"/>
      <c r="E84" s="300">
        <v>1299466.75</v>
      </c>
      <c r="F84" s="292"/>
      <c r="G84" s="302"/>
      <c r="H84" s="294"/>
      <c r="I84" s="294"/>
      <c r="J84" s="294"/>
      <c r="K84" s="294"/>
      <c r="L84" s="294"/>
      <c r="M84" s="295"/>
      <c r="N84" s="295"/>
      <c r="O84" s="295"/>
      <c r="P84" s="295"/>
      <c r="Q84" s="295"/>
      <c r="R84" s="295"/>
      <c r="S84" s="295"/>
      <c r="T84" s="295"/>
      <c r="U84" s="296">
        <v>43382</v>
      </c>
      <c r="V84" s="292">
        <f t="shared" si="7"/>
        <v>0</v>
      </c>
      <c r="W84" s="297">
        <f t="shared" si="8"/>
        <v>0</v>
      </c>
      <c r="X84" s="297">
        <f t="shared" si="9"/>
        <v>1299466.75</v>
      </c>
      <c r="Y84" s="297">
        <f>SUMIF(Table2[Milestone/ Line],$B84,Table2[Invoice Amount])</f>
        <v>0</v>
      </c>
      <c r="Z84" s="297">
        <f t="shared" si="10"/>
        <v>0</v>
      </c>
      <c r="AA84" s="298"/>
    </row>
    <row r="85" spans="1:27" ht="14.4" customHeight="1" x14ac:dyDescent="0.25">
      <c r="A85" s="289">
        <v>75</v>
      </c>
      <c r="B85" s="299" t="s">
        <v>386</v>
      </c>
      <c r="C85" s="290"/>
      <c r="D85" s="290"/>
      <c r="E85" s="300">
        <v>135725</v>
      </c>
      <c r="F85" s="292"/>
      <c r="G85" s="302"/>
      <c r="H85" s="294"/>
      <c r="I85" s="294"/>
      <c r="J85" s="294"/>
      <c r="K85" s="294"/>
      <c r="L85" s="294"/>
      <c r="M85" s="295"/>
      <c r="N85" s="295"/>
      <c r="O85" s="295"/>
      <c r="P85" s="295"/>
      <c r="Q85" s="295"/>
      <c r="R85" s="295"/>
      <c r="S85" s="295"/>
      <c r="T85" s="295"/>
      <c r="U85" s="296">
        <v>43438</v>
      </c>
      <c r="V85" s="292">
        <f t="shared" si="7"/>
        <v>0</v>
      </c>
      <c r="W85" s="297">
        <f t="shared" si="8"/>
        <v>0</v>
      </c>
      <c r="X85" s="297">
        <f t="shared" si="9"/>
        <v>135725</v>
      </c>
      <c r="Y85" s="297">
        <f>SUMIF(Table2[Milestone/ Line],$B85,Table2[Invoice Amount])</f>
        <v>0</v>
      </c>
      <c r="Z85" s="297">
        <f t="shared" si="10"/>
        <v>0</v>
      </c>
      <c r="AA85" s="298"/>
    </row>
    <row r="86" spans="1:27" ht="14.4" customHeight="1" x14ac:dyDescent="0.25">
      <c r="A86" s="289">
        <v>76</v>
      </c>
      <c r="B86" s="299" t="s">
        <v>387</v>
      </c>
      <c r="C86" s="290"/>
      <c r="D86" s="290"/>
      <c r="E86" s="300">
        <v>4500</v>
      </c>
      <c r="F86" s="292"/>
      <c r="G86" s="302"/>
      <c r="H86" s="294"/>
      <c r="I86" s="294"/>
      <c r="J86" s="294"/>
      <c r="K86" s="294"/>
      <c r="L86" s="294"/>
      <c r="M86" s="295"/>
      <c r="N86" s="295"/>
      <c r="O86" s="295"/>
      <c r="P86" s="295"/>
      <c r="Q86" s="295"/>
      <c r="R86" s="295"/>
      <c r="S86" s="295"/>
      <c r="T86" s="295"/>
      <c r="U86" s="296">
        <v>43627</v>
      </c>
      <c r="V86" s="292">
        <f t="shared" si="7"/>
        <v>0</v>
      </c>
      <c r="W86" s="297">
        <f t="shared" si="8"/>
        <v>0</v>
      </c>
      <c r="X86" s="297">
        <f t="shared" si="9"/>
        <v>4500</v>
      </c>
      <c r="Y86" s="297">
        <f>SUMIF(Table2[Milestone/ Line],$B86,Table2[Invoice Amount])</f>
        <v>0</v>
      </c>
      <c r="Z86" s="297">
        <f t="shared" si="10"/>
        <v>0</v>
      </c>
      <c r="AA86" s="298"/>
    </row>
    <row r="87" spans="1:27" ht="14.4" customHeight="1" x14ac:dyDescent="0.25">
      <c r="A87" s="289">
        <v>77</v>
      </c>
      <c r="B87" s="299" t="s">
        <v>388</v>
      </c>
      <c r="C87" s="290"/>
      <c r="D87" s="290"/>
      <c r="E87" s="300">
        <v>52300</v>
      </c>
      <c r="F87" s="292"/>
      <c r="G87" s="302"/>
      <c r="H87" s="294"/>
      <c r="I87" s="294"/>
      <c r="J87" s="294"/>
      <c r="K87" s="294"/>
      <c r="L87" s="294"/>
      <c r="M87" s="295"/>
      <c r="N87" s="295"/>
      <c r="O87" s="295"/>
      <c r="P87" s="295"/>
      <c r="Q87" s="295"/>
      <c r="R87" s="295"/>
      <c r="S87" s="295"/>
      <c r="T87" s="295"/>
      <c r="U87" s="296">
        <v>43438</v>
      </c>
      <c r="V87" s="292">
        <f t="shared" si="7"/>
        <v>0</v>
      </c>
      <c r="W87" s="297">
        <f t="shared" si="8"/>
        <v>0</v>
      </c>
      <c r="X87" s="297">
        <f t="shared" si="9"/>
        <v>52300</v>
      </c>
      <c r="Y87" s="297">
        <f>SUMIF(Table2[Milestone/ Line],$B87,Table2[Invoice Amount])</f>
        <v>0</v>
      </c>
      <c r="Z87" s="297">
        <f t="shared" si="10"/>
        <v>0</v>
      </c>
      <c r="AA87" s="298"/>
    </row>
    <row r="88" spans="1:27" ht="14.4" customHeight="1" x14ac:dyDescent="0.25">
      <c r="A88" s="289">
        <v>78</v>
      </c>
      <c r="B88" s="299" t="s">
        <v>389</v>
      </c>
      <c r="C88" s="290"/>
      <c r="D88" s="290"/>
      <c r="E88" s="300">
        <v>19400</v>
      </c>
      <c r="F88" s="292"/>
      <c r="G88" s="302"/>
      <c r="H88" s="294"/>
      <c r="I88" s="294"/>
      <c r="J88" s="294"/>
      <c r="K88" s="294"/>
      <c r="L88" s="294"/>
      <c r="M88" s="295"/>
      <c r="N88" s="295"/>
      <c r="O88" s="295"/>
      <c r="P88" s="295"/>
      <c r="Q88" s="295"/>
      <c r="R88" s="295"/>
      <c r="S88" s="295"/>
      <c r="T88" s="295"/>
      <c r="U88" s="296">
        <v>43214</v>
      </c>
      <c r="V88" s="292">
        <f t="shared" si="7"/>
        <v>0</v>
      </c>
      <c r="W88" s="297">
        <f t="shared" si="8"/>
        <v>0</v>
      </c>
      <c r="X88" s="297">
        <f t="shared" si="9"/>
        <v>19400</v>
      </c>
      <c r="Y88" s="297">
        <f>SUMIF(Table2[Milestone/ Line],$B88,Table2[Invoice Amount])</f>
        <v>0</v>
      </c>
      <c r="Z88" s="297">
        <f t="shared" si="10"/>
        <v>0</v>
      </c>
      <c r="AA88" s="298"/>
    </row>
    <row r="89" spans="1:27" ht="14.4" customHeight="1" x14ac:dyDescent="0.25">
      <c r="A89" s="289">
        <v>79</v>
      </c>
      <c r="B89" s="299" t="s">
        <v>390</v>
      </c>
      <c r="C89" s="290"/>
      <c r="D89" s="290"/>
      <c r="E89" s="300">
        <v>19400</v>
      </c>
      <c r="F89" s="292"/>
      <c r="G89" s="302"/>
      <c r="H89" s="294"/>
      <c r="I89" s="294"/>
      <c r="J89" s="294"/>
      <c r="K89" s="294"/>
      <c r="L89" s="294"/>
      <c r="M89" s="295"/>
      <c r="N89" s="295"/>
      <c r="O89" s="295"/>
      <c r="P89" s="295"/>
      <c r="Q89" s="295"/>
      <c r="R89" s="295"/>
      <c r="S89" s="295"/>
      <c r="T89" s="295"/>
      <c r="U89" s="296">
        <v>43326</v>
      </c>
      <c r="V89" s="292">
        <f t="shared" si="7"/>
        <v>0</v>
      </c>
      <c r="W89" s="297">
        <f t="shared" si="8"/>
        <v>0</v>
      </c>
      <c r="X89" s="297">
        <f t="shared" si="9"/>
        <v>19400</v>
      </c>
      <c r="Y89" s="297">
        <f>SUMIF(Table2[Milestone/ Line],$B89,Table2[Invoice Amount])</f>
        <v>0</v>
      </c>
      <c r="Z89" s="297">
        <f t="shared" si="10"/>
        <v>0</v>
      </c>
      <c r="AA89" s="298"/>
    </row>
    <row r="90" spans="1:27" ht="14.4" customHeight="1" x14ac:dyDescent="0.25">
      <c r="A90" s="289">
        <v>80</v>
      </c>
      <c r="B90" s="299" t="s">
        <v>391</v>
      </c>
      <c r="C90" s="290"/>
      <c r="D90" s="290"/>
      <c r="E90" s="300">
        <v>19400</v>
      </c>
      <c r="F90" s="292"/>
      <c r="G90" s="302"/>
      <c r="H90" s="294"/>
      <c r="I90" s="294"/>
      <c r="J90" s="294"/>
      <c r="K90" s="294"/>
      <c r="L90" s="294"/>
      <c r="M90" s="295"/>
      <c r="N90" s="295"/>
      <c r="O90" s="295"/>
      <c r="P90" s="295"/>
      <c r="Q90" s="295"/>
      <c r="R90" s="295"/>
      <c r="S90" s="295"/>
      <c r="T90" s="295"/>
      <c r="U90" s="296">
        <v>43438</v>
      </c>
      <c r="V90" s="292">
        <f t="shared" si="7"/>
        <v>0</v>
      </c>
      <c r="W90" s="297">
        <f t="shared" si="8"/>
        <v>0</v>
      </c>
      <c r="X90" s="297">
        <f t="shared" si="9"/>
        <v>19400</v>
      </c>
      <c r="Y90" s="297">
        <f>SUMIF(Table2[Milestone/ Line],$B90,Table2[Invoice Amount])</f>
        <v>0</v>
      </c>
      <c r="Z90" s="297">
        <f t="shared" si="10"/>
        <v>0</v>
      </c>
      <c r="AA90" s="298"/>
    </row>
    <row r="91" spans="1:27" ht="14.4" customHeight="1" x14ac:dyDescent="0.25">
      <c r="A91" s="289">
        <v>81</v>
      </c>
      <c r="B91" s="299" t="s">
        <v>392</v>
      </c>
      <c r="C91" s="290"/>
      <c r="D91" s="290"/>
      <c r="E91" s="300">
        <v>19400</v>
      </c>
      <c r="F91" s="292"/>
      <c r="G91" s="302"/>
      <c r="H91" s="294"/>
      <c r="I91" s="294"/>
      <c r="J91" s="294"/>
      <c r="K91" s="294"/>
      <c r="L91" s="294"/>
      <c r="M91" s="295"/>
      <c r="N91" s="295"/>
      <c r="O91" s="295"/>
      <c r="P91" s="295"/>
      <c r="Q91" s="295"/>
      <c r="R91" s="295"/>
      <c r="S91" s="295"/>
      <c r="T91" s="295"/>
      <c r="U91" s="296">
        <v>43550</v>
      </c>
      <c r="V91" s="292">
        <f t="shared" si="7"/>
        <v>0</v>
      </c>
      <c r="W91" s="297">
        <f t="shared" si="8"/>
        <v>0</v>
      </c>
      <c r="X91" s="297">
        <f t="shared" si="9"/>
        <v>19400</v>
      </c>
      <c r="Y91" s="297">
        <f>SUMIF(Table2[Milestone/ Line],$B91,Table2[Invoice Amount])</f>
        <v>0</v>
      </c>
      <c r="Z91" s="297">
        <f t="shared" si="10"/>
        <v>0</v>
      </c>
      <c r="AA91" s="298"/>
    </row>
    <row r="92" spans="1:27" ht="14.4" customHeight="1" x14ac:dyDescent="0.25">
      <c r="A92" s="289">
        <v>82</v>
      </c>
      <c r="B92" s="299" t="s">
        <v>393</v>
      </c>
      <c r="C92" s="290"/>
      <c r="D92" s="290"/>
      <c r="E92" s="300">
        <v>492989</v>
      </c>
      <c r="F92" s="292"/>
      <c r="G92" s="302"/>
      <c r="H92" s="294"/>
      <c r="I92" s="294"/>
      <c r="J92" s="294"/>
      <c r="K92" s="294"/>
      <c r="L92" s="294">
        <v>428480</v>
      </c>
      <c r="M92" s="295">
        <v>64509</v>
      </c>
      <c r="N92" s="295"/>
      <c r="O92" s="295"/>
      <c r="P92" s="295"/>
      <c r="Q92" s="295"/>
      <c r="R92" s="295"/>
      <c r="S92" s="295"/>
      <c r="T92" s="295"/>
      <c r="U92" s="296">
        <v>42987</v>
      </c>
      <c r="V92" s="292">
        <f t="shared" si="7"/>
        <v>1</v>
      </c>
      <c r="W92" s="297">
        <f t="shared" si="8"/>
        <v>492989</v>
      </c>
      <c r="X92" s="297">
        <f t="shared" si="9"/>
        <v>64509</v>
      </c>
      <c r="Y92" s="297">
        <f>SUMIF(Table2[Milestone/ Line],$B92,Table2[Invoice Amount])</f>
        <v>428480</v>
      </c>
      <c r="Z92" s="297">
        <f t="shared" si="10"/>
        <v>0</v>
      </c>
      <c r="AA92" s="298"/>
    </row>
    <row r="93" spans="1:27" ht="14.4" customHeight="1" x14ac:dyDescent="0.25">
      <c r="A93" s="289">
        <v>83</v>
      </c>
      <c r="B93" s="299" t="s">
        <v>394</v>
      </c>
      <c r="C93" s="290"/>
      <c r="D93" s="290"/>
      <c r="E93" s="300">
        <v>499816</v>
      </c>
      <c r="F93" s="292"/>
      <c r="G93" s="302"/>
      <c r="H93" s="294"/>
      <c r="I93" s="294"/>
      <c r="J93" s="294"/>
      <c r="K93" s="294"/>
      <c r="L93" s="294"/>
      <c r="M93" s="295"/>
      <c r="N93" s="295"/>
      <c r="O93" s="295"/>
      <c r="P93" s="295"/>
      <c r="Q93" s="295"/>
      <c r="R93" s="295"/>
      <c r="S93" s="295"/>
      <c r="T93" s="295"/>
      <c r="U93" s="296">
        <v>42740</v>
      </c>
      <c r="V93" s="292">
        <f t="shared" si="7"/>
        <v>0</v>
      </c>
      <c r="W93" s="297">
        <f t="shared" si="8"/>
        <v>0</v>
      </c>
      <c r="X93" s="297">
        <f t="shared" si="9"/>
        <v>499816</v>
      </c>
      <c r="Y93" s="297">
        <f>SUMIF(Table2[Milestone/ Line],$B93,Table2[Invoice Amount])</f>
        <v>0</v>
      </c>
      <c r="Z93" s="297">
        <f t="shared" si="10"/>
        <v>0</v>
      </c>
      <c r="AA93" s="298"/>
    </row>
    <row r="94" spans="1:27" ht="14.4" customHeight="1" x14ac:dyDescent="0.25">
      <c r="A94" s="289">
        <v>84</v>
      </c>
      <c r="B94" s="299" t="s">
        <v>395</v>
      </c>
      <c r="C94" s="290"/>
      <c r="D94" s="290"/>
      <c r="E94" s="300">
        <v>40000</v>
      </c>
      <c r="F94" s="292"/>
      <c r="G94" s="302"/>
      <c r="H94" s="294"/>
      <c r="I94" s="294"/>
      <c r="J94" s="294"/>
      <c r="K94" s="294"/>
      <c r="L94" s="294"/>
      <c r="M94" s="295"/>
      <c r="N94" s="295"/>
      <c r="O94" s="295"/>
      <c r="P94" s="295"/>
      <c r="Q94" s="295"/>
      <c r="R94" s="295"/>
      <c r="S94" s="295"/>
      <c r="T94" s="295"/>
      <c r="U94" s="296">
        <v>43131</v>
      </c>
      <c r="V94" s="292">
        <f t="shared" si="7"/>
        <v>0</v>
      </c>
      <c r="W94" s="297">
        <f t="shared" si="8"/>
        <v>0</v>
      </c>
      <c r="X94" s="297">
        <f t="shared" si="9"/>
        <v>40000</v>
      </c>
      <c r="Y94" s="297">
        <f>SUMIF(Table2[Milestone/ Line],$B94,Table2[Invoice Amount])</f>
        <v>0</v>
      </c>
      <c r="Z94" s="297">
        <f t="shared" si="10"/>
        <v>0</v>
      </c>
      <c r="AA94" s="298"/>
    </row>
    <row r="95" spans="1:27" ht="14.4" customHeight="1" x14ac:dyDescent="0.25">
      <c r="A95" s="289">
        <v>85</v>
      </c>
      <c r="B95" s="299" t="s">
        <v>509</v>
      </c>
      <c r="C95" s="290"/>
      <c r="D95" s="290"/>
      <c r="E95" s="300">
        <v>6150</v>
      </c>
      <c r="F95" s="292"/>
      <c r="G95" s="302"/>
      <c r="H95" s="294"/>
      <c r="I95" s="294"/>
      <c r="J95" s="294"/>
      <c r="K95" s="294"/>
      <c r="L95" s="294"/>
      <c r="M95" s="295"/>
      <c r="N95" s="295">
        <v>6150</v>
      </c>
      <c r="O95" s="295"/>
      <c r="P95" s="295"/>
      <c r="Q95" s="295"/>
      <c r="R95" s="295"/>
      <c r="S95" s="295"/>
      <c r="T95" s="295"/>
      <c r="U95" s="296">
        <v>42885</v>
      </c>
      <c r="V95" s="292">
        <f t="shared" si="7"/>
        <v>1</v>
      </c>
      <c r="W95" s="297">
        <f t="shared" si="8"/>
        <v>6150</v>
      </c>
      <c r="X95" s="297">
        <f t="shared" ref="X95:X104" si="11">W95-Y95</f>
        <v>6150</v>
      </c>
      <c r="Y95" s="297">
        <f>SUMIF(Table2[Milestone/ Line],$B95,Table2[Invoice Amount])</f>
        <v>0</v>
      </c>
      <c r="Z95" s="297">
        <f t="shared" ref="Z95:Z104" si="12">W95-X95-Y95</f>
        <v>0</v>
      </c>
      <c r="AA95" s="298"/>
    </row>
    <row r="96" spans="1:27" ht="14.4" customHeight="1" x14ac:dyDescent="0.25">
      <c r="A96" s="289">
        <v>86</v>
      </c>
      <c r="B96" s="299" t="s">
        <v>510</v>
      </c>
      <c r="C96" s="290"/>
      <c r="D96" s="290"/>
      <c r="E96" s="300">
        <v>299200</v>
      </c>
      <c r="F96" s="292"/>
      <c r="G96" s="302"/>
      <c r="H96" s="294"/>
      <c r="I96" s="294"/>
      <c r="J96" s="294"/>
      <c r="K96" s="294"/>
      <c r="L96" s="294"/>
      <c r="M96" s="295"/>
      <c r="N96" s="295"/>
      <c r="O96" s="295"/>
      <c r="P96" s="295"/>
      <c r="Q96" s="295"/>
      <c r="R96" s="295"/>
      <c r="S96" s="295"/>
      <c r="T96" s="295"/>
      <c r="U96" s="296">
        <v>43115</v>
      </c>
      <c r="V96" s="292">
        <f t="shared" si="7"/>
        <v>0</v>
      </c>
      <c r="W96" s="297">
        <f t="shared" si="8"/>
        <v>0</v>
      </c>
      <c r="X96" s="297">
        <f t="shared" si="11"/>
        <v>0</v>
      </c>
      <c r="Y96" s="297">
        <f>SUMIF(Table2[Milestone/ Line],$B96,Table2[Invoice Amount])</f>
        <v>0</v>
      </c>
      <c r="Z96" s="297">
        <f t="shared" si="12"/>
        <v>0</v>
      </c>
      <c r="AA96" s="298"/>
    </row>
    <row r="97" spans="1:27" ht="14.4" customHeight="1" x14ac:dyDescent="0.25">
      <c r="A97" s="289">
        <v>87</v>
      </c>
      <c r="B97" s="299" t="s">
        <v>511</v>
      </c>
      <c r="C97" s="290"/>
      <c r="D97" s="290"/>
      <c r="E97" s="300">
        <v>299200</v>
      </c>
      <c r="F97" s="292"/>
      <c r="G97" s="302"/>
      <c r="H97" s="294"/>
      <c r="I97" s="294"/>
      <c r="J97" s="294"/>
      <c r="K97" s="294"/>
      <c r="L97" s="294"/>
      <c r="M97" s="295"/>
      <c r="N97" s="295"/>
      <c r="O97" s="295"/>
      <c r="P97" s="295"/>
      <c r="Q97" s="295"/>
      <c r="R97" s="295"/>
      <c r="S97" s="295"/>
      <c r="T97" s="295"/>
      <c r="U97" s="296">
        <v>43122</v>
      </c>
      <c r="V97" s="292">
        <f t="shared" si="7"/>
        <v>0</v>
      </c>
      <c r="W97" s="297">
        <f t="shared" si="8"/>
        <v>0</v>
      </c>
      <c r="X97" s="297">
        <f t="shared" si="11"/>
        <v>0</v>
      </c>
      <c r="Y97" s="297">
        <f>SUMIF(Table2[Milestone/ Line],$B97,Table2[Invoice Amount])</f>
        <v>0</v>
      </c>
      <c r="Z97" s="297">
        <f t="shared" si="12"/>
        <v>0</v>
      </c>
      <c r="AA97" s="298"/>
    </row>
    <row r="98" spans="1:27" ht="14.4" customHeight="1" x14ac:dyDescent="0.25">
      <c r="A98" s="289">
        <v>88</v>
      </c>
      <c r="B98" s="299" t="s">
        <v>512</v>
      </c>
      <c r="C98" s="290"/>
      <c r="D98" s="290"/>
      <c r="E98" s="300">
        <v>299200</v>
      </c>
      <c r="F98" s="292"/>
      <c r="G98" s="302"/>
      <c r="H98" s="294"/>
      <c r="I98" s="294"/>
      <c r="J98" s="294"/>
      <c r="K98" s="294"/>
      <c r="L98" s="294"/>
      <c r="M98" s="295"/>
      <c r="N98" s="295"/>
      <c r="O98" s="295"/>
      <c r="P98" s="295"/>
      <c r="Q98" s="295"/>
      <c r="R98" s="295"/>
      <c r="S98" s="295"/>
      <c r="T98" s="295"/>
      <c r="U98" s="296">
        <v>43129</v>
      </c>
      <c r="V98" s="292">
        <f t="shared" si="7"/>
        <v>0</v>
      </c>
      <c r="W98" s="297">
        <f t="shared" si="8"/>
        <v>0</v>
      </c>
      <c r="X98" s="297">
        <f t="shared" si="11"/>
        <v>0</v>
      </c>
      <c r="Y98" s="297">
        <f>SUMIF(Table2[Milestone/ Line],$B98,Table2[Invoice Amount])</f>
        <v>0</v>
      </c>
      <c r="Z98" s="297">
        <f t="shared" si="12"/>
        <v>0</v>
      </c>
      <c r="AA98" s="298"/>
    </row>
    <row r="99" spans="1:27" ht="14.4" customHeight="1" x14ac:dyDescent="0.25">
      <c r="A99" s="289">
        <v>89</v>
      </c>
      <c r="B99" s="299" t="s">
        <v>513</v>
      </c>
      <c r="C99" s="290"/>
      <c r="D99" s="290"/>
      <c r="E99" s="300">
        <v>299200</v>
      </c>
      <c r="F99" s="292"/>
      <c r="G99" s="302"/>
      <c r="H99" s="294"/>
      <c r="I99" s="294"/>
      <c r="J99" s="294"/>
      <c r="K99" s="294"/>
      <c r="L99" s="294"/>
      <c r="M99" s="295"/>
      <c r="N99" s="295"/>
      <c r="O99" s="295"/>
      <c r="P99" s="295"/>
      <c r="Q99" s="295"/>
      <c r="R99" s="295"/>
      <c r="S99" s="295"/>
      <c r="T99" s="295"/>
      <c r="U99" s="296">
        <v>43136</v>
      </c>
      <c r="V99" s="292">
        <f t="shared" si="7"/>
        <v>0</v>
      </c>
      <c r="W99" s="297">
        <f t="shared" si="8"/>
        <v>0</v>
      </c>
      <c r="X99" s="297">
        <f t="shared" si="11"/>
        <v>0</v>
      </c>
      <c r="Y99" s="297">
        <f>SUMIF(Table2[Milestone/ Line],$B99,Table2[Invoice Amount])</f>
        <v>0</v>
      </c>
      <c r="Z99" s="297">
        <f t="shared" si="12"/>
        <v>0</v>
      </c>
      <c r="AA99" s="298"/>
    </row>
    <row r="100" spans="1:27" ht="14.4" customHeight="1" x14ac:dyDescent="0.25">
      <c r="A100" s="289">
        <v>90</v>
      </c>
      <c r="B100" s="299" t="s">
        <v>514</v>
      </c>
      <c r="C100" s="290"/>
      <c r="D100" s="290"/>
      <c r="E100" s="300">
        <v>149600</v>
      </c>
      <c r="F100" s="292"/>
      <c r="G100" s="302"/>
      <c r="H100" s="294"/>
      <c r="I100" s="294"/>
      <c r="J100" s="294"/>
      <c r="K100" s="294"/>
      <c r="L100" s="294"/>
      <c r="M100" s="295"/>
      <c r="N100" s="295"/>
      <c r="O100" s="295"/>
      <c r="P100" s="295"/>
      <c r="Q100" s="295"/>
      <c r="R100" s="295"/>
      <c r="S100" s="295"/>
      <c r="T100" s="295"/>
      <c r="U100" s="296">
        <v>43143</v>
      </c>
      <c r="V100" s="292">
        <f t="shared" si="7"/>
        <v>0</v>
      </c>
      <c r="W100" s="297">
        <f t="shared" si="8"/>
        <v>0</v>
      </c>
      <c r="X100" s="297">
        <f t="shared" si="11"/>
        <v>0</v>
      </c>
      <c r="Y100" s="297">
        <f>SUMIF(Table2[Milestone/ Line],$B100,Table2[Invoice Amount])</f>
        <v>0</v>
      </c>
      <c r="Z100" s="297">
        <f t="shared" si="12"/>
        <v>0</v>
      </c>
      <c r="AA100" s="298"/>
    </row>
    <row r="101" spans="1:27" ht="14.4" customHeight="1" x14ac:dyDescent="0.25">
      <c r="A101" s="289">
        <v>91</v>
      </c>
      <c r="B101" s="299"/>
      <c r="C101" s="290"/>
      <c r="D101" s="290"/>
      <c r="E101" s="300"/>
      <c r="F101" s="292"/>
      <c r="G101" s="302"/>
      <c r="H101" s="294"/>
      <c r="I101" s="294"/>
      <c r="J101" s="294"/>
      <c r="K101" s="294"/>
      <c r="L101" s="294"/>
      <c r="M101" s="295"/>
      <c r="N101" s="295"/>
      <c r="O101" s="295"/>
      <c r="P101" s="295"/>
      <c r="Q101" s="295"/>
      <c r="R101" s="295"/>
      <c r="S101" s="295"/>
      <c r="T101" s="295"/>
      <c r="U101" s="296"/>
      <c r="V101" s="292"/>
      <c r="W101" s="297">
        <f t="shared" si="8"/>
        <v>0</v>
      </c>
      <c r="X101" s="297">
        <f t="shared" si="11"/>
        <v>0</v>
      </c>
      <c r="Y101" s="297">
        <f>SUMIF(Table2[Milestone/ Line],$B101,Table2[Invoice Amount])</f>
        <v>0</v>
      </c>
      <c r="Z101" s="297">
        <f t="shared" si="12"/>
        <v>0</v>
      </c>
      <c r="AA101" s="298"/>
    </row>
    <row r="102" spans="1:27" ht="14.4" customHeight="1" x14ac:dyDescent="0.25">
      <c r="A102" s="289">
        <v>92</v>
      </c>
      <c r="B102" s="299"/>
      <c r="C102" s="290"/>
      <c r="D102" s="290"/>
      <c r="E102" s="300"/>
      <c r="F102" s="292"/>
      <c r="G102" s="302"/>
      <c r="H102" s="294"/>
      <c r="I102" s="294"/>
      <c r="J102" s="294"/>
      <c r="K102" s="294"/>
      <c r="L102" s="294"/>
      <c r="M102" s="295"/>
      <c r="N102" s="295"/>
      <c r="O102" s="295"/>
      <c r="P102" s="295"/>
      <c r="Q102" s="295"/>
      <c r="R102" s="295"/>
      <c r="S102" s="295"/>
      <c r="T102" s="295"/>
      <c r="U102" s="296"/>
      <c r="V102" s="292"/>
      <c r="W102" s="297">
        <f t="shared" si="8"/>
        <v>0</v>
      </c>
      <c r="X102" s="297">
        <f t="shared" si="11"/>
        <v>0</v>
      </c>
      <c r="Y102" s="297">
        <f>SUMIF(Table2[Milestone/ Line],$B102,Table2[Invoice Amount])</f>
        <v>0</v>
      </c>
      <c r="Z102" s="297">
        <f t="shared" si="12"/>
        <v>0</v>
      </c>
      <c r="AA102" s="298"/>
    </row>
    <row r="103" spans="1:27" ht="14.4" customHeight="1" x14ac:dyDescent="0.25">
      <c r="A103" s="289">
        <v>93</v>
      </c>
      <c r="B103" s="299"/>
      <c r="C103" s="290"/>
      <c r="D103" s="290"/>
      <c r="E103" s="300"/>
      <c r="F103" s="292"/>
      <c r="G103" s="302"/>
      <c r="H103" s="294"/>
      <c r="I103" s="294"/>
      <c r="J103" s="294"/>
      <c r="K103" s="294"/>
      <c r="L103" s="294"/>
      <c r="M103" s="295"/>
      <c r="N103" s="295"/>
      <c r="O103" s="295"/>
      <c r="P103" s="295"/>
      <c r="Q103" s="295"/>
      <c r="R103" s="295"/>
      <c r="S103" s="295"/>
      <c r="T103" s="295"/>
      <c r="U103" s="296"/>
      <c r="V103" s="292"/>
      <c r="W103" s="297">
        <f t="shared" si="8"/>
        <v>0</v>
      </c>
      <c r="X103" s="297">
        <f t="shared" si="11"/>
        <v>0</v>
      </c>
      <c r="Y103" s="297">
        <f>SUMIF(Table2[Milestone/ Line],$B103,Table2[Invoice Amount])</f>
        <v>0</v>
      </c>
      <c r="Z103" s="297">
        <f t="shared" si="12"/>
        <v>0</v>
      </c>
      <c r="AA103" s="298"/>
    </row>
    <row r="104" spans="1:27" ht="14.4" customHeight="1" thickBot="1" x14ac:dyDescent="0.3">
      <c r="A104" s="289">
        <v>94</v>
      </c>
      <c r="B104" s="299"/>
      <c r="C104" s="290"/>
      <c r="D104" s="290"/>
      <c r="E104" s="300"/>
      <c r="F104" s="292"/>
      <c r="G104" s="302"/>
      <c r="H104" s="294"/>
      <c r="I104" s="294"/>
      <c r="J104" s="294"/>
      <c r="K104" s="294"/>
      <c r="L104" s="294"/>
      <c r="M104" s="295"/>
      <c r="N104" s="295"/>
      <c r="O104" s="295"/>
      <c r="P104" s="295"/>
      <c r="Q104" s="295"/>
      <c r="R104" s="295"/>
      <c r="S104" s="295"/>
      <c r="T104" s="295"/>
      <c r="U104" s="296"/>
      <c r="V104" s="292"/>
      <c r="W104" s="297">
        <f t="shared" si="8"/>
        <v>0</v>
      </c>
      <c r="X104" s="297">
        <f t="shared" si="11"/>
        <v>0</v>
      </c>
      <c r="Y104" s="297"/>
      <c r="Z104" s="297">
        <f t="shared" si="12"/>
        <v>0</v>
      </c>
      <c r="AA104" s="303"/>
    </row>
    <row r="105" spans="1:27" ht="14.4" customHeight="1" thickTop="1" x14ac:dyDescent="0.25">
      <c r="A105" s="304" t="s">
        <v>108</v>
      </c>
      <c r="B105" s="305"/>
      <c r="C105" s="306"/>
      <c r="D105" s="306"/>
      <c r="E105" s="307">
        <f>SUBTOTAL(109,' Accting USE Data Entry Form'!$E$11:$E$104)</f>
        <v>24065448.600000001</v>
      </c>
      <c r="F105" s="308"/>
      <c r="G105" s="309">
        <f>SUBTOTAL(109,' Accting USE Data Entry Form'!$M$11:$M$104)</f>
        <v>575269.68999999994</v>
      </c>
      <c r="H105" s="309">
        <f>SUBTOTAL(109,' Accting USE Data Entry Form'!$M$11:$M$104)</f>
        <v>575269.68999999994</v>
      </c>
      <c r="I105" s="309">
        <f>SUBTOTAL(109,' Accting USE Data Entry Form'!$M$11:$M$104)</f>
        <v>575269.68999999994</v>
      </c>
      <c r="J105" s="309">
        <f>SUBTOTAL(109,' Accting USE Data Entry Form'!$J$11:$J$104)</f>
        <v>545857.69999999995</v>
      </c>
      <c r="K105" s="309">
        <f>SUBTOTAL(109,' Accting USE Data Entry Form'!$K$11:$K$104)</f>
        <v>330924.76</v>
      </c>
      <c r="L105" s="309">
        <f>SUBTOTAL(109,' Accting USE Data Entry Form'!$L$11:$L$104)</f>
        <v>1006997.48</v>
      </c>
      <c r="M105" s="309">
        <f>SUBTOTAL(109,' Accting USE Data Entry Form'!$M$11:$M$104)</f>
        <v>575269.68999999994</v>
      </c>
      <c r="N105" s="309">
        <f>SUBTOTAL(109,' Accting USE Data Entry Form'!$M$11:$M$104)</f>
        <v>575269.68999999994</v>
      </c>
      <c r="O105" s="309">
        <f>SUBTOTAL(109,' Accting USE Data Entry Form'!$M$11:$M$104)</f>
        <v>575269.68999999994</v>
      </c>
      <c r="P105" s="309">
        <f>SUBTOTAL(109,' Accting USE Data Entry Form'!$M$11:$M$104)</f>
        <v>575269.68999999994</v>
      </c>
      <c r="Q105" s="309">
        <f>SUBTOTAL(109,' Accting USE Data Entry Form'!$M$11:$M$104)</f>
        <v>575269.68999999994</v>
      </c>
      <c r="R105" s="309">
        <f>SUBTOTAL(109,' Accting USE Data Entry Form'!$M$11:$M$104)</f>
        <v>575269.68999999994</v>
      </c>
      <c r="S105" s="309">
        <f>SUBTOTAL(109,' Accting USE Data Entry Form'!$M$11:$M$104)</f>
        <v>575269.68999999994</v>
      </c>
      <c r="T105" s="309">
        <f>SUBTOTAL(109,' Accting USE Data Entry Form'!$M$11:$M$104)</f>
        <v>575269.68999999994</v>
      </c>
      <c r="U105" s="310"/>
      <c r="V105" s="311"/>
      <c r="W105" s="306"/>
      <c r="X105" s="306"/>
      <c r="Y105" s="306"/>
      <c r="Z105" s="312">
        <f>SUBTOTAL(109,' Accting USE Data Entry Form'!$Z$11:$Z$104)</f>
        <v>0</v>
      </c>
      <c r="AA105" s="303"/>
    </row>
    <row r="106" spans="1:27" ht="14.4" customHeight="1" x14ac:dyDescent="0.25">
      <c r="A106" s="256"/>
      <c r="B106" s="264"/>
      <c r="C106" s="257"/>
      <c r="D106" s="257"/>
      <c r="E106" s="265"/>
      <c r="F106" s="258"/>
      <c r="G106" s="266"/>
      <c r="H106" s="259"/>
      <c r="I106" s="259"/>
      <c r="J106" s="259"/>
      <c r="K106" s="259"/>
      <c r="L106" s="259"/>
      <c r="M106" s="260"/>
      <c r="N106" s="260"/>
      <c r="O106" s="260"/>
      <c r="P106" s="260"/>
      <c r="Q106" s="260"/>
      <c r="R106" s="260"/>
      <c r="S106" s="260"/>
      <c r="T106" s="260"/>
      <c r="U106" s="261"/>
      <c r="V106" s="258"/>
      <c r="W106" s="262"/>
      <c r="X106" s="262"/>
      <c r="Y106" s="262"/>
      <c r="Z106" s="263"/>
    </row>
    <row r="107" spans="1:27" ht="14.4" customHeight="1" x14ac:dyDescent="0.25"/>
    <row r="108" spans="1:27" ht="14.4" customHeight="1" x14ac:dyDescent="0.25"/>
    <row r="109" spans="1:27" ht="14.4" customHeight="1" thickBot="1" x14ac:dyDescent="0.3">
      <c r="A109" s="59" t="s">
        <v>7</v>
      </c>
      <c r="W109" s="278"/>
      <c r="X109" s="278"/>
      <c r="Y109" s="46">
        <f>Form!K5</f>
        <v>42916</v>
      </c>
    </row>
    <row r="110" spans="1:27" ht="14.4" customHeight="1" x14ac:dyDescent="0.25">
      <c r="W110" s="57"/>
      <c r="Y110" s="74" t="s">
        <v>3</v>
      </c>
    </row>
    <row r="111" spans="1:27" x14ac:dyDescent="0.25">
      <c r="W111" s="57"/>
      <c r="Y111" s="74"/>
    </row>
    <row r="112" spans="1:27" x14ac:dyDescent="0.25">
      <c r="A112" s="59" t="s">
        <v>8</v>
      </c>
      <c r="W112" s="75"/>
      <c r="X112" s="77"/>
      <c r="Y112" s="61"/>
    </row>
    <row r="113" spans="13:25" x14ac:dyDescent="0.25">
      <c r="Y113" s="74" t="s">
        <v>3</v>
      </c>
    </row>
    <row r="117" spans="13:25" x14ac:dyDescent="0.25">
      <c r="M117" s="109">
        <v>64509</v>
      </c>
    </row>
  </sheetData>
  <sheetProtection selectLockedCells="1"/>
  <phoneticPr fontId="7" type="noConversion"/>
  <conditionalFormatting sqref="M117">
    <cfRule type="expression" dxfId="4" priority="39" stopIfTrue="1">
      <formula>AND($V92=100%,$X92=0)</formula>
    </cfRule>
    <cfRule type="expression" dxfId="3" priority="40">
      <formula>$V92=100%</formula>
    </cfRule>
  </conditionalFormatting>
  <conditionalFormatting sqref="A11:AA1003">
    <cfRule type="expression" dxfId="2" priority="41" stopIfTrue="1">
      <formula>AND($V11=100%,$X11=0)</formula>
    </cfRule>
    <cfRule type="expression" dxfId="1" priority="42">
      <formula>$V11=100%</formula>
    </cfRule>
    <cfRule type="expression" dxfId="0" priority="43">
      <formula>$V11&gt;0%</formula>
    </cfRule>
  </conditionalFormatting>
  <dataValidations count="1">
    <dataValidation allowBlank="1" sqref="J32:L104 J106:L112"/>
  </dataValidations>
  <pageMargins left="0.75" right="0.75" top="1" bottom="1" header="0.5" footer="0.5"/>
  <pageSetup scale="59" orientation="landscape" horizontalDpi="200" verticalDpi="200" r:id="rId1"/>
  <headerFooter alignWithMargins="0">
    <oddFooter>&amp;L&amp;Z&amp;F &amp;A</oddFooter>
  </headerFooter>
  <ignoredErrors>
    <ignoredError sqref="Y109" unlockedFormula="1"/>
    <ignoredError sqref="V39:V92" formulaRange="1"/>
  </ignoredErrors>
  <extLst>
    <ext xmlns:x14="http://schemas.microsoft.com/office/spreadsheetml/2009/9/main" uri="{CCE6A557-97BC-4b89-ADB6-D9C93CAAB3DF}">
      <x14:dataValidations xmlns:xm="http://schemas.microsoft.com/office/excel/2006/main" count="1">
        <x14:dataValidation type="list" allowBlank="1">
          <x14:formula1>
            <xm:f>List!$A$4:$A$24</xm:f>
          </x14:formula1>
          <xm:sqref>J11:L31 H11:I104 G59:G104 V106 F106:I106 F11:F104 V11:V104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8"/>
  <sheetViews>
    <sheetView topLeftCell="A6" zoomScale="70" zoomScaleNormal="70" workbookViewId="0">
      <pane xSplit="4" ySplit="5" topLeftCell="E28" activePane="bottomRight" state="frozen"/>
      <selection activeCell="A6" sqref="A6"/>
      <selection pane="topRight" activeCell="E6" sqref="E6"/>
      <selection pane="bottomLeft" activeCell="A11" sqref="A11"/>
      <selection pane="bottomRight" activeCell="F24" sqref="F24:F61"/>
    </sheetView>
  </sheetViews>
  <sheetFormatPr defaultColWidth="29.5546875" defaultRowHeight="13.2" x14ac:dyDescent="0.25"/>
  <cols>
    <col min="1" max="1" width="7" style="59" customWidth="1"/>
    <col min="2" max="2" width="56.109375" style="51" customWidth="1"/>
    <col min="3" max="3" width="14.33203125" style="51" customWidth="1"/>
    <col min="4" max="4" width="8.77734375" style="51" customWidth="1"/>
    <col min="5" max="5" width="11.5546875" style="51" customWidth="1"/>
    <col min="6" max="6" width="13.33203125" style="51" bestFit="1" customWidth="1"/>
    <col min="7" max="16" width="9.6640625" style="51" customWidth="1"/>
    <col min="17" max="17" width="9.6640625" style="127" customWidth="1"/>
    <col min="18" max="18" width="12.5546875" style="51" customWidth="1"/>
    <col min="19" max="19" width="16.21875" style="127" customWidth="1"/>
    <col min="20" max="20" width="4.109375" style="51" customWidth="1"/>
    <col min="21" max="21" width="14.88671875" style="51" customWidth="1"/>
    <col min="22" max="22" width="3.88671875" style="127" customWidth="1"/>
    <col min="23" max="23" width="15.77734375" style="124" customWidth="1"/>
    <col min="24" max="24" width="3.88671875" style="127" customWidth="1"/>
    <col min="25" max="25" width="12.44140625" style="51" customWidth="1"/>
    <col min="26" max="26" width="2.44140625" style="51" customWidth="1"/>
    <col min="27" max="27" width="10.77734375" style="124" customWidth="1"/>
    <col min="28" max="28" width="2.44140625" style="51" customWidth="1"/>
    <col min="29" max="29" width="14.44140625" style="124" customWidth="1"/>
    <col min="30" max="30" width="5" style="51" customWidth="1"/>
    <col min="31" max="31" width="18.77734375" style="124" customWidth="1"/>
    <col min="32" max="16384" width="29.5546875" style="51"/>
  </cols>
  <sheetData>
    <row r="1" spans="1:32" ht="15.6" x14ac:dyDescent="0.3">
      <c r="A1" s="336" t="s">
        <v>4</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row>
    <row r="2" spans="1:32" x14ac:dyDescent="0.25">
      <c r="A2" s="335" t="s">
        <v>9</v>
      </c>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row>
    <row r="3" spans="1:32" x14ac:dyDescent="0.25">
      <c r="A3" s="335" t="s">
        <v>19</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row>
    <row r="5" spans="1:32" ht="15" customHeight="1" x14ac:dyDescent="0.25">
      <c r="A5" s="54"/>
      <c r="B5" s="125" t="s">
        <v>0</v>
      </c>
      <c r="C5" s="125"/>
      <c r="D5" s="125"/>
      <c r="E5" s="125"/>
      <c r="F5" s="125"/>
      <c r="G5" s="125"/>
      <c r="H5" s="125"/>
      <c r="I5" s="125"/>
      <c r="J5" s="125"/>
      <c r="K5" s="125"/>
      <c r="L5" s="125"/>
      <c r="M5" s="125"/>
      <c r="N5" s="125"/>
      <c r="O5" s="125"/>
      <c r="P5" s="125"/>
      <c r="Q5" s="125"/>
      <c r="R5" s="124"/>
      <c r="S5" s="329" t="s">
        <v>56</v>
      </c>
      <c r="T5" s="329"/>
      <c r="U5" s="329"/>
      <c r="V5" s="329"/>
      <c r="W5" s="329"/>
      <c r="X5" s="329"/>
      <c r="Y5" s="56"/>
      <c r="Z5" s="56" t="s">
        <v>26</v>
      </c>
      <c r="AC5" s="90">
        <v>42735</v>
      </c>
    </row>
    <row r="6" spans="1:32" x14ac:dyDescent="0.25">
      <c r="A6" s="55"/>
      <c r="B6" s="124"/>
      <c r="C6" s="124"/>
      <c r="D6" s="124"/>
      <c r="E6" s="124"/>
      <c r="F6" s="124"/>
      <c r="G6" s="124"/>
      <c r="H6" s="124"/>
      <c r="I6" s="124"/>
      <c r="J6" s="124"/>
      <c r="K6" s="124"/>
      <c r="L6" s="124"/>
      <c r="M6" s="124"/>
      <c r="N6" s="124"/>
      <c r="O6" s="124"/>
      <c r="P6" s="124"/>
      <c r="Q6" s="58"/>
      <c r="R6" s="124"/>
      <c r="W6" s="57"/>
      <c r="Z6" s="56"/>
      <c r="AC6" s="58" t="s">
        <v>6</v>
      </c>
    </row>
    <row r="7" spans="1:32" ht="13.2" customHeight="1" x14ac:dyDescent="0.25">
      <c r="A7" s="124"/>
      <c r="B7" s="52" t="s">
        <v>2</v>
      </c>
      <c r="C7" s="52"/>
      <c r="D7" s="52"/>
      <c r="E7" s="52"/>
      <c r="F7" s="52"/>
      <c r="G7" s="52"/>
      <c r="H7" s="52"/>
      <c r="I7" s="52"/>
      <c r="J7" s="52"/>
      <c r="K7" s="52"/>
      <c r="L7" s="52"/>
      <c r="M7" s="52"/>
      <c r="N7" s="52"/>
      <c r="O7" s="52"/>
      <c r="P7" s="52"/>
      <c r="Q7" s="52"/>
      <c r="R7" s="124"/>
      <c r="S7" s="345" t="s">
        <v>50</v>
      </c>
      <c r="T7" s="345"/>
      <c r="U7" s="345"/>
      <c r="V7" s="345"/>
      <c r="Z7" s="56"/>
      <c r="AA7" s="47" t="s">
        <v>16</v>
      </c>
      <c r="AC7" s="57"/>
    </row>
    <row r="8" spans="1:32" x14ac:dyDescent="0.25">
      <c r="B8" s="53" t="s">
        <v>41</v>
      </c>
      <c r="C8" s="53"/>
      <c r="D8" s="53"/>
      <c r="E8" s="53"/>
      <c r="F8" s="53"/>
      <c r="G8" s="53"/>
      <c r="H8" s="53"/>
      <c r="I8" s="53"/>
      <c r="J8" s="53"/>
      <c r="K8" s="53"/>
      <c r="L8" s="53"/>
      <c r="M8" s="53"/>
      <c r="N8" s="53"/>
      <c r="O8" s="53"/>
      <c r="P8" s="53"/>
      <c r="Q8" s="53"/>
      <c r="R8" s="56"/>
      <c r="S8" s="346" t="s">
        <v>57</v>
      </c>
      <c r="T8" s="346"/>
      <c r="U8" s="346"/>
      <c r="V8" s="60"/>
      <c r="Z8" s="56" t="s">
        <v>17</v>
      </c>
      <c r="AC8" s="61"/>
    </row>
    <row r="9" spans="1:32" x14ac:dyDescent="0.25">
      <c r="B9" s="53"/>
      <c r="C9" s="53"/>
      <c r="D9" s="53"/>
      <c r="E9" s="53"/>
      <c r="F9" s="53"/>
      <c r="G9" s="53"/>
      <c r="H9" s="53"/>
      <c r="I9" s="53"/>
      <c r="J9" s="53"/>
      <c r="K9" s="53"/>
      <c r="L9" s="53"/>
      <c r="M9" s="53"/>
      <c r="N9" s="53"/>
      <c r="O9" s="53"/>
      <c r="P9" s="53"/>
      <c r="Q9" s="53"/>
      <c r="R9" s="56"/>
      <c r="S9" s="106"/>
      <c r="T9" s="106"/>
      <c r="U9" s="106"/>
      <c r="V9" s="60"/>
      <c r="Z9" s="56"/>
      <c r="AC9" s="61"/>
    </row>
    <row r="10" spans="1:32" s="74" customFormat="1" ht="44.4" customHeight="1" x14ac:dyDescent="0.25">
      <c r="A10" s="114" t="s">
        <v>1</v>
      </c>
      <c r="B10" s="114" t="s">
        <v>48</v>
      </c>
      <c r="C10" s="114" t="s">
        <v>24</v>
      </c>
      <c r="D10" s="114" t="s">
        <v>210</v>
      </c>
      <c r="E10" s="128">
        <v>42675</v>
      </c>
      <c r="F10" s="126">
        <v>42705</v>
      </c>
      <c r="G10" s="126">
        <v>42736</v>
      </c>
      <c r="H10" s="126">
        <v>42767</v>
      </c>
      <c r="I10" s="126">
        <v>42795</v>
      </c>
      <c r="J10" s="126">
        <v>42826</v>
      </c>
      <c r="K10" s="126">
        <v>42856</v>
      </c>
      <c r="L10" s="126">
        <v>42887</v>
      </c>
      <c r="M10" s="126">
        <v>42917</v>
      </c>
      <c r="N10" s="126">
        <v>42948</v>
      </c>
      <c r="O10" s="126">
        <v>42979</v>
      </c>
      <c r="P10" s="126">
        <v>43009</v>
      </c>
      <c r="Q10" s="126">
        <v>43040</v>
      </c>
      <c r="R10" s="114" t="s">
        <v>51</v>
      </c>
      <c r="S10" s="114" t="s">
        <v>5</v>
      </c>
      <c r="T10" s="115" t="s">
        <v>107</v>
      </c>
      <c r="U10" s="114" t="s">
        <v>209</v>
      </c>
      <c r="V10" s="116" t="s">
        <v>10</v>
      </c>
      <c r="W10" s="114" t="s">
        <v>11</v>
      </c>
      <c r="X10" s="117" t="s">
        <v>194</v>
      </c>
      <c r="Y10" s="114" t="s">
        <v>196</v>
      </c>
      <c r="Z10" s="115" t="s">
        <v>12</v>
      </c>
      <c r="AA10" s="114" t="s">
        <v>15</v>
      </c>
      <c r="AB10" s="116" t="s">
        <v>197</v>
      </c>
      <c r="AC10" s="114" t="s">
        <v>13</v>
      </c>
      <c r="AD10" s="116" t="s">
        <v>198</v>
      </c>
      <c r="AE10" s="114" t="s">
        <v>14</v>
      </c>
      <c r="AF10" s="74" t="s">
        <v>195</v>
      </c>
    </row>
    <row r="11" spans="1:32" ht="14.4" customHeight="1" x14ac:dyDescent="0.25">
      <c r="A11" s="62">
        <v>1</v>
      </c>
      <c r="B11" s="80" t="s">
        <v>49</v>
      </c>
      <c r="C11" s="88">
        <v>157470</v>
      </c>
      <c r="D11" s="63">
        <v>1</v>
      </c>
      <c r="E11" s="118"/>
      <c r="F11" s="108"/>
      <c r="G11" s="108"/>
      <c r="H11" s="108"/>
      <c r="I11" s="108"/>
      <c r="J11" s="108"/>
      <c r="K11" s="109"/>
      <c r="L11" s="109"/>
      <c r="M11" s="109"/>
      <c r="N11" s="109"/>
      <c r="O11" s="109"/>
      <c r="P11" s="109"/>
      <c r="Q11" s="108"/>
      <c r="R11" s="78">
        <v>42248</v>
      </c>
      <c r="S11" s="132">
        <f t="shared" ref="S11:S22" si="0">IF(D11&lt;1,SUM(E11:Q11)/C11+D11,1)</f>
        <v>1</v>
      </c>
      <c r="T11" s="22" t="s">
        <v>27</v>
      </c>
      <c r="U11" s="88">
        <f t="shared" ref="U11:U42" si="1">C11</f>
        <v>157470</v>
      </c>
      <c r="V11" s="127" t="s">
        <v>10</v>
      </c>
      <c r="W11" s="64">
        <f t="shared" ref="W11:W61" si="2">S11*U11</f>
        <v>157470</v>
      </c>
      <c r="X11" s="65"/>
      <c r="Y11" s="66">
        <f t="shared" ref="Y11:Y16" si="3">+W11</f>
        <v>157470</v>
      </c>
      <c r="Z11" s="67" t="s">
        <v>12</v>
      </c>
      <c r="AA11" s="64">
        <f t="shared" ref="AA11:AA61" si="4">Y11-AC11</f>
        <v>0</v>
      </c>
      <c r="AB11" s="68" t="s">
        <v>12</v>
      </c>
      <c r="AC11" s="64">
        <f>SUMIF(Invoices!$D$2:$D$1048576,' Accting USE Data Entry Form'!B11,Invoices!$E$2:$E$1048576)</f>
        <v>157470</v>
      </c>
      <c r="AD11" s="68" t="s">
        <v>10</v>
      </c>
      <c r="AE11" s="69">
        <f>+Y11-AA11-AC11</f>
        <v>0</v>
      </c>
    </row>
    <row r="12" spans="1:32" ht="14.4" customHeight="1" x14ac:dyDescent="0.25">
      <c r="A12" s="62">
        <v>2</v>
      </c>
      <c r="B12" s="80" t="s">
        <v>47</v>
      </c>
      <c r="C12" s="89">
        <v>157470</v>
      </c>
      <c r="D12" s="63">
        <v>1</v>
      </c>
      <c r="E12" s="118"/>
      <c r="F12" s="108"/>
      <c r="G12" s="108"/>
      <c r="H12" s="108"/>
      <c r="I12" s="108"/>
      <c r="J12" s="108"/>
      <c r="K12" s="109"/>
      <c r="L12" s="109"/>
      <c r="M12" s="109"/>
      <c r="N12" s="109"/>
      <c r="O12" s="109"/>
      <c r="P12" s="109"/>
      <c r="Q12" s="108"/>
      <c r="R12" s="78">
        <v>42309</v>
      </c>
      <c r="S12" s="132">
        <f t="shared" si="0"/>
        <v>1</v>
      </c>
      <c r="T12" s="22" t="s">
        <v>27</v>
      </c>
      <c r="U12" s="88">
        <f t="shared" si="1"/>
        <v>157470</v>
      </c>
      <c r="V12" s="127" t="s">
        <v>10</v>
      </c>
      <c r="W12" s="64">
        <f t="shared" si="2"/>
        <v>157470</v>
      </c>
      <c r="X12" s="65"/>
      <c r="Y12" s="66">
        <f t="shared" si="3"/>
        <v>157470</v>
      </c>
      <c r="Z12" s="67" t="s">
        <v>12</v>
      </c>
      <c r="AA12" s="64">
        <f t="shared" si="4"/>
        <v>0</v>
      </c>
      <c r="AB12" s="68" t="s">
        <v>12</v>
      </c>
      <c r="AC12" s="64">
        <f>SUMIF(Invoices!$D$2:$D$1048576,' Accting USE Data Entry Form'!B12,Invoices!$E$2:$E$1048576)</f>
        <v>157470</v>
      </c>
      <c r="AD12" s="68" t="s">
        <v>10</v>
      </c>
      <c r="AE12" s="69">
        <f>+Y12-AA12-AC12</f>
        <v>0</v>
      </c>
    </row>
    <row r="13" spans="1:32" ht="14.4" customHeight="1" x14ac:dyDescent="0.25">
      <c r="A13" s="62">
        <v>3</v>
      </c>
      <c r="B13" s="80" t="s">
        <v>53</v>
      </c>
      <c r="C13" s="89">
        <v>104980</v>
      </c>
      <c r="D13" s="63">
        <v>1</v>
      </c>
      <c r="E13" s="118"/>
      <c r="F13" s="108"/>
      <c r="G13" s="108"/>
      <c r="H13" s="108"/>
      <c r="I13" s="108"/>
      <c r="J13" s="108"/>
      <c r="K13" s="109"/>
      <c r="L13" s="109"/>
      <c r="M13" s="109"/>
      <c r="N13" s="109"/>
      <c r="O13" s="109"/>
      <c r="P13" s="109"/>
      <c r="Q13" s="108"/>
      <c r="R13" s="79">
        <v>42339</v>
      </c>
      <c r="S13" s="132">
        <f t="shared" si="0"/>
        <v>1</v>
      </c>
      <c r="T13" s="22" t="s">
        <v>27</v>
      </c>
      <c r="U13" s="88">
        <f t="shared" si="1"/>
        <v>104980</v>
      </c>
      <c r="V13" s="127" t="s">
        <v>10</v>
      </c>
      <c r="W13" s="64">
        <f t="shared" si="2"/>
        <v>104980</v>
      </c>
      <c r="X13" s="65"/>
      <c r="Y13" s="66">
        <f t="shared" si="3"/>
        <v>104980</v>
      </c>
      <c r="Z13" s="67" t="s">
        <v>12</v>
      </c>
      <c r="AA13" s="64">
        <f t="shared" si="4"/>
        <v>0</v>
      </c>
      <c r="AB13" s="68" t="s">
        <v>12</v>
      </c>
      <c r="AC13" s="64">
        <f>SUMIF(Invoices!$D$2:$D$1048576,' Accting USE Data Entry Form'!B13,Invoices!$E$2:$E$1048576)</f>
        <v>104980</v>
      </c>
      <c r="AD13" s="68" t="s">
        <v>10</v>
      </c>
      <c r="AE13" s="69">
        <f>+Y13-AA13-AC13</f>
        <v>0</v>
      </c>
    </row>
    <row r="14" spans="1:32" ht="14.4" customHeight="1" x14ac:dyDescent="0.25">
      <c r="A14" s="62">
        <v>4</v>
      </c>
      <c r="B14" s="80" t="s">
        <v>54</v>
      </c>
      <c r="C14" s="89">
        <v>104980</v>
      </c>
      <c r="D14" s="63">
        <v>1</v>
      </c>
      <c r="E14" s="118"/>
      <c r="F14" s="108"/>
      <c r="G14" s="108"/>
      <c r="H14" s="108"/>
      <c r="I14" s="108"/>
      <c r="J14" s="108"/>
      <c r="K14" s="109"/>
      <c r="L14" s="109"/>
      <c r="M14" s="109"/>
      <c r="N14" s="109"/>
      <c r="O14" s="109"/>
      <c r="P14" s="109"/>
      <c r="Q14" s="108"/>
      <c r="R14" s="79">
        <f>R11+180</f>
        <v>42428</v>
      </c>
      <c r="S14" s="132">
        <f t="shared" si="0"/>
        <v>1</v>
      </c>
      <c r="T14" s="22" t="s">
        <v>27</v>
      </c>
      <c r="U14" s="88">
        <f t="shared" si="1"/>
        <v>104980</v>
      </c>
      <c r="V14" s="127" t="s">
        <v>10</v>
      </c>
      <c r="W14" s="64">
        <f t="shared" si="2"/>
        <v>104980</v>
      </c>
      <c r="X14" s="65"/>
      <c r="Y14" s="66">
        <f t="shared" si="3"/>
        <v>104980</v>
      </c>
      <c r="Z14" s="67" t="s">
        <v>12</v>
      </c>
      <c r="AA14" s="64">
        <f t="shared" si="4"/>
        <v>0</v>
      </c>
      <c r="AB14" s="68" t="s">
        <v>12</v>
      </c>
      <c r="AC14" s="64">
        <f>SUMIF(Invoices!$D$2:$D$1048576,' Accting USE Data Entry Form'!B14,Invoices!$E$2:$E$1048576)</f>
        <v>104980</v>
      </c>
      <c r="AD14" s="68" t="s">
        <v>10</v>
      </c>
      <c r="AE14" s="69">
        <f>+Y14-AA14-AC14</f>
        <v>0</v>
      </c>
    </row>
    <row r="15" spans="1:32" ht="14.4" customHeight="1" x14ac:dyDescent="0.25">
      <c r="A15" s="62">
        <v>5</v>
      </c>
      <c r="B15" s="80" t="s">
        <v>104</v>
      </c>
      <c r="C15" s="89">
        <v>317520</v>
      </c>
      <c r="D15" s="63">
        <v>1</v>
      </c>
      <c r="E15" s="118"/>
      <c r="F15" s="108"/>
      <c r="G15" s="108"/>
      <c r="H15" s="108"/>
      <c r="I15" s="108"/>
      <c r="J15" s="108"/>
      <c r="K15" s="109"/>
      <c r="L15" s="109"/>
      <c r="M15" s="109"/>
      <c r="N15" s="109"/>
      <c r="O15" s="109"/>
      <c r="P15" s="109"/>
      <c r="Q15" s="108"/>
      <c r="R15" s="78">
        <v>42342</v>
      </c>
      <c r="S15" s="132">
        <f t="shared" si="0"/>
        <v>1</v>
      </c>
      <c r="T15" s="22" t="s">
        <v>27</v>
      </c>
      <c r="U15" s="88">
        <f t="shared" si="1"/>
        <v>317520</v>
      </c>
      <c r="V15" s="127" t="s">
        <v>10</v>
      </c>
      <c r="W15" s="70">
        <f t="shared" si="2"/>
        <v>317520</v>
      </c>
      <c r="X15" s="65"/>
      <c r="Y15" s="66">
        <f t="shared" si="3"/>
        <v>317520</v>
      </c>
      <c r="Z15" s="67" t="s">
        <v>12</v>
      </c>
      <c r="AA15" s="64">
        <f t="shared" si="4"/>
        <v>0</v>
      </c>
      <c r="AB15" s="68" t="s">
        <v>12</v>
      </c>
      <c r="AC15" s="64">
        <f>SUMIF(Invoices!$D$2:$D$1048576,' Accting USE Data Entry Form'!B15,Invoices!$E$2:$E$1048576)</f>
        <v>317520</v>
      </c>
      <c r="AD15" s="68" t="s">
        <v>10</v>
      </c>
      <c r="AE15" s="69">
        <f>+Y15-AA15-AC15</f>
        <v>0</v>
      </c>
    </row>
    <row r="16" spans="1:32" ht="14.4" customHeight="1" x14ac:dyDescent="0.25">
      <c r="A16" s="62">
        <v>6</v>
      </c>
      <c r="B16" s="80" t="s">
        <v>105</v>
      </c>
      <c r="C16" s="89">
        <v>423360</v>
      </c>
      <c r="D16" s="63">
        <v>1</v>
      </c>
      <c r="E16" s="118"/>
      <c r="F16" s="108"/>
      <c r="G16" s="108"/>
      <c r="H16" s="108"/>
      <c r="I16" s="108"/>
      <c r="J16" s="108"/>
      <c r="K16" s="109"/>
      <c r="L16" s="109"/>
      <c r="M16" s="109"/>
      <c r="N16" s="109"/>
      <c r="O16" s="109"/>
      <c r="P16" s="109"/>
      <c r="Q16" s="108"/>
      <c r="R16" s="78">
        <v>42349</v>
      </c>
      <c r="S16" s="132">
        <f t="shared" si="0"/>
        <v>1</v>
      </c>
      <c r="T16" s="22" t="s">
        <v>27</v>
      </c>
      <c r="U16" s="88">
        <f t="shared" si="1"/>
        <v>423360</v>
      </c>
      <c r="V16" s="127" t="s">
        <v>10</v>
      </c>
      <c r="W16" s="70">
        <f t="shared" si="2"/>
        <v>423360</v>
      </c>
      <c r="X16" s="65"/>
      <c r="Y16" s="66">
        <f t="shared" si="3"/>
        <v>423360</v>
      </c>
      <c r="Z16" s="67" t="s">
        <v>12</v>
      </c>
      <c r="AA16" s="64">
        <f t="shared" si="4"/>
        <v>0</v>
      </c>
      <c r="AB16" s="68" t="s">
        <v>12</v>
      </c>
      <c r="AC16" s="64">
        <f>SUMIF(Invoices!$D$2:$D$1048576,' Accting USE Data Entry Form'!B16,Invoices!$E$2:$E$1048576)</f>
        <v>423360</v>
      </c>
      <c r="AD16" s="68" t="s">
        <v>10</v>
      </c>
      <c r="AE16" s="69">
        <v>0</v>
      </c>
      <c r="AF16" s="71"/>
    </row>
    <row r="17" spans="1:31" ht="14.4" customHeight="1" x14ac:dyDescent="0.25">
      <c r="A17" s="62">
        <v>7</v>
      </c>
      <c r="B17" s="81" t="s">
        <v>106</v>
      </c>
      <c r="C17" s="89">
        <v>1607500</v>
      </c>
      <c r="D17" s="87">
        <v>1</v>
      </c>
      <c r="E17" s="118"/>
      <c r="F17" s="130"/>
      <c r="G17" s="130"/>
      <c r="H17" s="130"/>
      <c r="I17" s="130"/>
      <c r="J17" s="130"/>
      <c r="K17" s="109"/>
      <c r="L17" s="109"/>
      <c r="M17" s="109"/>
      <c r="N17" s="109"/>
      <c r="O17" s="109"/>
      <c r="P17" s="109"/>
      <c r="Q17" s="108"/>
      <c r="R17" s="78">
        <v>42356</v>
      </c>
      <c r="S17" s="132">
        <f t="shared" si="0"/>
        <v>1</v>
      </c>
      <c r="T17" s="22" t="s">
        <v>27</v>
      </c>
      <c r="U17" s="88">
        <f t="shared" si="1"/>
        <v>1607500</v>
      </c>
      <c r="V17" s="127" t="s">
        <v>10</v>
      </c>
      <c r="W17" s="70">
        <f t="shared" si="2"/>
        <v>1607500</v>
      </c>
      <c r="X17" s="65"/>
      <c r="Y17" s="66">
        <f>+W17</f>
        <v>1607500</v>
      </c>
      <c r="Z17" s="67" t="s">
        <v>12</v>
      </c>
      <c r="AA17" s="64">
        <f t="shared" si="4"/>
        <v>0</v>
      </c>
      <c r="AB17" s="68" t="s">
        <v>12</v>
      </c>
      <c r="AC17" s="64">
        <f>SUMIF(Invoices!$D$2:$D$1048576,' Accting USE Data Entry Form'!B17,Invoices!$E$2:$E$1048576)</f>
        <v>1607500</v>
      </c>
      <c r="AD17" s="68" t="s">
        <v>10</v>
      </c>
      <c r="AE17" s="69">
        <f>+Y17-AA17-AC17</f>
        <v>0</v>
      </c>
    </row>
    <row r="18" spans="1:31" ht="14.4" customHeight="1" x14ac:dyDescent="0.25">
      <c r="A18" s="62">
        <v>8</v>
      </c>
      <c r="B18" s="81" t="s">
        <v>58</v>
      </c>
      <c r="C18" s="84">
        <v>1446750</v>
      </c>
      <c r="D18" s="87">
        <v>1</v>
      </c>
      <c r="E18" s="119"/>
      <c r="F18" s="130"/>
      <c r="G18" s="130"/>
      <c r="H18" s="130"/>
      <c r="I18" s="130"/>
      <c r="J18" s="130"/>
      <c r="K18" s="109"/>
      <c r="L18" s="109"/>
      <c r="M18" s="109"/>
      <c r="N18" s="109"/>
      <c r="O18" s="109"/>
      <c r="P18" s="109"/>
      <c r="Q18" s="109"/>
      <c r="R18" s="78">
        <v>42460</v>
      </c>
      <c r="S18" s="132">
        <f t="shared" si="0"/>
        <v>1</v>
      </c>
      <c r="T18" s="22" t="s">
        <v>27</v>
      </c>
      <c r="U18" s="88">
        <f t="shared" si="1"/>
        <v>1446750</v>
      </c>
      <c r="V18" s="127" t="s">
        <v>10</v>
      </c>
      <c r="W18" s="70">
        <f t="shared" si="2"/>
        <v>1446750</v>
      </c>
      <c r="X18" s="65"/>
      <c r="Y18" s="66">
        <f>+W18</f>
        <v>1446750</v>
      </c>
      <c r="Z18" s="67" t="s">
        <v>12</v>
      </c>
      <c r="AA18" s="64">
        <f t="shared" si="4"/>
        <v>0</v>
      </c>
      <c r="AB18" s="68" t="s">
        <v>12</v>
      </c>
      <c r="AC18" s="64">
        <f>SUMIF(Invoices!$D$2:$D$1048576,' Accting USE Data Entry Form'!B18,Invoices!$E$2:$E$1048576)</f>
        <v>1446750</v>
      </c>
      <c r="AD18" s="68" t="s">
        <v>10</v>
      </c>
      <c r="AE18" s="69">
        <f>+Y18-AA18-AC18</f>
        <v>0</v>
      </c>
    </row>
    <row r="19" spans="1:31" ht="14.4" customHeight="1" x14ac:dyDescent="0.25">
      <c r="A19" s="62">
        <v>9</v>
      </c>
      <c r="B19" s="81" t="s">
        <v>59</v>
      </c>
      <c r="C19" s="84">
        <v>317520</v>
      </c>
      <c r="D19" s="87">
        <v>1</v>
      </c>
      <c r="E19" s="119"/>
      <c r="F19" s="130"/>
      <c r="G19" s="130"/>
      <c r="H19" s="130"/>
      <c r="I19" s="130"/>
      <c r="J19" s="130"/>
      <c r="K19" s="109"/>
      <c r="L19" s="109"/>
      <c r="M19" s="109"/>
      <c r="N19" s="109"/>
      <c r="O19" s="109"/>
      <c r="P19" s="109"/>
      <c r="Q19" s="109"/>
      <c r="R19" s="78">
        <v>42607</v>
      </c>
      <c r="S19" s="132">
        <f t="shared" si="0"/>
        <v>1</v>
      </c>
      <c r="T19" s="22" t="s">
        <v>27</v>
      </c>
      <c r="U19" s="88">
        <f t="shared" si="1"/>
        <v>317520</v>
      </c>
      <c r="V19" s="127" t="s">
        <v>10</v>
      </c>
      <c r="W19" s="70">
        <f t="shared" si="2"/>
        <v>317520</v>
      </c>
      <c r="X19" s="65"/>
      <c r="Y19" s="66">
        <f>+W19</f>
        <v>317520</v>
      </c>
      <c r="Z19" s="67"/>
      <c r="AA19" s="64">
        <f t="shared" si="4"/>
        <v>0</v>
      </c>
      <c r="AB19" s="68" t="s">
        <v>12</v>
      </c>
      <c r="AC19" s="64">
        <f>SUMIF(Invoices!$D$2:$D$1048576,' Accting USE Data Entry Form'!B19,Invoices!$E$2:$E$1048576)</f>
        <v>317520</v>
      </c>
      <c r="AD19" s="68" t="s">
        <v>10</v>
      </c>
      <c r="AE19" s="69">
        <f>+Y19-AA19-AC19</f>
        <v>0</v>
      </c>
    </row>
    <row r="20" spans="1:31" ht="14.4" customHeight="1" x14ac:dyDescent="0.25">
      <c r="A20" s="62">
        <v>10</v>
      </c>
      <c r="B20" s="81" t="s">
        <v>60</v>
      </c>
      <c r="C20" s="84">
        <v>160750</v>
      </c>
      <c r="D20" s="87">
        <v>1</v>
      </c>
      <c r="E20" s="119"/>
      <c r="F20" s="130"/>
      <c r="G20" s="130"/>
      <c r="H20" s="130"/>
      <c r="I20" s="130"/>
      <c r="J20" s="130"/>
      <c r="K20" s="109"/>
      <c r="L20" s="109"/>
      <c r="M20" s="109"/>
      <c r="N20" s="109"/>
      <c r="O20" s="109"/>
      <c r="P20" s="109"/>
      <c r="Q20" s="109"/>
      <c r="R20" s="78">
        <v>42719</v>
      </c>
      <c r="S20" s="132">
        <f t="shared" si="0"/>
        <v>1</v>
      </c>
      <c r="T20" s="22" t="s">
        <v>27</v>
      </c>
      <c r="U20" s="88">
        <f t="shared" si="1"/>
        <v>160750</v>
      </c>
      <c r="V20" s="127" t="s">
        <v>10</v>
      </c>
      <c r="W20" s="70">
        <f t="shared" si="2"/>
        <v>160750</v>
      </c>
      <c r="X20" s="65"/>
      <c r="Y20" s="66">
        <f>+W20</f>
        <v>160750</v>
      </c>
      <c r="Z20" s="67" t="s">
        <v>12</v>
      </c>
      <c r="AA20" s="64">
        <f t="shared" si="4"/>
        <v>0</v>
      </c>
      <c r="AB20" s="68" t="s">
        <v>12</v>
      </c>
      <c r="AC20" s="64">
        <f>SUMIF(Invoices!$D$2:$D$1048576,' Accting USE Data Entry Form'!B20,Invoices!$E$2:$E$1048576)</f>
        <v>160750</v>
      </c>
      <c r="AD20" s="68" t="s">
        <v>10</v>
      </c>
      <c r="AE20" s="69">
        <f>+Y20-AA20-AC20</f>
        <v>0</v>
      </c>
    </row>
    <row r="21" spans="1:31" ht="14.4" customHeight="1" x14ac:dyDescent="0.25">
      <c r="A21" s="62">
        <v>11</v>
      </c>
      <c r="B21" s="81" t="s">
        <v>61</v>
      </c>
      <c r="C21" s="84">
        <v>160750</v>
      </c>
      <c r="D21" s="87">
        <v>1</v>
      </c>
      <c r="E21" s="119"/>
      <c r="F21" s="130"/>
      <c r="G21" s="130"/>
      <c r="H21" s="130"/>
      <c r="I21" s="130"/>
      <c r="J21" s="130"/>
      <c r="K21" s="109"/>
      <c r="L21" s="109"/>
      <c r="M21" s="109"/>
      <c r="N21" s="109"/>
      <c r="O21" s="109"/>
      <c r="P21" s="109"/>
      <c r="Q21" s="109"/>
      <c r="R21" s="78">
        <v>42738</v>
      </c>
      <c r="S21" s="132">
        <f t="shared" si="0"/>
        <v>1</v>
      </c>
      <c r="T21" s="22" t="s">
        <v>27</v>
      </c>
      <c r="U21" s="88">
        <f t="shared" si="1"/>
        <v>160750</v>
      </c>
      <c r="V21" s="127" t="s">
        <v>10</v>
      </c>
      <c r="W21" s="70">
        <f t="shared" si="2"/>
        <v>160750</v>
      </c>
      <c r="X21" s="65"/>
      <c r="Y21" s="66">
        <f t="shared" ref="Y21:Y61" si="5">+W21</f>
        <v>160750</v>
      </c>
      <c r="Z21" s="67" t="s">
        <v>12</v>
      </c>
      <c r="AA21" s="64">
        <f t="shared" si="4"/>
        <v>0</v>
      </c>
      <c r="AB21" s="68" t="s">
        <v>12</v>
      </c>
      <c r="AC21" s="64">
        <f>SUMIF(Invoices!$D$2:$D$1048576,' Accting USE Data Entry Form'!B21,Invoices!$E$2:$E$1048576)</f>
        <v>160750</v>
      </c>
      <c r="AD21" s="68" t="s">
        <v>10</v>
      </c>
      <c r="AE21" s="69">
        <f t="shared" ref="AE21:AE61" si="6">+Y21-AA21-AC21</f>
        <v>0</v>
      </c>
    </row>
    <row r="22" spans="1:31" ht="14.4" customHeight="1" x14ac:dyDescent="0.25">
      <c r="A22" s="62">
        <v>12</v>
      </c>
      <c r="B22" s="81" t="s">
        <v>62</v>
      </c>
      <c r="C22" s="84">
        <v>160750</v>
      </c>
      <c r="D22" s="107">
        <v>1</v>
      </c>
      <c r="E22" s="119"/>
      <c r="F22" s="131"/>
      <c r="G22" s="131"/>
      <c r="H22" s="131"/>
      <c r="I22" s="131"/>
      <c r="J22" s="131"/>
      <c r="K22" s="109"/>
      <c r="L22" s="109"/>
      <c r="M22" s="109"/>
      <c r="N22" s="109"/>
      <c r="O22" s="109"/>
      <c r="P22" s="109"/>
      <c r="Q22" s="109"/>
      <c r="R22" s="78">
        <v>42746</v>
      </c>
      <c r="S22" s="132">
        <f t="shared" si="0"/>
        <v>1</v>
      </c>
      <c r="T22" s="22" t="s">
        <v>27</v>
      </c>
      <c r="U22" s="88">
        <f t="shared" si="1"/>
        <v>160750</v>
      </c>
      <c r="V22" s="127" t="s">
        <v>10</v>
      </c>
      <c r="W22" s="70">
        <f t="shared" si="2"/>
        <v>160750</v>
      </c>
      <c r="X22" s="65"/>
      <c r="Y22" s="66">
        <f t="shared" si="5"/>
        <v>160750</v>
      </c>
      <c r="Z22" s="67" t="s">
        <v>12</v>
      </c>
      <c r="AA22" s="64">
        <f t="shared" si="4"/>
        <v>0</v>
      </c>
      <c r="AB22" s="68" t="s">
        <v>12</v>
      </c>
      <c r="AC22" s="64">
        <f>SUMIF(Invoices!$D$2:$D$1048576,' Accting USE Data Entry Form'!B22,Invoices!$E$2:$E$1048576)</f>
        <v>160750</v>
      </c>
      <c r="AD22" s="68" t="s">
        <v>10</v>
      </c>
      <c r="AE22" s="69">
        <f t="shared" si="6"/>
        <v>0</v>
      </c>
    </row>
    <row r="23" spans="1:31" ht="14.4" customHeight="1" x14ac:dyDescent="0.25">
      <c r="A23" s="62">
        <v>13</v>
      </c>
      <c r="B23" s="81" t="s">
        <v>63</v>
      </c>
      <c r="C23" s="84">
        <v>160750</v>
      </c>
      <c r="D23" s="87">
        <v>-3.1918911957973251E-16</v>
      </c>
      <c r="E23" s="119">
        <v>160750</v>
      </c>
      <c r="F23" s="130"/>
      <c r="G23" s="130"/>
      <c r="H23" s="130"/>
      <c r="I23" s="130"/>
      <c r="J23" s="130"/>
      <c r="K23" s="109"/>
      <c r="L23" s="109"/>
      <c r="M23" s="109"/>
      <c r="N23" s="109"/>
      <c r="O23" s="109"/>
      <c r="P23" s="109"/>
      <c r="Q23" s="109"/>
      <c r="R23" s="78">
        <v>42754</v>
      </c>
      <c r="S23" s="132">
        <f>IF(D23&lt;1,SUM(E23:Q23)/C23+D23,1)</f>
        <v>0.99999999999999967</v>
      </c>
      <c r="T23" s="22" t="s">
        <v>27</v>
      </c>
      <c r="U23" s="88">
        <f t="shared" si="1"/>
        <v>160750</v>
      </c>
      <c r="V23" s="127" t="s">
        <v>10</v>
      </c>
      <c r="W23" s="70">
        <f t="shared" si="2"/>
        <v>160749.99999999994</v>
      </c>
      <c r="X23" s="65"/>
      <c r="Y23" s="66">
        <f t="shared" si="5"/>
        <v>160749.99999999994</v>
      </c>
      <c r="Z23" s="67" t="s">
        <v>12</v>
      </c>
      <c r="AA23" s="64">
        <f t="shared" si="4"/>
        <v>0</v>
      </c>
      <c r="AB23" s="68" t="s">
        <v>12</v>
      </c>
      <c r="AC23" s="64">
        <f>SUMIF(Invoices!$D$2:$D$1048576,' Accting USE Data Entry Form'!B23,Invoices!$E$2:$E$1048576)</f>
        <v>160750</v>
      </c>
      <c r="AD23" s="68" t="s">
        <v>10</v>
      </c>
      <c r="AE23" s="69">
        <f t="shared" si="6"/>
        <v>0</v>
      </c>
    </row>
    <row r="24" spans="1:31" ht="14.4" customHeight="1" x14ac:dyDescent="0.25">
      <c r="A24" s="62">
        <v>14</v>
      </c>
      <c r="B24" s="81" t="s">
        <v>64</v>
      </c>
      <c r="C24" s="84">
        <v>160750</v>
      </c>
      <c r="D24" s="87"/>
      <c r="E24" s="119"/>
      <c r="F24" s="130">
        <v>160750</v>
      </c>
      <c r="G24" s="130"/>
      <c r="H24" s="130"/>
      <c r="I24" s="130"/>
      <c r="J24" s="130"/>
      <c r="K24" s="109"/>
      <c r="L24" s="109"/>
      <c r="M24" s="109"/>
      <c r="N24" s="109"/>
      <c r="O24" s="109"/>
      <c r="P24" s="109"/>
      <c r="Q24" s="109"/>
      <c r="R24" s="78">
        <v>42762</v>
      </c>
      <c r="S24" s="63">
        <f t="shared" ref="S24:S61" si="7">IF(D24&lt;1,SUM(E24:Q24)/C24+D24,1)</f>
        <v>1</v>
      </c>
      <c r="T24" s="22" t="s">
        <v>27</v>
      </c>
      <c r="U24" s="88">
        <f t="shared" si="1"/>
        <v>160750</v>
      </c>
      <c r="V24" s="127" t="s">
        <v>10</v>
      </c>
      <c r="W24" s="70">
        <f t="shared" si="2"/>
        <v>160750</v>
      </c>
      <c r="X24" s="65"/>
      <c r="Y24" s="66">
        <f t="shared" si="5"/>
        <v>160750</v>
      </c>
      <c r="Z24" s="67" t="s">
        <v>12</v>
      </c>
      <c r="AA24" s="64">
        <f t="shared" si="4"/>
        <v>0</v>
      </c>
      <c r="AB24" s="68" t="s">
        <v>12</v>
      </c>
      <c r="AC24" s="64">
        <f>SUMIF(Invoices!$D$2:$D$1048576,' Accting USE Data Entry Form'!B24,Invoices!$E$2:$E$1048576)</f>
        <v>160750</v>
      </c>
      <c r="AD24" s="68" t="s">
        <v>10</v>
      </c>
      <c r="AE24" s="69">
        <f t="shared" si="6"/>
        <v>0</v>
      </c>
    </row>
    <row r="25" spans="1:31" ht="14.4" customHeight="1" x14ac:dyDescent="0.25">
      <c r="A25" s="62">
        <v>15</v>
      </c>
      <c r="B25" s="81" t="s">
        <v>65</v>
      </c>
      <c r="C25" s="84">
        <v>160750</v>
      </c>
      <c r="D25" s="87"/>
      <c r="E25" s="119"/>
      <c r="F25" s="130">
        <v>160750</v>
      </c>
      <c r="G25" s="130"/>
      <c r="H25" s="130"/>
      <c r="I25" s="130"/>
      <c r="J25" s="130"/>
      <c r="K25" s="109"/>
      <c r="L25" s="109"/>
      <c r="M25" s="109"/>
      <c r="N25" s="109"/>
      <c r="O25" s="109"/>
      <c r="P25" s="109"/>
      <c r="Q25" s="109"/>
      <c r="R25" s="78">
        <v>42772</v>
      </c>
      <c r="S25" s="63">
        <f t="shared" si="7"/>
        <v>1</v>
      </c>
      <c r="T25" s="22" t="s">
        <v>27</v>
      </c>
      <c r="U25" s="88">
        <f t="shared" si="1"/>
        <v>160750</v>
      </c>
      <c r="V25" s="127" t="s">
        <v>10</v>
      </c>
      <c r="W25" s="70">
        <f t="shared" si="2"/>
        <v>160750</v>
      </c>
      <c r="X25" s="65"/>
      <c r="Y25" s="66">
        <f t="shared" si="5"/>
        <v>160750</v>
      </c>
      <c r="Z25" s="67" t="s">
        <v>12</v>
      </c>
      <c r="AA25" s="64">
        <f t="shared" si="4"/>
        <v>0</v>
      </c>
      <c r="AB25" s="68" t="s">
        <v>12</v>
      </c>
      <c r="AC25" s="64">
        <f>SUMIF(Invoices!$D$2:$D$1048576,' Accting USE Data Entry Form'!B25,Invoices!$E$2:$E$1048576)</f>
        <v>160750</v>
      </c>
      <c r="AD25" s="68" t="s">
        <v>10</v>
      </c>
      <c r="AE25" s="69">
        <f t="shared" si="6"/>
        <v>0</v>
      </c>
    </row>
    <row r="26" spans="1:31" ht="14.4" customHeight="1" x14ac:dyDescent="0.25">
      <c r="A26" s="62">
        <v>16</v>
      </c>
      <c r="B26" s="81" t="s">
        <v>66</v>
      </c>
      <c r="C26" s="84">
        <v>160750</v>
      </c>
      <c r="D26" s="87"/>
      <c r="E26" s="119"/>
      <c r="F26" s="130">
        <v>160750</v>
      </c>
      <c r="G26" s="130"/>
      <c r="H26" s="130"/>
      <c r="I26" s="130"/>
      <c r="J26" s="130"/>
      <c r="K26" s="109"/>
      <c r="L26" s="109"/>
      <c r="M26" s="109"/>
      <c r="N26" s="109"/>
      <c r="O26" s="109"/>
      <c r="P26" s="109"/>
      <c r="Q26" s="109"/>
      <c r="R26" s="78">
        <v>42780</v>
      </c>
      <c r="S26" s="63">
        <f t="shared" si="7"/>
        <v>1</v>
      </c>
      <c r="T26" s="22" t="s">
        <v>27</v>
      </c>
      <c r="U26" s="88">
        <f t="shared" si="1"/>
        <v>160750</v>
      </c>
      <c r="V26" s="127" t="s">
        <v>10</v>
      </c>
      <c r="W26" s="70">
        <f t="shared" si="2"/>
        <v>160750</v>
      </c>
      <c r="X26" s="65"/>
      <c r="Y26" s="66">
        <f t="shared" si="5"/>
        <v>160750</v>
      </c>
      <c r="Z26" s="67" t="s">
        <v>12</v>
      </c>
      <c r="AA26" s="64">
        <f t="shared" si="4"/>
        <v>0</v>
      </c>
      <c r="AB26" s="68" t="s">
        <v>12</v>
      </c>
      <c r="AC26" s="64">
        <f>SUMIF(Invoices!$D$2:$D$1048576,' Accting USE Data Entry Form'!B26,Invoices!$E$2:$E$1048576)</f>
        <v>160750</v>
      </c>
      <c r="AD26" s="68" t="s">
        <v>10</v>
      </c>
      <c r="AE26" s="69">
        <f t="shared" si="6"/>
        <v>0</v>
      </c>
    </row>
    <row r="27" spans="1:31" ht="14.4" customHeight="1" x14ac:dyDescent="0.25">
      <c r="A27" s="62">
        <v>17</v>
      </c>
      <c r="B27" s="81" t="s">
        <v>67</v>
      </c>
      <c r="C27" s="84">
        <v>160750</v>
      </c>
      <c r="D27" s="87"/>
      <c r="E27" s="119"/>
      <c r="F27" s="130">
        <v>160750</v>
      </c>
      <c r="G27" s="130"/>
      <c r="H27" s="130"/>
      <c r="I27" s="130"/>
      <c r="J27" s="130"/>
      <c r="K27" s="109"/>
      <c r="L27" s="109"/>
      <c r="M27" s="109"/>
      <c r="N27" s="109"/>
      <c r="O27" s="109"/>
      <c r="P27" s="109"/>
      <c r="Q27" s="109"/>
      <c r="R27" s="78">
        <v>42788</v>
      </c>
      <c r="S27" s="63">
        <f t="shared" si="7"/>
        <v>1</v>
      </c>
      <c r="T27" s="22" t="s">
        <v>27</v>
      </c>
      <c r="U27" s="88">
        <f t="shared" si="1"/>
        <v>160750</v>
      </c>
      <c r="V27" s="127" t="s">
        <v>10</v>
      </c>
      <c r="W27" s="70">
        <f t="shared" si="2"/>
        <v>160750</v>
      </c>
      <c r="X27" s="65"/>
      <c r="Y27" s="66">
        <f t="shared" si="5"/>
        <v>160750</v>
      </c>
      <c r="Z27" s="67" t="s">
        <v>12</v>
      </c>
      <c r="AA27" s="64">
        <f t="shared" si="4"/>
        <v>0</v>
      </c>
      <c r="AB27" s="68" t="s">
        <v>12</v>
      </c>
      <c r="AC27" s="64">
        <f>SUMIF(Invoices!$D$2:$D$1048576,' Accting USE Data Entry Form'!B27,Invoices!$E$2:$E$1048576)</f>
        <v>160750</v>
      </c>
      <c r="AD27" s="68" t="s">
        <v>10</v>
      </c>
      <c r="AE27" s="69">
        <f t="shared" si="6"/>
        <v>0</v>
      </c>
    </row>
    <row r="28" spans="1:31" ht="14.4" customHeight="1" x14ac:dyDescent="0.25">
      <c r="A28" s="62">
        <v>18</v>
      </c>
      <c r="B28" s="81" t="s">
        <v>68</v>
      </c>
      <c r="C28" s="84">
        <v>160750</v>
      </c>
      <c r="D28" s="87"/>
      <c r="E28" s="119"/>
      <c r="F28" s="130">
        <v>160750</v>
      </c>
      <c r="G28" s="130"/>
      <c r="H28" s="130"/>
      <c r="I28" s="130"/>
      <c r="J28" s="130"/>
      <c r="K28" s="109"/>
      <c r="L28" s="109"/>
      <c r="M28" s="109"/>
      <c r="N28" s="109"/>
      <c r="O28" s="109"/>
      <c r="P28" s="109"/>
      <c r="Q28" s="109"/>
      <c r="R28" s="78">
        <v>42796</v>
      </c>
      <c r="S28" s="63">
        <f t="shared" si="7"/>
        <v>1</v>
      </c>
      <c r="T28" s="22" t="s">
        <v>27</v>
      </c>
      <c r="U28" s="88">
        <f t="shared" si="1"/>
        <v>160750</v>
      </c>
      <c r="V28" s="127" t="s">
        <v>10</v>
      </c>
      <c r="W28" s="70">
        <f t="shared" si="2"/>
        <v>160750</v>
      </c>
      <c r="X28" s="65"/>
      <c r="Y28" s="66">
        <f t="shared" si="5"/>
        <v>160750</v>
      </c>
      <c r="Z28" s="67" t="s">
        <v>12</v>
      </c>
      <c r="AA28" s="64">
        <f t="shared" si="4"/>
        <v>0</v>
      </c>
      <c r="AB28" s="68" t="s">
        <v>12</v>
      </c>
      <c r="AC28" s="64">
        <f>SUMIF(Invoices!$D$2:$D$1048576,' Accting USE Data Entry Form'!B28,Invoices!$E$2:$E$1048576)</f>
        <v>160750</v>
      </c>
      <c r="AD28" s="68" t="s">
        <v>10</v>
      </c>
      <c r="AE28" s="69">
        <f t="shared" si="6"/>
        <v>0</v>
      </c>
    </row>
    <row r="29" spans="1:31" ht="14.4" customHeight="1" x14ac:dyDescent="0.25">
      <c r="A29" s="62">
        <v>19</v>
      </c>
      <c r="B29" s="81" t="s">
        <v>69</v>
      </c>
      <c r="C29" s="84">
        <v>160750</v>
      </c>
      <c r="D29" s="87"/>
      <c r="E29" s="119"/>
      <c r="F29" s="130"/>
      <c r="G29" s="130"/>
      <c r="H29" s="130"/>
      <c r="I29" s="130"/>
      <c r="J29" s="130"/>
      <c r="K29" s="109"/>
      <c r="L29" s="109"/>
      <c r="M29" s="109"/>
      <c r="N29" s="109"/>
      <c r="O29" s="109"/>
      <c r="P29" s="109"/>
      <c r="Q29" s="109"/>
      <c r="R29" s="78">
        <v>42804</v>
      </c>
      <c r="S29" s="63">
        <f t="shared" si="7"/>
        <v>0</v>
      </c>
      <c r="T29" s="22" t="s">
        <v>27</v>
      </c>
      <c r="U29" s="88">
        <f t="shared" si="1"/>
        <v>160750</v>
      </c>
      <c r="V29" s="127" t="s">
        <v>10</v>
      </c>
      <c r="W29" s="70">
        <f t="shared" si="2"/>
        <v>0</v>
      </c>
      <c r="X29" s="65"/>
      <c r="Y29" s="66">
        <f t="shared" si="5"/>
        <v>0</v>
      </c>
      <c r="Z29" s="67" t="s">
        <v>12</v>
      </c>
      <c r="AA29" s="64">
        <f t="shared" si="4"/>
        <v>-160750</v>
      </c>
      <c r="AB29" s="68" t="s">
        <v>12</v>
      </c>
      <c r="AC29" s="64">
        <f>SUMIF(Invoices!$D$2:$D$1048576,' Accting USE Data Entry Form'!B29,Invoices!$E$2:$E$1048576)</f>
        <v>160750</v>
      </c>
      <c r="AD29" s="68" t="s">
        <v>10</v>
      </c>
      <c r="AE29" s="69">
        <f t="shared" si="6"/>
        <v>0</v>
      </c>
    </row>
    <row r="30" spans="1:31" ht="14.4" customHeight="1" x14ac:dyDescent="0.25">
      <c r="A30" s="62">
        <v>20</v>
      </c>
      <c r="B30" s="81" t="s">
        <v>70</v>
      </c>
      <c r="C30" s="84">
        <v>160750</v>
      </c>
      <c r="D30" s="87"/>
      <c r="E30" s="119"/>
      <c r="F30" s="130"/>
      <c r="G30" s="130"/>
      <c r="H30" s="130"/>
      <c r="I30" s="130"/>
      <c r="J30" s="130"/>
      <c r="K30" s="109"/>
      <c r="L30" s="109"/>
      <c r="M30" s="109"/>
      <c r="N30" s="109"/>
      <c r="O30" s="109"/>
      <c r="P30" s="109"/>
      <c r="Q30" s="109"/>
      <c r="R30" s="78">
        <v>42814</v>
      </c>
      <c r="S30" s="63">
        <f t="shared" si="7"/>
        <v>0</v>
      </c>
      <c r="T30" s="22" t="s">
        <v>27</v>
      </c>
      <c r="U30" s="88">
        <f t="shared" si="1"/>
        <v>160750</v>
      </c>
      <c r="V30" s="127" t="s">
        <v>10</v>
      </c>
      <c r="W30" s="70">
        <f t="shared" si="2"/>
        <v>0</v>
      </c>
      <c r="X30" s="65"/>
      <c r="Y30" s="66">
        <f t="shared" si="5"/>
        <v>0</v>
      </c>
      <c r="Z30" s="67" t="s">
        <v>12</v>
      </c>
      <c r="AA30" s="64">
        <f t="shared" si="4"/>
        <v>-160750</v>
      </c>
      <c r="AB30" s="68" t="s">
        <v>12</v>
      </c>
      <c r="AC30" s="64">
        <f>SUMIF(Invoices!$D$2:$D$1048576,' Accting USE Data Entry Form'!B30,Invoices!$E$2:$E$1048576)</f>
        <v>160750</v>
      </c>
      <c r="AD30" s="68" t="s">
        <v>10</v>
      </c>
      <c r="AE30" s="69">
        <f t="shared" si="6"/>
        <v>0</v>
      </c>
    </row>
    <row r="31" spans="1:31" ht="14.4" customHeight="1" x14ac:dyDescent="0.25">
      <c r="A31" s="62">
        <v>21</v>
      </c>
      <c r="B31" s="81" t="s">
        <v>91</v>
      </c>
      <c r="C31" s="84">
        <v>90800</v>
      </c>
      <c r="D31" s="87">
        <v>1</v>
      </c>
      <c r="E31" s="119"/>
      <c r="F31" s="130"/>
      <c r="G31" s="130"/>
      <c r="H31" s="130"/>
      <c r="I31" s="130"/>
      <c r="J31" s="130"/>
      <c r="K31" s="109"/>
      <c r="L31" s="109"/>
      <c r="M31" s="109"/>
      <c r="N31" s="109"/>
      <c r="O31" s="109"/>
      <c r="P31" s="109"/>
      <c r="Q31" s="109"/>
      <c r="R31" s="78">
        <v>42478</v>
      </c>
      <c r="S31" s="63">
        <f t="shared" si="7"/>
        <v>1</v>
      </c>
      <c r="T31" s="22" t="s">
        <v>27</v>
      </c>
      <c r="U31" s="88">
        <f t="shared" si="1"/>
        <v>90800</v>
      </c>
      <c r="V31" s="127" t="s">
        <v>10</v>
      </c>
      <c r="W31" s="70">
        <f t="shared" si="2"/>
        <v>90800</v>
      </c>
      <c r="X31" s="65"/>
      <c r="Y31" s="66">
        <f t="shared" si="5"/>
        <v>90800</v>
      </c>
      <c r="Z31" s="67" t="s">
        <v>12</v>
      </c>
      <c r="AA31" s="64">
        <f t="shared" si="4"/>
        <v>0</v>
      </c>
      <c r="AB31" s="68" t="s">
        <v>12</v>
      </c>
      <c r="AC31" s="64">
        <f>SUMIF(Invoices!$D$2:$D$1048576,' Accting USE Data Entry Form'!B31,Invoices!$E$2:$E$1048576)</f>
        <v>90800</v>
      </c>
      <c r="AD31" s="68" t="s">
        <v>10</v>
      </c>
      <c r="AE31" s="69">
        <f t="shared" si="6"/>
        <v>0</v>
      </c>
    </row>
    <row r="32" spans="1:31" ht="14.4" customHeight="1" x14ac:dyDescent="0.25">
      <c r="A32" s="62">
        <v>22</v>
      </c>
      <c r="B32" s="81" t="s">
        <v>92</v>
      </c>
      <c r="C32" s="84">
        <v>49696</v>
      </c>
      <c r="D32" s="87"/>
      <c r="E32" s="119"/>
      <c r="F32" s="130"/>
      <c r="G32" s="130"/>
      <c r="H32" s="130"/>
      <c r="I32" s="130"/>
      <c r="J32" s="130"/>
      <c r="K32" s="109"/>
      <c r="L32" s="109"/>
      <c r="M32" s="109"/>
      <c r="N32" s="109"/>
      <c r="O32" s="109"/>
      <c r="P32" s="109"/>
      <c r="Q32" s="109"/>
      <c r="R32" s="78">
        <v>42905</v>
      </c>
      <c r="S32" s="63">
        <f t="shared" si="7"/>
        <v>0</v>
      </c>
      <c r="T32" s="22" t="s">
        <v>27</v>
      </c>
      <c r="U32" s="88">
        <f t="shared" si="1"/>
        <v>49696</v>
      </c>
      <c r="V32" s="127" t="s">
        <v>10</v>
      </c>
      <c r="W32" s="70">
        <f t="shared" si="2"/>
        <v>0</v>
      </c>
      <c r="X32" s="65"/>
      <c r="Y32" s="66">
        <f t="shared" si="5"/>
        <v>0</v>
      </c>
      <c r="Z32" s="67" t="s">
        <v>12</v>
      </c>
      <c r="AA32" s="64">
        <f t="shared" si="4"/>
        <v>-7554.66</v>
      </c>
      <c r="AB32" s="68" t="s">
        <v>12</v>
      </c>
      <c r="AC32" s="64">
        <f>SUMIF(Invoices!$D$2:$D$1048576,' Accting USE Data Entry Form'!B32,Invoices!$E$2:$E$1048576)</f>
        <v>7554.66</v>
      </c>
      <c r="AD32" s="68" t="s">
        <v>10</v>
      </c>
      <c r="AE32" s="69">
        <f t="shared" si="6"/>
        <v>0</v>
      </c>
    </row>
    <row r="33" spans="1:32" ht="14.4" customHeight="1" x14ac:dyDescent="0.25">
      <c r="A33" s="62">
        <v>23</v>
      </c>
      <c r="B33" s="81" t="s">
        <v>93</v>
      </c>
      <c r="C33" s="84">
        <v>323136</v>
      </c>
      <c r="D33" s="87">
        <v>0.97727272727269998</v>
      </c>
      <c r="E33" s="119"/>
      <c r="F33" s="130"/>
      <c r="G33" s="130"/>
      <c r="H33" s="130"/>
      <c r="I33" s="130"/>
      <c r="J33" s="130"/>
      <c r="K33" s="109"/>
      <c r="L33" s="109"/>
      <c r="M33" s="109"/>
      <c r="N33" s="109"/>
      <c r="O33" s="109"/>
      <c r="P33" s="109"/>
      <c r="Q33" s="109"/>
      <c r="R33" s="78">
        <v>42653</v>
      </c>
      <c r="S33" s="63">
        <f t="shared" si="7"/>
        <v>0.97727272727269998</v>
      </c>
      <c r="T33" s="22" t="s">
        <v>27</v>
      </c>
      <c r="U33" s="88">
        <f t="shared" si="1"/>
        <v>323136</v>
      </c>
      <c r="V33" s="127" t="s">
        <v>10</v>
      </c>
      <c r="W33" s="70">
        <f t="shared" si="2"/>
        <v>315791.99999999115</v>
      </c>
      <c r="X33" s="65"/>
      <c r="Y33" s="66">
        <f t="shared" si="5"/>
        <v>315791.99999999115</v>
      </c>
      <c r="Z33" s="67" t="s">
        <v>12</v>
      </c>
      <c r="AA33" s="64">
        <f t="shared" si="4"/>
        <v>-8.8475644588470459E-9</v>
      </c>
      <c r="AB33" s="68" t="s">
        <v>12</v>
      </c>
      <c r="AC33" s="64">
        <f>SUMIF(Invoices!$D$2:$D$1048576,' Accting USE Data Entry Form'!B33,Invoices!$E$2:$E$1048576)</f>
        <v>315792</v>
      </c>
      <c r="AD33" s="68" t="s">
        <v>10</v>
      </c>
      <c r="AE33" s="69">
        <f t="shared" si="6"/>
        <v>0</v>
      </c>
      <c r="AF33" s="95" t="s">
        <v>109</v>
      </c>
    </row>
    <row r="34" spans="1:32" ht="14.4" customHeight="1" x14ac:dyDescent="0.25">
      <c r="A34" s="62">
        <v>24</v>
      </c>
      <c r="B34" s="81" t="s">
        <v>94</v>
      </c>
      <c r="C34" s="84">
        <v>246240</v>
      </c>
      <c r="D34" s="107">
        <v>9.3404808000000006E-2</v>
      </c>
      <c r="E34" s="122">
        <v>23000</v>
      </c>
      <c r="F34" s="131">
        <v>101080</v>
      </c>
      <c r="G34" s="131"/>
      <c r="H34" s="131"/>
      <c r="I34" s="131"/>
      <c r="J34" s="131"/>
      <c r="K34" s="109"/>
      <c r="L34" s="109"/>
      <c r="M34" s="109"/>
      <c r="N34" s="109"/>
      <c r="O34" s="109"/>
      <c r="P34" s="109"/>
      <c r="Q34" s="109"/>
      <c r="R34" s="78">
        <v>42933</v>
      </c>
      <c r="S34" s="63">
        <f t="shared" si="7"/>
        <v>0.5973034434775828</v>
      </c>
      <c r="T34" s="22" t="s">
        <v>27</v>
      </c>
      <c r="U34" s="88">
        <f t="shared" si="1"/>
        <v>246240</v>
      </c>
      <c r="V34" s="127" t="s">
        <v>10</v>
      </c>
      <c r="W34" s="70">
        <f t="shared" si="2"/>
        <v>147079.99992191998</v>
      </c>
      <c r="X34" s="65"/>
      <c r="Y34" s="66">
        <f t="shared" si="5"/>
        <v>147079.99992191998</v>
      </c>
      <c r="Z34" s="67" t="s">
        <v>12</v>
      </c>
      <c r="AA34" s="64">
        <f t="shared" si="4"/>
        <v>-39160.000078080018</v>
      </c>
      <c r="AB34" s="68" t="s">
        <v>12</v>
      </c>
      <c r="AC34" s="64">
        <f>SUMIF(Invoices!$D$2:$D$1048576,' Accting USE Data Entry Form'!B34,Invoices!$E$2:$E$1048576)</f>
        <v>186240</v>
      </c>
      <c r="AD34" s="68" t="s">
        <v>10</v>
      </c>
      <c r="AE34" s="69">
        <f t="shared" si="6"/>
        <v>0</v>
      </c>
      <c r="AF34" s="51" t="s">
        <v>113</v>
      </c>
    </row>
    <row r="35" spans="1:32" ht="14.4" customHeight="1" x14ac:dyDescent="0.25">
      <c r="A35" s="62">
        <v>25</v>
      </c>
      <c r="B35" s="81" t="s">
        <v>95</v>
      </c>
      <c r="C35" s="84">
        <v>147200</v>
      </c>
      <c r="D35" s="107">
        <v>0.3125</v>
      </c>
      <c r="E35" s="119">
        <v>9200</v>
      </c>
      <c r="F35" s="131">
        <v>9200</v>
      </c>
      <c r="G35" s="131"/>
      <c r="H35" s="131"/>
      <c r="I35" s="131"/>
      <c r="J35" s="131"/>
      <c r="K35" s="109"/>
      <c r="L35" s="109"/>
      <c r="M35" s="109"/>
      <c r="N35" s="109"/>
      <c r="O35" s="109"/>
      <c r="P35" s="109"/>
      <c r="Q35" s="109"/>
      <c r="R35" s="78">
        <v>42933</v>
      </c>
      <c r="S35" s="63">
        <f t="shared" si="7"/>
        <v>0.4375</v>
      </c>
      <c r="T35" s="22" t="s">
        <v>27</v>
      </c>
      <c r="U35" s="88">
        <f t="shared" si="1"/>
        <v>147200</v>
      </c>
      <c r="V35" s="127" t="s">
        <v>10</v>
      </c>
      <c r="W35" s="70">
        <f t="shared" si="2"/>
        <v>64400</v>
      </c>
      <c r="X35" s="65"/>
      <c r="Y35" s="66">
        <f t="shared" si="5"/>
        <v>64400</v>
      </c>
      <c r="Z35" s="67" t="s">
        <v>12</v>
      </c>
      <c r="AA35" s="64">
        <f t="shared" si="4"/>
        <v>-27600</v>
      </c>
      <c r="AB35" s="68" t="s">
        <v>12</v>
      </c>
      <c r="AC35" s="64">
        <f>SUMIF(Invoices!$D$2:$D$1048576,' Accting USE Data Entry Form'!B35,Invoices!$E$2:$E$1048576)</f>
        <v>92000</v>
      </c>
      <c r="AD35" s="68" t="s">
        <v>10</v>
      </c>
      <c r="AE35" s="69">
        <f t="shared" si="6"/>
        <v>0</v>
      </c>
      <c r="AF35" s="51" t="s">
        <v>114</v>
      </c>
    </row>
    <row r="36" spans="1:32" ht="14.4" customHeight="1" x14ac:dyDescent="0.25">
      <c r="A36" s="62">
        <v>26</v>
      </c>
      <c r="B36" s="81" t="s">
        <v>71</v>
      </c>
      <c r="C36" s="84">
        <v>160750</v>
      </c>
      <c r="D36" s="63"/>
      <c r="E36" s="119"/>
      <c r="F36" s="108"/>
      <c r="G36" s="108"/>
      <c r="H36" s="108"/>
      <c r="I36" s="108"/>
      <c r="J36" s="108"/>
      <c r="K36" s="109"/>
      <c r="L36" s="109"/>
      <c r="M36" s="109"/>
      <c r="N36" s="109"/>
      <c r="O36" s="109"/>
      <c r="P36" s="109"/>
      <c r="Q36" s="109"/>
      <c r="R36" s="83">
        <v>42822</v>
      </c>
      <c r="S36" s="63">
        <f t="shared" si="7"/>
        <v>0</v>
      </c>
      <c r="T36" s="22" t="s">
        <v>27</v>
      </c>
      <c r="U36" s="88">
        <f t="shared" si="1"/>
        <v>160750</v>
      </c>
      <c r="V36" s="127" t="s">
        <v>10</v>
      </c>
      <c r="W36" s="70">
        <f t="shared" si="2"/>
        <v>0</v>
      </c>
      <c r="X36" s="65"/>
      <c r="Y36" s="66">
        <f t="shared" si="5"/>
        <v>0</v>
      </c>
      <c r="Z36" s="67" t="s">
        <v>12</v>
      </c>
      <c r="AA36" s="64">
        <f t="shared" si="4"/>
        <v>-160750</v>
      </c>
      <c r="AB36" s="68" t="s">
        <v>12</v>
      </c>
      <c r="AC36" s="64">
        <f>SUMIF(Invoices!$D$2:$D$1048576,' Accting USE Data Entry Form'!B36,Invoices!$E$2:$E$1048576)</f>
        <v>160750</v>
      </c>
      <c r="AD36" s="68" t="s">
        <v>10</v>
      </c>
      <c r="AE36" s="69">
        <f t="shared" si="6"/>
        <v>0</v>
      </c>
    </row>
    <row r="37" spans="1:32" ht="14.4" customHeight="1" x14ac:dyDescent="0.25">
      <c r="A37" s="62">
        <v>27</v>
      </c>
      <c r="B37" s="81" t="s">
        <v>72</v>
      </c>
      <c r="C37" s="84">
        <v>160750</v>
      </c>
      <c r="D37" s="63"/>
      <c r="E37" s="119"/>
      <c r="F37" s="108"/>
      <c r="G37" s="108"/>
      <c r="H37" s="108"/>
      <c r="I37" s="108"/>
      <c r="J37" s="108"/>
      <c r="K37" s="109"/>
      <c r="L37" s="109"/>
      <c r="M37" s="109"/>
      <c r="N37" s="109"/>
      <c r="O37" s="109"/>
      <c r="P37" s="109"/>
      <c r="Q37" s="109"/>
      <c r="R37" s="83">
        <v>42830</v>
      </c>
      <c r="S37" s="63">
        <f t="shared" si="7"/>
        <v>0</v>
      </c>
      <c r="T37" s="22" t="s">
        <v>27</v>
      </c>
      <c r="U37" s="88">
        <f t="shared" si="1"/>
        <v>160750</v>
      </c>
      <c r="V37" s="127" t="s">
        <v>10</v>
      </c>
      <c r="W37" s="70">
        <f t="shared" si="2"/>
        <v>0</v>
      </c>
      <c r="X37" s="65"/>
      <c r="Y37" s="66">
        <f t="shared" si="5"/>
        <v>0</v>
      </c>
      <c r="Z37" s="67" t="s">
        <v>12</v>
      </c>
      <c r="AA37" s="64">
        <f t="shared" si="4"/>
        <v>-160750</v>
      </c>
      <c r="AB37" s="68" t="s">
        <v>12</v>
      </c>
      <c r="AC37" s="64">
        <f>SUMIF(Invoices!$D$2:$D$1048576,' Accting USE Data Entry Form'!B37,Invoices!$E$2:$E$1048576)</f>
        <v>160750</v>
      </c>
      <c r="AD37" s="68" t="s">
        <v>10</v>
      </c>
      <c r="AE37" s="69">
        <f t="shared" si="6"/>
        <v>0</v>
      </c>
    </row>
    <row r="38" spans="1:32" ht="14.4" customHeight="1" x14ac:dyDescent="0.25">
      <c r="A38" s="62">
        <v>28</v>
      </c>
      <c r="B38" s="81" t="s">
        <v>73</v>
      </c>
      <c r="C38" s="84">
        <v>160750</v>
      </c>
      <c r="D38" s="63"/>
      <c r="E38" s="119"/>
      <c r="F38" s="108"/>
      <c r="G38" s="108"/>
      <c r="H38" s="108"/>
      <c r="I38" s="108"/>
      <c r="J38" s="108"/>
      <c r="K38" s="109"/>
      <c r="L38" s="109"/>
      <c r="M38" s="109"/>
      <c r="N38" s="109"/>
      <c r="O38" s="109"/>
      <c r="P38" s="109"/>
      <c r="Q38" s="109"/>
      <c r="R38" s="83">
        <v>42838</v>
      </c>
      <c r="S38" s="63">
        <f t="shared" si="7"/>
        <v>0</v>
      </c>
      <c r="T38" s="22" t="s">
        <v>27</v>
      </c>
      <c r="U38" s="88">
        <f t="shared" si="1"/>
        <v>160750</v>
      </c>
      <c r="V38" s="127" t="s">
        <v>10</v>
      </c>
      <c r="W38" s="70">
        <f t="shared" si="2"/>
        <v>0</v>
      </c>
      <c r="X38" s="65"/>
      <c r="Y38" s="66">
        <f t="shared" si="5"/>
        <v>0</v>
      </c>
      <c r="Z38" s="67" t="s">
        <v>12</v>
      </c>
      <c r="AA38" s="64">
        <f t="shared" si="4"/>
        <v>-160750</v>
      </c>
      <c r="AB38" s="68" t="s">
        <v>12</v>
      </c>
      <c r="AC38" s="64">
        <f>SUMIF(Invoices!$D$2:$D$1048576,' Accting USE Data Entry Form'!B38,Invoices!$E$2:$E$1048576)</f>
        <v>160750</v>
      </c>
      <c r="AD38" s="68" t="s">
        <v>10</v>
      </c>
      <c r="AE38" s="69">
        <f t="shared" si="6"/>
        <v>0</v>
      </c>
    </row>
    <row r="39" spans="1:32" ht="14.4" customHeight="1" x14ac:dyDescent="0.25">
      <c r="A39" s="62">
        <v>29</v>
      </c>
      <c r="B39" s="81" t="s">
        <v>74</v>
      </c>
      <c r="C39" s="84">
        <v>160750</v>
      </c>
      <c r="D39" s="63"/>
      <c r="E39" s="119"/>
      <c r="F39" s="108"/>
      <c r="G39" s="108"/>
      <c r="H39" s="108"/>
      <c r="I39" s="108"/>
      <c r="J39" s="108"/>
      <c r="K39" s="109"/>
      <c r="L39" s="109"/>
      <c r="M39" s="109"/>
      <c r="N39" s="109"/>
      <c r="O39" s="109"/>
      <c r="P39" s="109"/>
      <c r="Q39" s="109"/>
      <c r="R39" s="83">
        <v>42846</v>
      </c>
      <c r="S39" s="63">
        <f t="shared" si="7"/>
        <v>0</v>
      </c>
      <c r="T39" s="22" t="s">
        <v>27</v>
      </c>
      <c r="U39" s="88">
        <f t="shared" si="1"/>
        <v>160750</v>
      </c>
      <c r="V39" s="127" t="s">
        <v>10</v>
      </c>
      <c r="W39" s="70">
        <f t="shared" si="2"/>
        <v>0</v>
      </c>
      <c r="X39" s="65"/>
      <c r="Y39" s="66">
        <f t="shared" si="5"/>
        <v>0</v>
      </c>
      <c r="Z39" s="67" t="s">
        <v>12</v>
      </c>
      <c r="AA39" s="64">
        <f t="shared" si="4"/>
        <v>-160750</v>
      </c>
      <c r="AB39" s="68" t="s">
        <v>12</v>
      </c>
      <c r="AC39" s="64">
        <f>SUMIF(Invoices!$D$2:$D$1048576,' Accting USE Data Entry Form'!B39,Invoices!$E$2:$E$1048576)</f>
        <v>160750</v>
      </c>
      <c r="AD39" s="68" t="s">
        <v>10</v>
      </c>
      <c r="AE39" s="69">
        <f t="shared" si="6"/>
        <v>0</v>
      </c>
    </row>
    <row r="40" spans="1:32" ht="14.4" customHeight="1" x14ac:dyDescent="0.25">
      <c r="A40" s="62">
        <v>30</v>
      </c>
      <c r="B40" s="81" t="s">
        <v>75</v>
      </c>
      <c r="C40" s="84">
        <v>160750</v>
      </c>
      <c r="D40" s="63"/>
      <c r="E40" s="119"/>
      <c r="F40" s="108"/>
      <c r="G40" s="108"/>
      <c r="H40" s="108"/>
      <c r="I40" s="108"/>
      <c r="J40" s="108"/>
      <c r="K40" s="109"/>
      <c r="L40" s="109"/>
      <c r="M40" s="109"/>
      <c r="N40" s="109"/>
      <c r="O40" s="109"/>
      <c r="P40" s="109"/>
      <c r="Q40" s="109"/>
      <c r="R40" s="83">
        <v>42856</v>
      </c>
      <c r="S40" s="63">
        <f t="shared" si="7"/>
        <v>0</v>
      </c>
      <c r="T40" s="22" t="s">
        <v>27</v>
      </c>
      <c r="U40" s="88">
        <f t="shared" si="1"/>
        <v>160750</v>
      </c>
      <c r="V40" s="127" t="s">
        <v>10</v>
      </c>
      <c r="W40" s="70">
        <f t="shared" si="2"/>
        <v>0</v>
      </c>
      <c r="X40" s="65"/>
      <c r="Y40" s="66">
        <f t="shared" si="5"/>
        <v>0</v>
      </c>
      <c r="Z40" s="67" t="s">
        <v>12</v>
      </c>
      <c r="AA40" s="64">
        <f t="shared" si="4"/>
        <v>-160750</v>
      </c>
      <c r="AB40" s="68" t="s">
        <v>12</v>
      </c>
      <c r="AC40" s="64">
        <f>SUMIF(Invoices!$D$2:$D$1048576,' Accting USE Data Entry Form'!B40,Invoices!$E$2:$E$1048576)</f>
        <v>160750</v>
      </c>
      <c r="AD40" s="68" t="s">
        <v>10</v>
      </c>
      <c r="AE40" s="69">
        <f t="shared" si="6"/>
        <v>0</v>
      </c>
    </row>
    <row r="41" spans="1:32" ht="14.4" customHeight="1" x14ac:dyDescent="0.25">
      <c r="A41" s="62">
        <v>31</v>
      </c>
      <c r="B41" s="81" t="s">
        <v>76</v>
      </c>
      <c r="C41" s="84">
        <v>160750</v>
      </c>
      <c r="D41" s="63"/>
      <c r="E41" s="119"/>
      <c r="F41" s="108"/>
      <c r="G41" s="108"/>
      <c r="H41" s="108"/>
      <c r="I41" s="108"/>
      <c r="J41" s="108"/>
      <c r="K41" s="109"/>
      <c r="L41" s="109"/>
      <c r="M41" s="109"/>
      <c r="N41" s="109"/>
      <c r="O41" s="109"/>
      <c r="P41" s="109"/>
      <c r="Q41" s="109"/>
      <c r="R41" s="83">
        <v>42864</v>
      </c>
      <c r="S41" s="63">
        <f t="shared" si="7"/>
        <v>0</v>
      </c>
      <c r="T41" s="22" t="s">
        <v>27</v>
      </c>
      <c r="U41" s="88">
        <f t="shared" si="1"/>
        <v>160750</v>
      </c>
      <c r="V41" s="127" t="s">
        <v>10</v>
      </c>
      <c r="W41" s="70">
        <f t="shared" si="2"/>
        <v>0</v>
      </c>
      <c r="X41" s="65"/>
      <c r="Y41" s="66">
        <f t="shared" si="5"/>
        <v>0</v>
      </c>
      <c r="Z41" s="67" t="s">
        <v>12</v>
      </c>
      <c r="AA41" s="64">
        <f t="shared" si="4"/>
        <v>-40187.5</v>
      </c>
      <c r="AB41" s="68" t="s">
        <v>12</v>
      </c>
      <c r="AC41" s="64">
        <f>SUMIF(Invoices!$D$2:$D$1048576,' Accting USE Data Entry Form'!B41,Invoices!$E$2:$E$1048576)</f>
        <v>40187.5</v>
      </c>
      <c r="AD41" s="68" t="s">
        <v>10</v>
      </c>
      <c r="AE41" s="69">
        <f t="shared" si="6"/>
        <v>0</v>
      </c>
    </row>
    <row r="42" spans="1:32" ht="14.4" customHeight="1" x14ac:dyDescent="0.25">
      <c r="A42" s="62">
        <v>32</v>
      </c>
      <c r="B42" s="81" t="s">
        <v>77</v>
      </c>
      <c r="C42" s="84">
        <v>160750</v>
      </c>
      <c r="D42" s="63"/>
      <c r="E42" s="119"/>
      <c r="F42" s="108"/>
      <c r="G42" s="108"/>
      <c r="H42" s="108"/>
      <c r="I42" s="108"/>
      <c r="J42" s="108"/>
      <c r="K42" s="109"/>
      <c r="L42" s="109"/>
      <c r="M42" s="109"/>
      <c r="N42" s="109"/>
      <c r="O42" s="109"/>
      <c r="P42" s="109"/>
      <c r="Q42" s="109"/>
      <c r="R42" s="83">
        <v>42872</v>
      </c>
      <c r="S42" s="63">
        <f t="shared" si="7"/>
        <v>0</v>
      </c>
      <c r="T42" s="22" t="s">
        <v>27</v>
      </c>
      <c r="U42" s="88">
        <f t="shared" si="1"/>
        <v>160750</v>
      </c>
      <c r="V42" s="127" t="s">
        <v>10</v>
      </c>
      <c r="W42" s="70">
        <f t="shared" si="2"/>
        <v>0</v>
      </c>
      <c r="X42" s="65"/>
      <c r="Y42" s="66">
        <f t="shared" si="5"/>
        <v>0</v>
      </c>
      <c r="Z42" s="67" t="s">
        <v>12</v>
      </c>
      <c r="AA42" s="64">
        <f t="shared" si="4"/>
        <v>0</v>
      </c>
      <c r="AB42" s="68" t="s">
        <v>12</v>
      </c>
      <c r="AC42" s="64">
        <f>SUMIF(Invoices!$D$2:$D$1048576,' Accting USE Data Entry Form'!B42,Invoices!$E$2:$E$1048576)</f>
        <v>0</v>
      </c>
      <c r="AD42" s="68" t="s">
        <v>10</v>
      </c>
      <c r="AE42" s="69">
        <f t="shared" si="6"/>
        <v>0</v>
      </c>
    </row>
    <row r="43" spans="1:32" ht="14.4" customHeight="1" x14ac:dyDescent="0.25">
      <c r="A43" s="62">
        <v>33</v>
      </c>
      <c r="B43" s="81" t="s">
        <v>78</v>
      </c>
      <c r="C43" s="84">
        <v>160750</v>
      </c>
      <c r="D43" s="63"/>
      <c r="E43" s="119"/>
      <c r="F43" s="108"/>
      <c r="G43" s="108"/>
      <c r="H43" s="108"/>
      <c r="I43" s="108"/>
      <c r="J43" s="108"/>
      <c r="K43" s="109"/>
      <c r="L43" s="109"/>
      <c r="M43" s="109"/>
      <c r="N43" s="109"/>
      <c r="O43" s="109"/>
      <c r="P43" s="109"/>
      <c r="Q43" s="109"/>
      <c r="R43" s="83">
        <v>42880</v>
      </c>
      <c r="S43" s="63">
        <f t="shared" si="7"/>
        <v>0</v>
      </c>
      <c r="T43" s="22" t="s">
        <v>27</v>
      </c>
      <c r="U43" s="88">
        <f t="shared" ref="U43:U61" si="8">C43</f>
        <v>160750</v>
      </c>
      <c r="V43" s="127" t="s">
        <v>10</v>
      </c>
      <c r="W43" s="70">
        <f t="shared" si="2"/>
        <v>0</v>
      </c>
      <c r="X43" s="65"/>
      <c r="Y43" s="66">
        <f t="shared" si="5"/>
        <v>0</v>
      </c>
      <c r="Z43" s="67" t="s">
        <v>12</v>
      </c>
      <c r="AA43" s="64">
        <f t="shared" si="4"/>
        <v>0</v>
      </c>
      <c r="AB43" s="68" t="s">
        <v>12</v>
      </c>
      <c r="AC43" s="64">
        <f>SUMIF(Invoices!$D$2:$D$1048576,' Accting USE Data Entry Form'!B43,Invoices!$E$2:$E$1048576)</f>
        <v>0</v>
      </c>
      <c r="AD43" s="68" t="s">
        <v>10</v>
      </c>
      <c r="AE43" s="69">
        <f t="shared" si="6"/>
        <v>0</v>
      </c>
    </row>
    <row r="44" spans="1:32" ht="14.4" customHeight="1" x14ac:dyDescent="0.25">
      <c r="A44" s="62">
        <v>34</v>
      </c>
      <c r="B44" s="81" t="s">
        <v>79</v>
      </c>
      <c r="C44" s="84">
        <v>160750</v>
      </c>
      <c r="D44" s="63"/>
      <c r="E44" s="119"/>
      <c r="F44" s="108"/>
      <c r="G44" s="108"/>
      <c r="H44" s="108"/>
      <c r="I44" s="108"/>
      <c r="J44" s="108"/>
      <c r="K44" s="109"/>
      <c r="L44" s="109"/>
      <c r="M44" s="109"/>
      <c r="N44" s="109"/>
      <c r="O44" s="109"/>
      <c r="P44" s="109"/>
      <c r="Q44" s="109"/>
      <c r="R44" s="83">
        <v>42888</v>
      </c>
      <c r="S44" s="63">
        <f t="shared" si="7"/>
        <v>0</v>
      </c>
      <c r="T44" s="22" t="s">
        <v>27</v>
      </c>
      <c r="U44" s="88">
        <f t="shared" si="8"/>
        <v>160750</v>
      </c>
      <c r="V44" s="127" t="s">
        <v>10</v>
      </c>
      <c r="W44" s="70">
        <f t="shared" si="2"/>
        <v>0</v>
      </c>
      <c r="X44" s="65"/>
      <c r="Y44" s="66">
        <f t="shared" si="5"/>
        <v>0</v>
      </c>
      <c r="Z44" s="67" t="s">
        <v>12</v>
      </c>
      <c r="AA44" s="64">
        <f t="shared" si="4"/>
        <v>0</v>
      </c>
      <c r="AB44" s="68" t="s">
        <v>12</v>
      </c>
      <c r="AC44" s="64">
        <f>SUMIF(Invoices!$D$2:$D$1048576,' Accting USE Data Entry Form'!B44,Invoices!$E$2:$E$1048576)</f>
        <v>0</v>
      </c>
      <c r="AD44" s="68" t="s">
        <v>10</v>
      </c>
      <c r="AE44" s="69">
        <f t="shared" si="6"/>
        <v>0</v>
      </c>
    </row>
    <row r="45" spans="1:32" ht="14.4" customHeight="1" x14ac:dyDescent="0.25">
      <c r="A45" s="62">
        <v>35</v>
      </c>
      <c r="B45" s="81" t="s">
        <v>80</v>
      </c>
      <c r="C45" s="84">
        <v>160750</v>
      </c>
      <c r="D45" s="63"/>
      <c r="E45" s="119"/>
      <c r="F45" s="108"/>
      <c r="G45" s="108"/>
      <c r="H45" s="108"/>
      <c r="I45" s="108"/>
      <c r="J45" s="108"/>
      <c r="K45" s="109"/>
      <c r="L45" s="109"/>
      <c r="M45" s="109"/>
      <c r="N45" s="109"/>
      <c r="O45" s="109"/>
      <c r="P45" s="109"/>
      <c r="Q45" s="109"/>
      <c r="R45" s="83">
        <v>42898</v>
      </c>
      <c r="S45" s="63">
        <f t="shared" si="7"/>
        <v>0</v>
      </c>
      <c r="T45" s="22" t="s">
        <v>27</v>
      </c>
      <c r="U45" s="88">
        <f t="shared" si="8"/>
        <v>160750</v>
      </c>
      <c r="V45" s="127" t="s">
        <v>10</v>
      </c>
      <c r="W45" s="70">
        <f t="shared" si="2"/>
        <v>0</v>
      </c>
      <c r="X45" s="65"/>
      <c r="Y45" s="66">
        <f t="shared" si="5"/>
        <v>0</v>
      </c>
      <c r="Z45" s="67" t="s">
        <v>12</v>
      </c>
      <c r="AA45" s="64">
        <f t="shared" si="4"/>
        <v>0</v>
      </c>
      <c r="AB45" s="68" t="s">
        <v>12</v>
      </c>
      <c r="AC45" s="64">
        <f>SUMIF(Invoices!$D$2:$D$1048576,' Accting USE Data Entry Form'!B45,Invoices!$E$2:$E$1048576)</f>
        <v>0</v>
      </c>
      <c r="AD45" s="68" t="s">
        <v>10</v>
      </c>
      <c r="AE45" s="69">
        <f t="shared" si="6"/>
        <v>0</v>
      </c>
    </row>
    <row r="46" spans="1:32" ht="14.4" customHeight="1" x14ac:dyDescent="0.25">
      <c r="A46" s="62">
        <v>36</v>
      </c>
      <c r="B46" s="81" t="s">
        <v>81</v>
      </c>
      <c r="C46" s="84">
        <v>160750</v>
      </c>
      <c r="D46" s="63"/>
      <c r="E46" s="119"/>
      <c r="F46" s="108"/>
      <c r="G46" s="108"/>
      <c r="H46" s="108"/>
      <c r="I46" s="108"/>
      <c r="J46" s="108"/>
      <c r="K46" s="109"/>
      <c r="L46" s="109"/>
      <c r="M46" s="109"/>
      <c r="N46" s="109"/>
      <c r="O46" s="109"/>
      <c r="P46" s="109"/>
      <c r="Q46" s="109"/>
      <c r="R46" s="83">
        <v>42906</v>
      </c>
      <c r="S46" s="63">
        <f t="shared" si="7"/>
        <v>0</v>
      </c>
      <c r="T46" s="22" t="s">
        <v>27</v>
      </c>
      <c r="U46" s="88">
        <f t="shared" si="8"/>
        <v>160750</v>
      </c>
      <c r="V46" s="127" t="s">
        <v>10</v>
      </c>
      <c r="W46" s="70">
        <f t="shared" si="2"/>
        <v>0</v>
      </c>
      <c r="X46" s="65"/>
      <c r="Y46" s="66">
        <f t="shared" si="5"/>
        <v>0</v>
      </c>
      <c r="Z46" s="67" t="s">
        <v>12</v>
      </c>
      <c r="AA46" s="64">
        <f t="shared" si="4"/>
        <v>0</v>
      </c>
      <c r="AB46" s="68" t="s">
        <v>12</v>
      </c>
      <c r="AC46" s="64">
        <f>SUMIF(Invoices!$D$2:$D$1048576,' Accting USE Data Entry Form'!B46,Invoices!$E$2:$E$1048576)</f>
        <v>0</v>
      </c>
      <c r="AD46" s="68" t="s">
        <v>10</v>
      </c>
      <c r="AE46" s="69">
        <f t="shared" si="6"/>
        <v>0</v>
      </c>
    </row>
    <row r="47" spans="1:32" ht="14.4" customHeight="1" x14ac:dyDescent="0.25">
      <c r="A47" s="62">
        <v>37</v>
      </c>
      <c r="B47" s="81" t="s">
        <v>82</v>
      </c>
      <c r="C47" s="84">
        <v>160750</v>
      </c>
      <c r="D47" s="63"/>
      <c r="E47" s="119"/>
      <c r="F47" s="108"/>
      <c r="G47" s="108"/>
      <c r="H47" s="108"/>
      <c r="I47" s="108"/>
      <c r="J47" s="108"/>
      <c r="K47" s="109"/>
      <c r="L47" s="109"/>
      <c r="M47" s="109"/>
      <c r="N47" s="109"/>
      <c r="O47" s="109"/>
      <c r="P47" s="109"/>
      <c r="Q47" s="109"/>
      <c r="R47" s="83">
        <v>42914</v>
      </c>
      <c r="S47" s="63">
        <f t="shared" si="7"/>
        <v>0</v>
      </c>
      <c r="T47" s="22" t="s">
        <v>27</v>
      </c>
      <c r="U47" s="88">
        <f t="shared" si="8"/>
        <v>160750</v>
      </c>
      <c r="V47" s="127" t="s">
        <v>10</v>
      </c>
      <c r="W47" s="70">
        <f t="shared" si="2"/>
        <v>0</v>
      </c>
      <c r="X47" s="65"/>
      <c r="Y47" s="66">
        <f t="shared" si="5"/>
        <v>0</v>
      </c>
      <c r="Z47" s="67" t="s">
        <v>12</v>
      </c>
      <c r="AA47" s="64">
        <f t="shared" si="4"/>
        <v>0</v>
      </c>
      <c r="AB47" s="68" t="s">
        <v>12</v>
      </c>
      <c r="AC47" s="64">
        <f>SUMIF(Invoices!$D$2:$D$1048576,' Accting USE Data Entry Form'!B47,Invoices!$E$2:$E$1048576)</f>
        <v>0</v>
      </c>
      <c r="AD47" s="68" t="s">
        <v>10</v>
      </c>
      <c r="AE47" s="69">
        <f t="shared" si="6"/>
        <v>0</v>
      </c>
    </row>
    <row r="48" spans="1:32" ht="14.4" customHeight="1" x14ac:dyDescent="0.25">
      <c r="A48" s="62">
        <v>38</v>
      </c>
      <c r="B48" s="81" t="s">
        <v>83</v>
      </c>
      <c r="C48" s="84">
        <v>160750</v>
      </c>
      <c r="D48" s="63"/>
      <c r="E48" s="119"/>
      <c r="F48" s="108"/>
      <c r="G48" s="108"/>
      <c r="H48" s="108"/>
      <c r="I48" s="108"/>
      <c r="J48" s="108"/>
      <c r="K48" s="109"/>
      <c r="L48" s="109"/>
      <c r="M48" s="109"/>
      <c r="N48" s="109"/>
      <c r="O48" s="109"/>
      <c r="P48" s="109"/>
      <c r="Q48" s="109"/>
      <c r="R48" s="83">
        <v>42922</v>
      </c>
      <c r="S48" s="63">
        <f t="shared" si="7"/>
        <v>0</v>
      </c>
      <c r="T48" s="22" t="s">
        <v>27</v>
      </c>
      <c r="U48" s="88">
        <f t="shared" si="8"/>
        <v>160750</v>
      </c>
      <c r="V48" s="127" t="s">
        <v>10</v>
      </c>
      <c r="W48" s="70">
        <f t="shared" si="2"/>
        <v>0</v>
      </c>
      <c r="X48" s="65"/>
      <c r="Y48" s="66">
        <f t="shared" si="5"/>
        <v>0</v>
      </c>
      <c r="Z48" s="67" t="s">
        <v>12</v>
      </c>
      <c r="AA48" s="64">
        <f t="shared" si="4"/>
        <v>0</v>
      </c>
      <c r="AB48" s="68" t="s">
        <v>12</v>
      </c>
      <c r="AC48" s="64">
        <f>SUMIF(Invoices!$D$2:$D$1048576,' Accting USE Data Entry Form'!B48,Invoices!$E$2:$E$1048576)</f>
        <v>0</v>
      </c>
      <c r="AD48" s="68" t="s">
        <v>10</v>
      </c>
      <c r="AE48" s="69">
        <f t="shared" si="6"/>
        <v>0</v>
      </c>
    </row>
    <row r="49" spans="1:32" ht="14.4" customHeight="1" x14ac:dyDescent="0.25">
      <c r="A49" s="62">
        <v>39</v>
      </c>
      <c r="B49" s="81" t="s">
        <v>84</v>
      </c>
      <c r="C49" s="84">
        <v>160750</v>
      </c>
      <c r="D49" s="63"/>
      <c r="E49" s="119"/>
      <c r="F49" s="108"/>
      <c r="G49" s="108"/>
      <c r="H49" s="108"/>
      <c r="I49" s="108"/>
      <c r="J49" s="108"/>
      <c r="K49" s="109"/>
      <c r="L49" s="109"/>
      <c r="M49" s="109"/>
      <c r="N49" s="109"/>
      <c r="O49" s="109"/>
      <c r="P49" s="109"/>
      <c r="Q49" s="109"/>
      <c r="R49" s="83">
        <v>42930</v>
      </c>
      <c r="S49" s="63">
        <f t="shared" si="7"/>
        <v>0</v>
      </c>
      <c r="T49" s="22" t="s">
        <v>27</v>
      </c>
      <c r="U49" s="88">
        <f t="shared" si="8"/>
        <v>160750</v>
      </c>
      <c r="V49" s="127" t="s">
        <v>10</v>
      </c>
      <c r="W49" s="70">
        <f t="shared" si="2"/>
        <v>0</v>
      </c>
      <c r="X49" s="65"/>
      <c r="Y49" s="66">
        <f t="shared" si="5"/>
        <v>0</v>
      </c>
      <c r="Z49" s="67" t="s">
        <v>12</v>
      </c>
      <c r="AA49" s="64">
        <f t="shared" si="4"/>
        <v>0</v>
      </c>
      <c r="AB49" s="68" t="s">
        <v>12</v>
      </c>
      <c r="AC49" s="64">
        <f>SUMIF(Invoices!$D$2:$D$1048576,' Accting USE Data Entry Form'!B49,Invoices!$E$2:$E$1048576)</f>
        <v>0</v>
      </c>
      <c r="AD49" s="68" t="s">
        <v>10</v>
      </c>
      <c r="AE49" s="69">
        <f t="shared" si="6"/>
        <v>0</v>
      </c>
    </row>
    <row r="50" spans="1:32" ht="14.4" customHeight="1" x14ac:dyDescent="0.25">
      <c r="A50" s="62">
        <v>40</v>
      </c>
      <c r="B50" s="81" t="s">
        <v>85</v>
      </c>
      <c r="C50" s="84">
        <v>160750</v>
      </c>
      <c r="D50" s="63"/>
      <c r="E50" s="119"/>
      <c r="F50" s="108"/>
      <c r="G50" s="108"/>
      <c r="H50" s="108"/>
      <c r="I50" s="108"/>
      <c r="J50" s="108"/>
      <c r="K50" s="109"/>
      <c r="L50" s="109"/>
      <c r="M50" s="109"/>
      <c r="N50" s="109"/>
      <c r="O50" s="109"/>
      <c r="P50" s="109"/>
      <c r="Q50" s="109"/>
      <c r="R50" s="83">
        <v>42940</v>
      </c>
      <c r="S50" s="63">
        <f t="shared" si="7"/>
        <v>0</v>
      </c>
      <c r="T50" s="22" t="s">
        <v>27</v>
      </c>
      <c r="U50" s="88">
        <f t="shared" si="8"/>
        <v>160750</v>
      </c>
      <c r="V50" s="127" t="s">
        <v>10</v>
      </c>
      <c r="W50" s="70">
        <f t="shared" si="2"/>
        <v>0</v>
      </c>
      <c r="X50" s="65"/>
      <c r="Y50" s="66">
        <f t="shared" si="5"/>
        <v>0</v>
      </c>
      <c r="Z50" s="67" t="s">
        <v>12</v>
      </c>
      <c r="AA50" s="64">
        <f t="shared" si="4"/>
        <v>0</v>
      </c>
      <c r="AB50" s="68" t="s">
        <v>12</v>
      </c>
      <c r="AC50" s="64">
        <f>SUMIF(Invoices!$D$2:$D$1048576,' Accting USE Data Entry Form'!B50,Invoices!$E$2:$E$1048576)</f>
        <v>0</v>
      </c>
      <c r="AD50" s="68" t="s">
        <v>10</v>
      </c>
      <c r="AE50" s="69">
        <f t="shared" si="6"/>
        <v>0</v>
      </c>
    </row>
    <row r="51" spans="1:32" ht="14.4" customHeight="1" x14ac:dyDescent="0.25">
      <c r="A51" s="62">
        <v>41</v>
      </c>
      <c r="B51" s="81" t="s">
        <v>86</v>
      </c>
      <c r="C51" s="84">
        <v>160750</v>
      </c>
      <c r="D51" s="63"/>
      <c r="E51" s="119"/>
      <c r="F51" s="108"/>
      <c r="G51" s="108"/>
      <c r="H51" s="108"/>
      <c r="I51" s="108"/>
      <c r="J51" s="108"/>
      <c r="K51" s="109"/>
      <c r="L51" s="109"/>
      <c r="M51" s="109"/>
      <c r="N51" s="109"/>
      <c r="O51" s="109"/>
      <c r="P51" s="109"/>
      <c r="Q51" s="109"/>
      <c r="R51" s="83">
        <v>42948</v>
      </c>
      <c r="S51" s="63">
        <f t="shared" si="7"/>
        <v>0</v>
      </c>
      <c r="T51" s="22" t="s">
        <v>27</v>
      </c>
      <c r="U51" s="88">
        <f t="shared" si="8"/>
        <v>160750</v>
      </c>
      <c r="V51" s="127" t="s">
        <v>10</v>
      </c>
      <c r="W51" s="70">
        <f t="shared" si="2"/>
        <v>0</v>
      </c>
      <c r="X51" s="65"/>
      <c r="Y51" s="66">
        <f t="shared" si="5"/>
        <v>0</v>
      </c>
      <c r="Z51" s="67" t="s">
        <v>12</v>
      </c>
      <c r="AA51" s="64">
        <f t="shared" si="4"/>
        <v>0</v>
      </c>
      <c r="AB51" s="68" t="s">
        <v>12</v>
      </c>
      <c r="AC51" s="64">
        <f>SUMIF(Invoices!$D$2:$D$1048576,' Accting USE Data Entry Form'!B51,Invoices!$E$2:$E$1048576)</f>
        <v>0</v>
      </c>
      <c r="AD51" s="68" t="s">
        <v>10</v>
      </c>
      <c r="AE51" s="69">
        <f t="shared" si="6"/>
        <v>0</v>
      </c>
    </row>
    <row r="52" spans="1:32" ht="14.4" customHeight="1" x14ac:dyDescent="0.25">
      <c r="A52" s="62">
        <v>42</v>
      </c>
      <c r="B52" s="81" t="s">
        <v>87</v>
      </c>
      <c r="C52" s="84">
        <v>160750</v>
      </c>
      <c r="D52" s="63"/>
      <c r="E52" s="119"/>
      <c r="F52" s="108"/>
      <c r="G52" s="108"/>
      <c r="H52" s="108"/>
      <c r="I52" s="108"/>
      <c r="J52" s="108"/>
      <c r="K52" s="109"/>
      <c r="L52" s="109"/>
      <c r="M52" s="109"/>
      <c r="N52" s="109"/>
      <c r="O52" s="109"/>
      <c r="P52" s="109"/>
      <c r="Q52" s="109"/>
      <c r="R52" s="83">
        <v>42956</v>
      </c>
      <c r="S52" s="63">
        <f t="shared" si="7"/>
        <v>0</v>
      </c>
      <c r="T52" s="22" t="s">
        <v>27</v>
      </c>
      <c r="U52" s="88">
        <f t="shared" si="8"/>
        <v>160750</v>
      </c>
      <c r="V52" s="127" t="s">
        <v>10</v>
      </c>
      <c r="W52" s="70">
        <f t="shared" si="2"/>
        <v>0</v>
      </c>
      <c r="X52" s="65"/>
      <c r="Y52" s="66">
        <f t="shared" si="5"/>
        <v>0</v>
      </c>
      <c r="Z52" s="67" t="s">
        <v>12</v>
      </c>
      <c r="AA52" s="64">
        <f t="shared" si="4"/>
        <v>0</v>
      </c>
      <c r="AB52" s="68" t="s">
        <v>12</v>
      </c>
      <c r="AC52" s="64">
        <f>SUMIF(Invoices!$D$2:$D$1048576,' Accting USE Data Entry Form'!B52,Invoices!$E$2:$E$1048576)</f>
        <v>0</v>
      </c>
      <c r="AD52" s="68" t="s">
        <v>10</v>
      </c>
      <c r="AE52" s="69">
        <f t="shared" si="6"/>
        <v>0</v>
      </c>
    </row>
    <row r="53" spans="1:32" ht="14.4" customHeight="1" x14ac:dyDescent="0.25">
      <c r="A53" s="62">
        <v>43</v>
      </c>
      <c r="B53" s="81" t="s">
        <v>88</v>
      </c>
      <c r="C53" s="84">
        <v>160750</v>
      </c>
      <c r="D53" s="63"/>
      <c r="E53" s="119"/>
      <c r="F53" s="108"/>
      <c r="G53" s="108"/>
      <c r="H53" s="108"/>
      <c r="I53" s="108"/>
      <c r="J53" s="108"/>
      <c r="K53" s="109"/>
      <c r="L53" s="109"/>
      <c r="M53" s="109"/>
      <c r="N53" s="109"/>
      <c r="O53" s="109"/>
      <c r="P53" s="109"/>
      <c r="Q53" s="109"/>
      <c r="R53" s="83">
        <v>42964</v>
      </c>
      <c r="S53" s="63">
        <f t="shared" si="7"/>
        <v>0</v>
      </c>
      <c r="T53" s="22" t="s">
        <v>27</v>
      </c>
      <c r="U53" s="88">
        <f t="shared" si="8"/>
        <v>160750</v>
      </c>
      <c r="V53" s="127" t="s">
        <v>10</v>
      </c>
      <c r="W53" s="70">
        <f t="shared" si="2"/>
        <v>0</v>
      </c>
      <c r="X53" s="65"/>
      <c r="Y53" s="66">
        <f t="shared" si="5"/>
        <v>0</v>
      </c>
      <c r="Z53" s="67" t="s">
        <v>12</v>
      </c>
      <c r="AA53" s="64">
        <f t="shared" si="4"/>
        <v>0</v>
      </c>
      <c r="AB53" s="68" t="s">
        <v>12</v>
      </c>
      <c r="AC53" s="64">
        <f>SUMIF(Invoices!$D$2:$D$1048576,' Accting USE Data Entry Form'!B53,Invoices!$E$2:$E$1048576)</f>
        <v>0</v>
      </c>
      <c r="AD53" s="68" t="s">
        <v>10</v>
      </c>
      <c r="AE53" s="69">
        <f t="shared" si="6"/>
        <v>0</v>
      </c>
    </row>
    <row r="54" spans="1:32" ht="14.4" customHeight="1" x14ac:dyDescent="0.25">
      <c r="A54" s="62">
        <v>44</v>
      </c>
      <c r="B54" s="81" t="s">
        <v>89</v>
      </c>
      <c r="C54" s="84">
        <v>160750</v>
      </c>
      <c r="D54" s="63"/>
      <c r="E54" s="119"/>
      <c r="F54" s="108"/>
      <c r="G54" s="108"/>
      <c r="H54" s="108"/>
      <c r="I54" s="108"/>
      <c r="J54" s="108"/>
      <c r="K54" s="109"/>
      <c r="L54" s="109"/>
      <c r="M54" s="109"/>
      <c r="N54" s="109"/>
      <c r="O54" s="109"/>
      <c r="P54" s="109"/>
      <c r="Q54" s="109"/>
      <c r="R54" s="83">
        <v>42972</v>
      </c>
      <c r="S54" s="63">
        <f t="shared" si="7"/>
        <v>0</v>
      </c>
      <c r="T54" s="22" t="s">
        <v>27</v>
      </c>
      <c r="U54" s="88">
        <f t="shared" si="8"/>
        <v>160750</v>
      </c>
      <c r="V54" s="127" t="s">
        <v>10</v>
      </c>
      <c r="W54" s="70">
        <f t="shared" si="2"/>
        <v>0</v>
      </c>
      <c r="X54" s="65"/>
      <c r="Y54" s="66">
        <f t="shared" si="5"/>
        <v>0</v>
      </c>
      <c r="Z54" s="67" t="s">
        <v>12</v>
      </c>
      <c r="AA54" s="64">
        <f t="shared" si="4"/>
        <v>0</v>
      </c>
      <c r="AB54" s="68" t="s">
        <v>12</v>
      </c>
      <c r="AC54" s="64">
        <f>SUMIF(Invoices!$D$2:$D$1048576,' Accting USE Data Entry Form'!B54,Invoices!$E$2:$E$1048576)</f>
        <v>0</v>
      </c>
      <c r="AD54" s="68" t="s">
        <v>10</v>
      </c>
      <c r="AE54" s="69">
        <f t="shared" si="6"/>
        <v>0</v>
      </c>
    </row>
    <row r="55" spans="1:32" ht="14.4" customHeight="1" x14ac:dyDescent="0.25">
      <c r="A55" s="62">
        <v>45</v>
      </c>
      <c r="B55" s="81" t="s">
        <v>90</v>
      </c>
      <c r="C55" s="85">
        <v>160750</v>
      </c>
      <c r="D55" s="63"/>
      <c r="E55" s="119"/>
      <c r="F55" s="108"/>
      <c r="G55" s="108"/>
      <c r="H55" s="108"/>
      <c r="I55" s="108"/>
      <c r="J55" s="108"/>
      <c r="K55" s="109"/>
      <c r="L55" s="109"/>
      <c r="M55" s="109"/>
      <c r="N55" s="109"/>
      <c r="O55" s="109"/>
      <c r="P55" s="109"/>
      <c r="Q55" s="109"/>
      <c r="R55" s="82">
        <v>42997</v>
      </c>
      <c r="S55" s="63">
        <f t="shared" si="7"/>
        <v>0</v>
      </c>
      <c r="T55" s="22" t="s">
        <v>27</v>
      </c>
      <c r="U55" s="88">
        <f t="shared" si="8"/>
        <v>160750</v>
      </c>
      <c r="V55" s="127" t="s">
        <v>10</v>
      </c>
      <c r="W55" s="70">
        <f t="shared" si="2"/>
        <v>0</v>
      </c>
      <c r="X55" s="65"/>
      <c r="Y55" s="66">
        <f t="shared" si="5"/>
        <v>0</v>
      </c>
      <c r="Z55" s="67" t="s">
        <v>12</v>
      </c>
      <c r="AA55" s="64">
        <f t="shared" si="4"/>
        <v>0</v>
      </c>
      <c r="AB55" s="68" t="s">
        <v>12</v>
      </c>
      <c r="AC55" s="64">
        <f>SUMIF(Invoices!$D$2:$D$1048576,' Accting USE Data Entry Form'!B55,Invoices!$E$2:$E$1048576)</f>
        <v>0</v>
      </c>
      <c r="AD55" s="68" t="s">
        <v>10</v>
      </c>
      <c r="AE55" s="69">
        <f t="shared" si="6"/>
        <v>0</v>
      </c>
    </row>
    <row r="56" spans="1:32" ht="14.4" customHeight="1" x14ac:dyDescent="0.25">
      <c r="A56" s="62">
        <v>46</v>
      </c>
      <c r="B56" s="81" t="s">
        <v>96</v>
      </c>
      <c r="C56" s="85">
        <v>38000</v>
      </c>
      <c r="D56" s="107">
        <v>1</v>
      </c>
      <c r="E56" s="119"/>
      <c r="F56" s="131"/>
      <c r="G56" s="131"/>
      <c r="H56" s="131"/>
      <c r="I56" s="131"/>
      <c r="J56" s="131"/>
      <c r="K56" s="109"/>
      <c r="L56" s="109"/>
      <c r="M56" s="109"/>
      <c r="N56" s="109"/>
      <c r="O56" s="109"/>
      <c r="P56" s="109"/>
      <c r="Q56" s="109"/>
      <c r="R56" s="82">
        <v>42614</v>
      </c>
      <c r="S56" s="63">
        <f t="shared" si="7"/>
        <v>1</v>
      </c>
      <c r="T56" s="22" t="s">
        <v>27</v>
      </c>
      <c r="U56" s="88">
        <f t="shared" si="8"/>
        <v>38000</v>
      </c>
      <c r="V56" s="127" t="s">
        <v>10</v>
      </c>
      <c r="W56" s="70">
        <f t="shared" si="2"/>
        <v>38000</v>
      </c>
      <c r="X56" s="65"/>
      <c r="Y56" s="66">
        <f t="shared" si="5"/>
        <v>38000</v>
      </c>
      <c r="Z56" s="67" t="s">
        <v>12</v>
      </c>
      <c r="AA56" s="64">
        <f t="shared" si="4"/>
        <v>0</v>
      </c>
      <c r="AB56" s="68" t="s">
        <v>12</v>
      </c>
      <c r="AC56" s="64">
        <f>SUMIF(Invoices!$D$2:$D$1048576,' Accting USE Data Entry Form'!B56,Invoices!$E$2:$E$1048576)</f>
        <v>38000</v>
      </c>
      <c r="AD56" s="68" t="s">
        <v>10</v>
      </c>
      <c r="AE56" s="69">
        <f t="shared" si="6"/>
        <v>0</v>
      </c>
    </row>
    <row r="57" spans="1:32" ht="14.4" customHeight="1" x14ac:dyDescent="0.25">
      <c r="A57" s="62">
        <v>47</v>
      </c>
      <c r="B57" s="81" t="s">
        <v>103</v>
      </c>
      <c r="C57" s="85">
        <v>71500</v>
      </c>
      <c r="D57" s="63">
        <v>1</v>
      </c>
      <c r="E57" s="119"/>
      <c r="F57" s="108"/>
      <c r="G57" s="108"/>
      <c r="H57" s="108"/>
      <c r="I57" s="108"/>
      <c r="J57" s="108"/>
      <c r="K57" s="109"/>
      <c r="L57" s="109"/>
      <c r="M57" s="109"/>
      <c r="N57" s="109"/>
      <c r="O57" s="109"/>
      <c r="P57" s="109"/>
      <c r="Q57" s="109"/>
      <c r="R57" s="82">
        <v>42643</v>
      </c>
      <c r="S57" s="63">
        <f t="shared" si="7"/>
        <v>1</v>
      </c>
      <c r="T57" s="22" t="s">
        <v>27</v>
      </c>
      <c r="U57" s="88">
        <f t="shared" si="8"/>
        <v>71500</v>
      </c>
      <c r="V57" s="127" t="s">
        <v>10</v>
      </c>
      <c r="W57" s="70">
        <f t="shared" si="2"/>
        <v>71500</v>
      </c>
      <c r="X57" s="65"/>
      <c r="Y57" s="66">
        <f t="shared" si="5"/>
        <v>71500</v>
      </c>
      <c r="Z57" s="67" t="s">
        <v>12</v>
      </c>
      <c r="AA57" s="64">
        <f t="shared" si="4"/>
        <v>0</v>
      </c>
      <c r="AB57" s="68" t="s">
        <v>12</v>
      </c>
      <c r="AC57" s="64">
        <f>SUMIF(Invoices!$D$2:$D$1048576,' Accting USE Data Entry Form'!B57,Invoices!$E$2:$E$1048576)</f>
        <v>71500</v>
      </c>
      <c r="AD57" s="68" t="s">
        <v>10</v>
      </c>
      <c r="AE57" s="69">
        <f t="shared" si="6"/>
        <v>0</v>
      </c>
    </row>
    <row r="58" spans="1:32" ht="14.4" customHeight="1" x14ac:dyDescent="0.25">
      <c r="A58" s="62">
        <v>48</v>
      </c>
      <c r="B58" s="81" t="s">
        <v>212</v>
      </c>
      <c r="C58" s="85">
        <v>484000</v>
      </c>
      <c r="D58" s="63"/>
      <c r="E58" s="119">
        <v>17132.759999999998</v>
      </c>
      <c r="F58" s="108">
        <v>102796.56000000003</v>
      </c>
      <c r="G58" s="108"/>
      <c r="H58" s="108"/>
      <c r="I58" s="108"/>
      <c r="J58" s="108"/>
      <c r="K58" s="109"/>
      <c r="L58" s="109"/>
      <c r="M58" s="109"/>
      <c r="N58" s="109"/>
      <c r="O58" s="109"/>
      <c r="P58" s="109"/>
      <c r="Q58" s="109"/>
      <c r="R58" s="82">
        <v>42987</v>
      </c>
      <c r="S58" s="63">
        <f t="shared" si="7"/>
        <v>0.24778785123966945</v>
      </c>
      <c r="T58" s="22" t="s">
        <v>27</v>
      </c>
      <c r="U58" s="88">
        <f t="shared" si="8"/>
        <v>484000</v>
      </c>
      <c r="V58" s="127" t="s">
        <v>10</v>
      </c>
      <c r="W58" s="70">
        <f t="shared" si="2"/>
        <v>119929.32000000002</v>
      </c>
      <c r="X58" s="65"/>
      <c r="Y58" s="66">
        <f t="shared" si="5"/>
        <v>119929.32000000002</v>
      </c>
      <c r="Z58" s="67" t="s">
        <v>12</v>
      </c>
      <c r="AA58" s="64">
        <f t="shared" si="4"/>
        <v>-107079.22000000002</v>
      </c>
      <c r="AB58" s="68" t="s">
        <v>12</v>
      </c>
      <c r="AC58" s="64">
        <f>SUMIF(Invoices!$D$2:$D$1048576,' Accting USE Data Entry Form'!B58,Invoices!$E$2:$E$1048576)</f>
        <v>227008.54000000004</v>
      </c>
      <c r="AD58" s="68" t="s">
        <v>10</v>
      </c>
      <c r="AE58" s="69">
        <f t="shared" si="6"/>
        <v>0</v>
      </c>
    </row>
    <row r="59" spans="1:32" ht="14.4" customHeight="1" x14ac:dyDescent="0.25">
      <c r="A59" s="62">
        <v>49</v>
      </c>
      <c r="B59" s="110" t="s">
        <v>221</v>
      </c>
      <c r="C59" s="85">
        <v>57800</v>
      </c>
      <c r="D59" s="87"/>
      <c r="E59" s="120"/>
      <c r="F59" s="130">
        <v>12276.106194690265</v>
      </c>
      <c r="G59" s="130"/>
      <c r="H59" s="130"/>
      <c r="I59" s="130"/>
      <c r="J59" s="130"/>
      <c r="K59" s="109"/>
      <c r="L59" s="109"/>
      <c r="M59" s="109"/>
      <c r="N59" s="109"/>
      <c r="O59" s="109"/>
      <c r="P59" s="109"/>
      <c r="Q59" s="109"/>
      <c r="R59" s="78"/>
      <c r="S59" s="63">
        <f t="shared" si="7"/>
        <v>0.21238938053097345</v>
      </c>
      <c r="T59" s="22"/>
      <c r="U59" s="88">
        <f t="shared" si="8"/>
        <v>57800</v>
      </c>
      <c r="W59" s="70"/>
      <c r="X59" s="65"/>
      <c r="Y59" s="66">
        <f>+W59</f>
        <v>0</v>
      </c>
      <c r="Z59" s="67"/>
      <c r="AA59" s="64">
        <f>Y59-AC59</f>
        <v>0</v>
      </c>
      <c r="AB59" s="68"/>
      <c r="AC59" s="64"/>
      <c r="AD59" s="68"/>
      <c r="AE59" s="69">
        <f>+Y59-AA59-AC59</f>
        <v>0</v>
      </c>
    </row>
    <row r="60" spans="1:32" ht="14.4" customHeight="1" x14ac:dyDescent="0.25">
      <c r="A60" s="62">
        <v>50</v>
      </c>
      <c r="B60" s="110" t="s">
        <v>220</v>
      </c>
      <c r="C60" s="85">
        <v>21335</v>
      </c>
      <c r="D60" s="87"/>
      <c r="E60" s="120"/>
      <c r="F60" s="130"/>
      <c r="G60" s="130"/>
      <c r="H60" s="130"/>
      <c r="I60" s="130"/>
      <c r="J60" s="130"/>
      <c r="K60" s="109"/>
      <c r="L60" s="109"/>
      <c r="M60" s="109"/>
      <c r="N60" s="109"/>
      <c r="O60" s="109"/>
      <c r="P60" s="109"/>
      <c r="Q60" s="109"/>
      <c r="R60" s="79"/>
      <c r="S60" s="63">
        <f t="shared" si="7"/>
        <v>0</v>
      </c>
      <c r="T60" s="22"/>
      <c r="U60" s="88">
        <f t="shared" si="8"/>
        <v>21335</v>
      </c>
      <c r="W60" s="70"/>
      <c r="X60" s="65"/>
      <c r="Y60" s="66"/>
      <c r="Z60" s="67"/>
      <c r="AA60" s="64"/>
      <c r="AB60" s="68"/>
      <c r="AC60" s="64"/>
      <c r="AD60" s="68"/>
      <c r="AE60" s="69"/>
    </row>
    <row r="61" spans="1:32" ht="14.4" customHeight="1" x14ac:dyDescent="0.25">
      <c r="A61" s="134">
        <v>51</v>
      </c>
      <c r="B61" s="135" t="s">
        <v>219</v>
      </c>
      <c r="C61" s="85">
        <v>499817.6</v>
      </c>
      <c r="D61" s="136"/>
      <c r="E61" s="137"/>
      <c r="F61" s="138"/>
      <c r="G61" s="138"/>
      <c r="H61" s="138"/>
      <c r="I61" s="138"/>
      <c r="J61" s="138"/>
      <c r="K61" s="139"/>
      <c r="L61" s="139"/>
      <c r="M61" s="139"/>
      <c r="N61" s="139"/>
      <c r="O61" s="139"/>
      <c r="P61" s="139"/>
      <c r="Q61" s="139"/>
      <c r="R61" s="82"/>
      <c r="S61" s="136">
        <f t="shared" si="7"/>
        <v>0</v>
      </c>
      <c r="T61" s="22" t="s">
        <v>27</v>
      </c>
      <c r="U61" s="140">
        <f t="shared" si="8"/>
        <v>499817.6</v>
      </c>
      <c r="V61" s="127" t="s">
        <v>10</v>
      </c>
      <c r="W61" s="141">
        <f t="shared" si="2"/>
        <v>0</v>
      </c>
      <c r="X61" s="65"/>
      <c r="Y61" s="112">
        <f t="shared" si="5"/>
        <v>0</v>
      </c>
      <c r="Z61" s="67" t="s">
        <v>12</v>
      </c>
      <c r="AA61" s="111">
        <f t="shared" si="4"/>
        <v>0</v>
      </c>
      <c r="AB61" s="68" t="s">
        <v>12</v>
      </c>
      <c r="AC61" s="111">
        <f>SUMIF(Invoices!$D$2:$D$1048576,' Accting USE Data Entry Form'!#REF!,Invoices!$E$2:$E$1048576)</f>
        <v>0</v>
      </c>
      <c r="AD61" s="68" t="s">
        <v>10</v>
      </c>
      <c r="AE61" s="113">
        <f t="shared" si="6"/>
        <v>0</v>
      </c>
    </row>
    <row r="62" spans="1:32" ht="14.4" customHeight="1" x14ac:dyDescent="0.25">
      <c r="A62" s="142" t="s">
        <v>108</v>
      </c>
      <c r="B62" s="143"/>
      <c r="C62" s="144" t="e">
        <f>SUBTOTAL(109,' Accting USE Data Entry Form'!#REF!)</f>
        <v>#REF!</v>
      </c>
      <c r="D62" s="144"/>
      <c r="E62" s="144"/>
      <c r="F62" s="144">
        <f>SUM(F11:F61)</f>
        <v>1029102.6661946903</v>
      </c>
      <c r="G62" s="144"/>
      <c r="H62" s="144"/>
      <c r="I62" s="144"/>
      <c r="J62" s="145"/>
      <c r="K62" s="145"/>
      <c r="L62" s="145"/>
      <c r="M62" s="145"/>
      <c r="N62" s="145"/>
      <c r="O62" s="145"/>
      <c r="P62" s="145"/>
      <c r="Q62" s="146"/>
      <c r="R62" s="147"/>
      <c r="S62" s="148"/>
      <c r="T62" s="149"/>
      <c r="U62" s="144" t="e">
        <f>SUBTOTAL(109,' Accting USE Data Entry Form'!#REF!)</f>
        <v>#REF!</v>
      </c>
      <c r="V62" s="150"/>
      <c r="W62" s="151">
        <f>SUBTOTAL(109,' Accting USE Data Entry Form'!$W$11:$W$104)</f>
        <v>11016400.201921912</v>
      </c>
      <c r="X62" s="150"/>
      <c r="Y62" s="152" t="e">
        <f>SUBTOTAL(109,' Accting USE Data Entry Form'!#REF!)</f>
        <v>#REF!</v>
      </c>
      <c r="Z62" s="153"/>
      <c r="AA62" s="151">
        <f>SUBTOTAL(109,' Accting USE Data Entry Form'!$X$11:$X$104)</f>
        <v>13980310.9</v>
      </c>
      <c r="AB62" s="153"/>
      <c r="AC62" s="151">
        <f>SUBTOTAL(109,' Accting USE Data Entry Form'!$Y$11:$Y$104)</f>
        <v>8738737.6999999993</v>
      </c>
      <c r="AD62" s="153"/>
      <c r="AE62" s="154">
        <f>SUBTOTAL(109,' Accting USE Data Entry Form'!$Z$11:$Z$104)</f>
        <v>0</v>
      </c>
      <c r="AF62" s="155">
        <f>SUBTOTAL(103,' Accting USE Data Entry Form'!$AA$11:$AA$104)</f>
        <v>3</v>
      </c>
    </row>
    <row r="63" spans="1:32" ht="14.4" customHeight="1" x14ac:dyDescent="0.25"/>
    <row r="64" spans="1:32" ht="14.4" customHeight="1" thickBot="1" x14ac:dyDescent="0.3">
      <c r="A64" s="59" t="s">
        <v>7</v>
      </c>
      <c r="V64" s="342"/>
      <c r="W64" s="342"/>
      <c r="X64" s="342"/>
      <c r="Y64" s="342"/>
      <c r="Z64" s="342"/>
      <c r="AA64" s="342"/>
      <c r="AB64" s="72"/>
      <c r="AC64" s="46">
        <f>Form!K5</f>
        <v>42916</v>
      </c>
    </row>
    <row r="65" spans="1:29" ht="14.4" customHeight="1" x14ac:dyDescent="0.25">
      <c r="V65" s="56"/>
      <c r="W65" s="57"/>
      <c r="X65" s="56"/>
      <c r="Y65" s="73"/>
      <c r="AC65" s="74" t="s">
        <v>3</v>
      </c>
    </row>
    <row r="66" spans="1:29" ht="14.4" customHeight="1" x14ac:dyDescent="0.25">
      <c r="V66" s="56"/>
      <c r="W66" s="57"/>
      <c r="X66" s="56"/>
      <c r="Y66" s="73"/>
      <c r="AC66" s="74"/>
    </row>
    <row r="67" spans="1:29" x14ac:dyDescent="0.25">
      <c r="A67" s="59" t="s">
        <v>8</v>
      </c>
      <c r="V67" s="56"/>
      <c r="W67" s="75"/>
      <c r="X67" s="22"/>
      <c r="Y67" s="76"/>
      <c r="Z67" s="72"/>
      <c r="AA67" s="77"/>
      <c r="AC67" s="61"/>
    </row>
    <row r="68" spans="1:29" x14ac:dyDescent="0.25">
      <c r="AC68" s="74" t="s">
        <v>3</v>
      </c>
    </row>
  </sheetData>
  <mergeCells count="7">
    <mergeCell ref="V64:AA64"/>
    <mergeCell ref="A1:AE1"/>
    <mergeCell ref="A2:AE2"/>
    <mergeCell ref="A3:AE3"/>
    <mergeCell ref="S5:X5"/>
    <mergeCell ref="S7:V7"/>
    <mergeCell ref="S8:U8"/>
  </mergeCells>
  <conditionalFormatting sqref="A11:AF66">
    <cfRule type="expression" dxfId="22" priority="1">
      <formula>$S11=100%</formula>
    </cfRule>
  </conditionalFormatting>
  <dataValidations count="1">
    <dataValidation allowBlank="1" sqref="S11:S61 J11:Q62 F11:I61"/>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x14:formula1>
            <xm:f>List!$A$4:$A$24</xm:f>
          </x14:formula1>
          <xm:sqref>D11:D61 E59:E61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63"/>
  <sheetViews>
    <sheetView showGridLines="0" workbookViewId="0">
      <pane xSplit="2" ySplit="1" topLeftCell="C2" activePane="bottomRight" state="frozen"/>
      <selection activeCell="D72" sqref="D72"/>
      <selection pane="topRight" activeCell="D72" sqref="D72"/>
      <selection pane="bottomLeft" activeCell="D72" sqref="D72"/>
      <selection pane="bottomRight" activeCell="D80" sqref="D80"/>
    </sheetView>
  </sheetViews>
  <sheetFormatPr defaultRowHeight="13.2" x14ac:dyDescent="0.25"/>
  <cols>
    <col min="1" max="1" width="1.77734375" style="94" customWidth="1"/>
    <col min="2" max="2" width="10.88671875" style="86" bestFit="1" customWidth="1"/>
    <col min="3" max="3" width="10.88671875" style="86" customWidth="1"/>
    <col min="4" max="4" width="53.109375" bestFit="1" customWidth="1"/>
    <col min="5" max="5" width="18.21875" customWidth="1"/>
    <col min="6" max="6" width="9.44140625" style="190" customWidth="1"/>
    <col min="7" max="7" width="15.21875" style="91" customWidth="1"/>
    <col min="10" max="10" width="11.44140625" bestFit="1" customWidth="1"/>
  </cols>
  <sheetData>
    <row r="1" spans="1:7" s="159" customFormat="1" x14ac:dyDescent="0.25">
      <c r="A1" s="156"/>
      <c r="B1" s="157" t="s">
        <v>97</v>
      </c>
      <c r="C1" s="157" t="s">
        <v>3</v>
      </c>
      <c r="D1" s="158" t="s">
        <v>98</v>
      </c>
      <c r="E1" s="158" t="s">
        <v>101</v>
      </c>
      <c r="F1" s="186" t="s">
        <v>229</v>
      </c>
      <c r="G1" s="191" t="s">
        <v>213</v>
      </c>
    </row>
    <row r="2" spans="1:7" hidden="1" x14ac:dyDescent="0.25">
      <c r="A2" s="92"/>
      <c r="B2" s="162">
        <v>3456.01</v>
      </c>
      <c r="C2" s="163">
        <v>42227</v>
      </c>
      <c r="D2" s="164" t="s">
        <v>49</v>
      </c>
      <c r="E2" s="165">
        <v>157470</v>
      </c>
      <c r="F2" s="187"/>
      <c r="G2" s="192"/>
    </row>
    <row r="3" spans="1:7" hidden="1" x14ac:dyDescent="0.25">
      <c r="A3" s="92"/>
      <c r="B3" s="166">
        <v>3456.02</v>
      </c>
      <c r="C3" s="167">
        <v>42320</v>
      </c>
      <c r="D3" s="168" t="s">
        <v>47</v>
      </c>
      <c r="E3" s="169">
        <v>157470</v>
      </c>
      <c r="F3" s="188"/>
      <c r="G3" s="192"/>
    </row>
    <row r="4" spans="1:7" hidden="1" x14ac:dyDescent="0.25">
      <c r="A4" s="92"/>
      <c r="B4" s="171">
        <v>51222</v>
      </c>
      <c r="C4" s="172">
        <v>42417</v>
      </c>
      <c r="D4" s="173" t="s">
        <v>53</v>
      </c>
      <c r="E4" s="174">
        <v>104980</v>
      </c>
      <c r="F4" s="187"/>
      <c r="G4" s="192"/>
    </row>
    <row r="5" spans="1:7" hidden="1" x14ac:dyDescent="0.25">
      <c r="A5" s="92"/>
      <c r="B5" s="166">
        <v>51222</v>
      </c>
      <c r="C5" s="167">
        <v>42417</v>
      </c>
      <c r="D5" s="168" t="s">
        <v>54</v>
      </c>
      <c r="E5" s="169">
        <v>104980</v>
      </c>
      <c r="F5" s="188"/>
      <c r="G5" s="192"/>
    </row>
    <row r="6" spans="1:7" hidden="1" x14ac:dyDescent="0.25">
      <c r="A6" s="92"/>
      <c r="B6" s="166">
        <v>3456.03</v>
      </c>
      <c r="C6" s="167">
        <v>42515</v>
      </c>
      <c r="D6" s="168" t="s">
        <v>105</v>
      </c>
      <c r="E6" s="169">
        <v>423360</v>
      </c>
      <c r="F6" s="188"/>
      <c r="G6" s="192"/>
    </row>
    <row r="7" spans="1:7" hidden="1" x14ac:dyDescent="0.25">
      <c r="A7" s="92"/>
      <c r="B7" s="166">
        <v>3456.04</v>
      </c>
      <c r="C7" s="167">
        <v>42515</v>
      </c>
      <c r="D7" s="170" t="s">
        <v>106</v>
      </c>
      <c r="E7" s="169">
        <v>1607500</v>
      </c>
      <c r="F7" s="188"/>
      <c r="G7" s="192"/>
    </row>
    <row r="8" spans="1:7" hidden="1" x14ac:dyDescent="0.25">
      <c r="A8" s="92"/>
      <c r="B8" s="166">
        <v>51315</v>
      </c>
      <c r="C8" s="167">
        <v>42515</v>
      </c>
      <c r="D8" s="168" t="s">
        <v>102</v>
      </c>
      <c r="E8" s="169">
        <v>90800</v>
      </c>
      <c r="F8" s="188"/>
      <c r="G8" s="192"/>
    </row>
    <row r="9" spans="1:7" hidden="1" x14ac:dyDescent="0.25">
      <c r="A9" s="92"/>
      <c r="B9" s="166">
        <v>3456.05</v>
      </c>
      <c r="C9" s="167">
        <v>42601</v>
      </c>
      <c r="D9" s="168" t="s">
        <v>104</v>
      </c>
      <c r="E9" s="169">
        <v>317520</v>
      </c>
      <c r="F9" s="188"/>
      <c r="G9" s="192"/>
    </row>
    <row r="10" spans="1:7" hidden="1" x14ac:dyDescent="0.25">
      <c r="A10" s="92"/>
      <c r="B10" s="166">
        <v>51419</v>
      </c>
      <c r="C10" s="167">
        <v>42611</v>
      </c>
      <c r="D10" s="168" t="s">
        <v>99</v>
      </c>
      <c r="E10" s="169">
        <v>80784</v>
      </c>
      <c r="F10" s="188"/>
      <c r="G10" s="192"/>
    </row>
    <row r="11" spans="1:7" hidden="1" x14ac:dyDescent="0.25">
      <c r="A11" s="92"/>
      <c r="B11" s="166">
        <v>51419</v>
      </c>
      <c r="C11" s="167">
        <v>42611</v>
      </c>
      <c r="D11" s="168" t="s">
        <v>59</v>
      </c>
      <c r="E11" s="169">
        <v>158760</v>
      </c>
      <c r="F11" s="188"/>
      <c r="G11" s="192"/>
    </row>
    <row r="12" spans="1:7" hidden="1" x14ac:dyDescent="0.25">
      <c r="A12" s="92"/>
      <c r="B12" s="166">
        <v>51428</v>
      </c>
      <c r="C12" s="167">
        <v>42612</v>
      </c>
      <c r="D12" s="168" t="s">
        <v>100</v>
      </c>
      <c r="E12" s="169">
        <v>71500</v>
      </c>
      <c r="F12" s="188"/>
      <c r="G12" s="192"/>
    </row>
    <row r="13" spans="1:7" hidden="1" x14ac:dyDescent="0.25">
      <c r="A13" s="92"/>
      <c r="B13" s="171">
        <v>3456.06</v>
      </c>
      <c r="C13" s="172">
        <v>42633</v>
      </c>
      <c r="D13" s="173" t="s">
        <v>58</v>
      </c>
      <c r="E13" s="174">
        <v>1446750</v>
      </c>
      <c r="F13" s="187"/>
      <c r="G13" s="192"/>
    </row>
    <row r="14" spans="1:7" hidden="1" x14ac:dyDescent="0.25">
      <c r="A14" s="92"/>
      <c r="B14" s="166">
        <v>51448</v>
      </c>
      <c r="C14" s="167">
        <v>42636</v>
      </c>
      <c r="D14" s="168" t="s">
        <v>99</v>
      </c>
      <c r="E14" s="169">
        <v>73440</v>
      </c>
      <c r="F14" s="188"/>
      <c r="G14" s="192"/>
    </row>
    <row r="15" spans="1:7" hidden="1" x14ac:dyDescent="0.25">
      <c r="A15" s="92"/>
      <c r="B15" s="166">
        <v>51448</v>
      </c>
      <c r="C15" s="167">
        <v>42636</v>
      </c>
      <c r="D15" s="168" t="s">
        <v>59</v>
      </c>
      <c r="E15" s="169">
        <v>158760</v>
      </c>
      <c r="F15" s="188"/>
      <c r="G15" s="192"/>
    </row>
    <row r="16" spans="1:7" hidden="1" x14ac:dyDescent="0.25">
      <c r="A16" s="92"/>
      <c r="B16" s="166">
        <v>51450</v>
      </c>
      <c r="C16" s="167">
        <v>42639</v>
      </c>
      <c r="D16" s="168" t="s">
        <v>99</v>
      </c>
      <c r="E16" s="169">
        <v>161568</v>
      </c>
      <c r="F16" s="188"/>
      <c r="G16" s="192"/>
    </row>
    <row r="17" spans="1:10" hidden="1" x14ac:dyDescent="0.25">
      <c r="A17" s="92"/>
      <c r="B17" s="166">
        <v>51450</v>
      </c>
      <c r="C17" s="167">
        <v>42639</v>
      </c>
      <c r="D17" s="168" t="s">
        <v>60</v>
      </c>
      <c r="E17" s="169">
        <v>160750</v>
      </c>
      <c r="F17" s="188"/>
      <c r="G17" s="192"/>
    </row>
    <row r="18" spans="1:10" hidden="1" x14ac:dyDescent="0.25">
      <c r="A18" s="92"/>
      <c r="B18" s="166">
        <v>51450</v>
      </c>
      <c r="C18" s="167">
        <v>42639</v>
      </c>
      <c r="D18" s="168" t="s">
        <v>61</v>
      </c>
      <c r="E18" s="169">
        <v>160750</v>
      </c>
      <c r="F18" s="188"/>
      <c r="G18" s="192"/>
    </row>
    <row r="19" spans="1:10" hidden="1" x14ac:dyDescent="0.25">
      <c r="A19" s="92"/>
      <c r="B19" s="166">
        <v>51451</v>
      </c>
      <c r="C19" s="167">
        <v>42639</v>
      </c>
      <c r="D19" s="168" t="s">
        <v>110</v>
      </c>
      <c r="E19" s="169">
        <v>36800</v>
      </c>
      <c r="F19" s="188"/>
      <c r="G19" s="192"/>
    </row>
    <row r="20" spans="1:10" hidden="1" x14ac:dyDescent="0.25">
      <c r="A20" s="92"/>
      <c r="B20" s="166">
        <v>51452</v>
      </c>
      <c r="C20" s="167">
        <v>42639</v>
      </c>
      <c r="D20" s="168" t="s">
        <v>111</v>
      </c>
      <c r="E20" s="169">
        <v>38000</v>
      </c>
      <c r="F20" s="188"/>
      <c r="G20" s="192"/>
    </row>
    <row r="21" spans="1:10" hidden="1" x14ac:dyDescent="0.25">
      <c r="A21" s="92"/>
      <c r="B21" s="166">
        <v>51511</v>
      </c>
      <c r="C21" s="167">
        <v>42698</v>
      </c>
      <c r="D21" s="168" t="s">
        <v>225</v>
      </c>
      <c r="E21" s="169">
        <v>7554.66</v>
      </c>
      <c r="F21" s="188"/>
      <c r="G21" s="192">
        <v>42753</v>
      </c>
    </row>
    <row r="22" spans="1:10" hidden="1" x14ac:dyDescent="0.25">
      <c r="A22" s="92"/>
      <c r="B22" s="166">
        <v>51533</v>
      </c>
      <c r="C22" s="167">
        <v>42704</v>
      </c>
      <c r="D22" s="168" t="s">
        <v>62</v>
      </c>
      <c r="E22" s="169">
        <v>160750</v>
      </c>
      <c r="F22" s="188"/>
      <c r="G22" s="192">
        <v>42706</v>
      </c>
    </row>
    <row r="23" spans="1:10" hidden="1" x14ac:dyDescent="0.25">
      <c r="A23" s="92"/>
      <c r="B23" s="166">
        <v>51533</v>
      </c>
      <c r="C23" s="167">
        <v>42704</v>
      </c>
      <c r="D23" s="168" t="s">
        <v>211</v>
      </c>
      <c r="E23" s="169">
        <v>23000</v>
      </c>
      <c r="F23" s="188"/>
      <c r="G23" s="192">
        <v>42706</v>
      </c>
    </row>
    <row r="24" spans="1:10" hidden="1" x14ac:dyDescent="0.25">
      <c r="A24" s="92"/>
      <c r="B24" s="166">
        <v>51554</v>
      </c>
      <c r="C24" s="167">
        <v>42723</v>
      </c>
      <c r="D24" s="168" t="s">
        <v>110</v>
      </c>
      <c r="E24" s="169">
        <v>27600</v>
      </c>
      <c r="F24" s="188"/>
      <c r="G24" s="192">
        <v>42753</v>
      </c>
    </row>
    <row r="25" spans="1:10" hidden="1" x14ac:dyDescent="0.25">
      <c r="A25" s="92"/>
      <c r="B25" s="166">
        <v>51589</v>
      </c>
      <c r="C25" s="167">
        <v>42727</v>
      </c>
      <c r="D25" s="168" t="s">
        <v>211</v>
      </c>
      <c r="E25" s="169">
        <v>101080</v>
      </c>
      <c r="F25" s="188">
        <v>24</v>
      </c>
      <c r="G25" s="192">
        <v>42781</v>
      </c>
    </row>
    <row r="26" spans="1:10" hidden="1" x14ac:dyDescent="0.25">
      <c r="A26" s="92"/>
      <c r="B26" s="166">
        <v>51589</v>
      </c>
      <c r="C26" s="167">
        <v>42727</v>
      </c>
      <c r="D26" s="168" t="s">
        <v>63</v>
      </c>
      <c r="E26" s="169">
        <v>160750</v>
      </c>
      <c r="F26" s="188">
        <v>13</v>
      </c>
      <c r="G26" s="192">
        <v>42781</v>
      </c>
    </row>
    <row r="27" spans="1:10" hidden="1" x14ac:dyDescent="0.25">
      <c r="A27" s="92"/>
      <c r="B27" s="166">
        <v>51589</v>
      </c>
      <c r="C27" s="167">
        <v>42727</v>
      </c>
      <c r="D27" s="168" t="s">
        <v>64</v>
      </c>
      <c r="E27" s="169">
        <v>160750</v>
      </c>
      <c r="F27" s="188">
        <v>14</v>
      </c>
      <c r="G27" s="192">
        <v>42781</v>
      </c>
    </row>
    <row r="28" spans="1:10" hidden="1" x14ac:dyDescent="0.25">
      <c r="A28" s="92"/>
      <c r="B28" s="166">
        <v>51589</v>
      </c>
      <c r="C28" s="167">
        <v>42727</v>
      </c>
      <c r="D28" s="168" t="s">
        <v>65</v>
      </c>
      <c r="E28" s="169">
        <v>160750</v>
      </c>
      <c r="F28" s="188">
        <v>15</v>
      </c>
      <c r="G28" s="192">
        <v>42781</v>
      </c>
    </row>
    <row r="29" spans="1:10" hidden="1" x14ac:dyDescent="0.25">
      <c r="A29" s="92"/>
      <c r="B29" s="166">
        <v>51589</v>
      </c>
      <c r="C29" s="167">
        <v>42727</v>
      </c>
      <c r="D29" s="168" t="s">
        <v>66</v>
      </c>
      <c r="E29" s="169">
        <v>160750</v>
      </c>
      <c r="F29" s="188">
        <v>16</v>
      </c>
      <c r="G29" s="192">
        <v>42781</v>
      </c>
      <c r="J29">
        <f>64300*4</f>
        <v>257200</v>
      </c>
    </row>
    <row r="30" spans="1:10" hidden="1" x14ac:dyDescent="0.25">
      <c r="A30" s="92"/>
      <c r="B30" s="166">
        <v>51589</v>
      </c>
      <c r="C30" s="167">
        <v>42727</v>
      </c>
      <c r="D30" s="168" t="s">
        <v>67</v>
      </c>
      <c r="E30" s="169">
        <v>160750</v>
      </c>
      <c r="F30" s="188">
        <v>17</v>
      </c>
      <c r="G30" s="192">
        <v>42781</v>
      </c>
    </row>
    <row r="31" spans="1:10" hidden="1" x14ac:dyDescent="0.25">
      <c r="A31" s="92"/>
      <c r="B31" s="166">
        <v>51589</v>
      </c>
      <c r="C31" s="167">
        <v>42727</v>
      </c>
      <c r="D31" s="168" t="s">
        <v>68</v>
      </c>
      <c r="E31" s="169">
        <v>160750</v>
      </c>
      <c r="F31" s="188">
        <v>18</v>
      </c>
      <c r="G31" s="192">
        <v>42781</v>
      </c>
    </row>
    <row r="32" spans="1:10" hidden="1" x14ac:dyDescent="0.25">
      <c r="A32" s="92"/>
      <c r="B32" s="166">
        <v>51589</v>
      </c>
      <c r="C32" s="167">
        <v>42727</v>
      </c>
      <c r="D32" s="168" t="s">
        <v>228</v>
      </c>
      <c r="E32" s="169">
        <v>102796.32</v>
      </c>
      <c r="F32" s="188">
        <v>48</v>
      </c>
      <c r="G32" s="192">
        <v>42781</v>
      </c>
    </row>
    <row r="33" spans="1:10" hidden="1" x14ac:dyDescent="0.25">
      <c r="A33" s="92"/>
      <c r="B33" s="166">
        <v>51595</v>
      </c>
      <c r="C33" s="167">
        <v>42735</v>
      </c>
      <c r="D33" s="168" t="s">
        <v>226</v>
      </c>
      <c r="E33" s="169">
        <v>21335</v>
      </c>
      <c r="F33" s="188">
        <v>50</v>
      </c>
      <c r="G33" s="192">
        <v>42753</v>
      </c>
    </row>
    <row r="34" spans="1:10" hidden="1" x14ac:dyDescent="0.25">
      <c r="A34" s="92"/>
      <c r="B34" s="166">
        <v>51595</v>
      </c>
      <c r="C34" s="167">
        <v>42735</v>
      </c>
      <c r="D34" s="168" t="s">
        <v>227</v>
      </c>
      <c r="E34" s="169">
        <v>11856.48</v>
      </c>
      <c r="F34" s="188">
        <v>49</v>
      </c>
      <c r="G34" s="192">
        <v>42753</v>
      </c>
    </row>
    <row r="35" spans="1:10" hidden="1" x14ac:dyDescent="0.25">
      <c r="A35" s="92"/>
      <c r="B35" s="166">
        <v>51599</v>
      </c>
      <c r="C35" s="167">
        <v>42755</v>
      </c>
      <c r="D35" s="168" t="s">
        <v>211</v>
      </c>
      <c r="E35" s="169">
        <v>23000</v>
      </c>
      <c r="F35" s="188">
        <v>24</v>
      </c>
      <c r="G35" s="192">
        <v>42781</v>
      </c>
    </row>
    <row r="36" spans="1:10" hidden="1" x14ac:dyDescent="0.25">
      <c r="A36" s="92"/>
      <c r="B36" s="166">
        <v>51600</v>
      </c>
      <c r="C36" s="167">
        <v>42758</v>
      </c>
      <c r="D36" s="168" t="s">
        <v>227</v>
      </c>
      <c r="E36" s="169">
        <v>1976.08</v>
      </c>
      <c r="F36" s="188">
        <v>49</v>
      </c>
      <c r="G36" s="192">
        <v>42783</v>
      </c>
    </row>
    <row r="37" spans="1:10" hidden="1" x14ac:dyDescent="0.25">
      <c r="A37" s="92"/>
      <c r="B37" s="166">
        <v>51640</v>
      </c>
      <c r="C37" s="167">
        <v>42852</v>
      </c>
      <c r="D37" s="168" t="s">
        <v>69</v>
      </c>
      <c r="E37" s="169">
        <v>160750</v>
      </c>
      <c r="F37" s="188">
        <v>19</v>
      </c>
      <c r="G37" s="192">
        <v>42853</v>
      </c>
    </row>
    <row r="38" spans="1:10" hidden="1" x14ac:dyDescent="0.25">
      <c r="A38" s="92"/>
      <c r="B38" s="166">
        <v>51640</v>
      </c>
      <c r="C38" s="167">
        <v>42852</v>
      </c>
      <c r="D38" s="168" t="s">
        <v>70</v>
      </c>
      <c r="E38" s="169">
        <v>160750</v>
      </c>
      <c r="F38" s="188">
        <v>20</v>
      </c>
      <c r="G38" s="192">
        <v>42853</v>
      </c>
    </row>
    <row r="39" spans="1:10" hidden="1" x14ac:dyDescent="0.25">
      <c r="A39" s="92"/>
      <c r="B39" s="166">
        <v>51640</v>
      </c>
      <c r="C39" s="167">
        <v>42852</v>
      </c>
      <c r="D39" s="168" t="s">
        <v>211</v>
      </c>
      <c r="E39" s="169">
        <v>18160</v>
      </c>
      <c r="F39" s="188">
        <v>24</v>
      </c>
      <c r="G39" s="192">
        <v>42853</v>
      </c>
    </row>
    <row r="40" spans="1:10" hidden="1" x14ac:dyDescent="0.25">
      <c r="A40" s="92"/>
      <c r="B40" s="166">
        <v>51640</v>
      </c>
      <c r="C40" s="167">
        <v>42852</v>
      </c>
      <c r="D40" s="168" t="s">
        <v>228</v>
      </c>
      <c r="E40" s="169">
        <v>34265.440000000002</v>
      </c>
      <c r="F40" s="188">
        <v>48</v>
      </c>
      <c r="G40" s="192">
        <v>42853</v>
      </c>
    </row>
    <row r="41" spans="1:10" hidden="1" x14ac:dyDescent="0.25">
      <c r="A41" s="92"/>
      <c r="B41" s="166">
        <v>51640</v>
      </c>
      <c r="C41" s="167">
        <v>42852</v>
      </c>
      <c r="D41" s="173" t="s">
        <v>227</v>
      </c>
      <c r="E41" s="174">
        <v>3920</v>
      </c>
      <c r="F41" s="187">
        <v>49</v>
      </c>
      <c r="G41" s="192">
        <v>42853</v>
      </c>
    </row>
    <row r="42" spans="1:10" hidden="1" x14ac:dyDescent="0.25">
      <c r="A42" s="92"/>
      <c r="B42" s="166" t="s">
        <v>396</v>
      </c>
      <c r="C42" s="167">
        <v>42831</v>
      </c>
      <c r="D42" s="168" t="s">
        <v>393</v>
      </c>
      <c r="E42" s="181">
        <v>428480</v>
      </c>
      <c r="F42" s="188">
        <v>82</v>
      </c>
      <c r="G42" s="192">
        <v>42853</v>
      </c>
    </row>
    <row r="43" spans="1:10" hidden="1" x14ac:dyDescent="0.25">
      <c r="A43" s="92"/>
      <c r="B43" s="166">
        <v>51679</v>
      </c>
      <c r="C43" s="167">
        <v>42823</v>
      </c>
      <c r="D43" s="168" t="s">
        <v>110</v>
      </c>
      <c r="E43" s="181">
        <v>27600</v>
      </c>
      <c r="F43" s="188">
        <v>25</v>
      </c>
      <c r="G43" s="192">
        <v>42871</v>
      </c>
    </row>
    <row r="44" spans="1:10" hidden="1" x14ac:dyDescent="0.25">
      <c r="A44" s="92"/>
      <c r="B44" s="166">
        <v>51680</v>
      </c>
      <c r="C44" s="167">
        <v>42823</v>
      </c>
      <c r="D44" s="168" t="s">
        <v>71</v>
      </c>
      <c r="E44" s="181">
        <v>160750</v>
      </c>
      <c r="F44" s="188">
        <v>26</v>
      </c>
      <c r="G44" s="192">
        <v>42871</v>
      </c>
      <c r="I44">
        <v>64300</v>
      </c>
      <c r="J44">
        <f>I44*4</f>
        <v>257200</v>
      </c>
    </row>
    <row r="45" spans="1:10" hidden="1" x14ac:dyDescent="0.25">
      <c r="A45" s="92"/>
      <c r="B45" s="166">
        <v>51680</v>
      </c>
      <c r="C45" s="167">
        <v>42823</v>
      </c>
      <c r="D45" s="168" t="s">
        <v>72</v>
      </c>
      <c r="E45" s="181">
        <v>80375</v>
      </c>
      <c r="F45" s="188">
        <v>27</v>
      </c>
      <c r="G45" s="192">
        <v>42871</v>
      </c>
      <c r="I45">
        <v>64300</v>
      </c>
      <c r="J45">
        <f>I45*2</f>
        <v>128600</v>
      </c>
    </row>
    <row r="46" spans="1:10" hidden="1" x14ac:dyDescent="0.25">
      <c r="A46" s="92"/>
      <c r="B46" s="166">
        <v>51680</v>
      </c>
      <c r="C46" s="167">
        <v>42823</v>
      </c>
      <c r="D46" s="168" t="s">
        <v>211</v>
      </c>
      <c r="E46" s="181">
        <v>6000</v>
      </c>
      <c r="F46" s="188">
        <v>24</v>
      </c>
      <c r="G46" s="192">
        <v>42871</v>
      </c>
    </row>
    <row r="47" spans="1:10" hidden="1" x14ac:dyDescent="0.25">
      <c r="A47" s="92"/>
      <c r="B47" s="166">
        <v>51680</v>
      </c>
      <c r="C47" s="167">
        <v>42823</v>
      </c>
      <c r="D47" s="168" t="s">
        <v>228</v>
      </c>
      <c r="E47" s="181">
        <v>25699.08</v>
      </c>
      <c r="F47" s="188">
        <v>48</v>
      </c>
      <c r="G47" s="192">
        <v>42871</v>
      </c>
    </row>
    <row r="48" spans="1:10" hidden="1" x14ac:dyDescent="0.25">
      <c r="A48" s="92"/>
      <c r="B48" s="166">
        <v>51680</v>
      </c>
      <c r="C48" s="167">
        <v>42823</v>
      </c>
      <c r="D48" s="168" t="s">
        <v>397</v>
      </c>
      <c r="E48" s="181">
        <v>2940</v>
      </c>
      <c r="F48" s="188">
        <v>49</v>
      </c>
      <c r="G48" s="192">
        <v>42871</v>
      </c>
    </row>
    <row r="49" spans="1:10" x14ac:dyDescent="0.25">
      <c r="A49" s="92"/>
      <c r="B49" s="166">
        <v>51718</v>
      </c>
      <c r="C49" s="167">
        <v>42852</v>
      </c>
      <c r="D49" s="168" t="s">
        <v>72</v>
      </c>
      <c r="E49" s="181">
        <v>80375</v>
      </c>
      <c r="F49" s="188">
        <v>27</v>
      </c>
      <c r="G49" s="192">
        <v>42871</v>
      </c>
    </row>
    <row r="50" spans="1:10" x14ac:dyDescent="0.25">
      <c r="A50" s="92"/>
      <c r="B50" s="166">
        <v>51718</v>
      </c>
      <c r="C50" s="167">
        <v>42852</v>
      </c>
      <c r="D50" s="168" t="s">
        <v>73</v>
      </c>
      <c r="E50" s="181">
        <v>160750</v>
      </c>
      <c r="F50" s="188">
        <v>28</v>
      </c>
      <c r="G50" s="192">
        <v>42871</v>
      </c>
    </row>
    <row r="51" spans="1:10" x14ac:dyDescent="0.25">
      <c r="A51" s="92"/>
      <c r="B51" s="166">
        <v>51718</v>
      </c>
      <c r="C51" s="167">
        <v>42852</v>
      </c>
      <c r="D51" s="168" t="s">
        <v>74</v>
      </c>
      <c r="E51" s="181">
        <v>160750</v>
      </c>
      <c r="F51" s="188">
        <v>29</v>
      </c>
      <c r="G51" s="192">
        <v>42871</v>
      </c>
    </row>
    <row r="52" spans="1:10" x14ac:dyDescent="0.25">
      <c r="A52" s="92"/>
      <c r="B52" s="166">
        <v>51718</v>
      </c>
      <c r="C52" s="167">
        <v>42852</v>
      </c>
      <c r="D52" s="168" t="s">
        <v>75</v>
      </c>
      <c r="E52" s="181">
        <v>160750</v>
      </c>
      <c r="F52" s="188">
        <v>30</v>
      </c>
      <c r="G52" s="192">
        <v>42871</v>
      </c>
      <c r="J52" s="185">
        <f>E49/2</f>
        <v>40187.5</v>
      </c>
    </row>
    <row r="53" spans="1:10" x14ac:dyDescent="0.25">
      <c r="A53" s="92"/>
      <c r="B53" s="166">
        <v>51718</v>
      </c>
      <c r="C53" s="167">
        <v>42852</v>
      </c>
      <c r="D53" s="168" t="s">
        <v>76</v>
      </c>
      <c r="E53" s="181">
        <v>40187.5</v>
      </c>
      <c r="F53" s="188">
        <v>31</v>
      </c>
      <c r="G53" s="192">
        <v>42871</v>
      </c>
    </row>
    <row r="54" spans="1:10" x14ac:dyDescent="0.25">
      <c r="A54" s="92"/>
      <c r="B54" s="166">
        <v>51718</v>
      </c>
      <c r="C54" s="167">
        <v>42852</v>
      </c>
      <c r="D54" s="168" t="s">
        <v>211</v>
      </c>
      <c r="E54" s="181">
        <v>15000</v>
      </c>
      <c r="F54" s="188">
        <v>24</v>
      </c>
      <c r="G54" s="192">
        <v>42871</v>
      </c>
    </row>
    <row r="55" spans="1:10" x14ac:dyDescent="0.25">
      <c r="A55" s="92"/>
      <c r="B55" s="166">
        <v>51718</v>
      </c>
      <c r="C55" s="167">
        <v>42852</v>
      </c>
      <c r="D55" s="168" t="s">
        <v>228</v>
      </c>
      <c r="E55" s="181">
        <v>64247.7</v>
      </c>
      <c r="F55" s="188">
        <v>48</v>
      </c>
      <c r="G55" s="192">
        <v>42871</v>
      </c>
    </row>
    <row r="56" spans="1:10" x14ac:dyDescent="0.25">
      <c r="A56" s="92"/>
      <c r="B56" s="166">
        <v>51718</v>
      </c>
      <c r="C56" s="167">
        <v>42852</v>
      </c>
      <c r="D56" s="168" t="s">
        <v>397</v>
      </c>
      <c r="E56" s="181">
        <v>7350</v>
      </c>
      <c r="F56" s="188">
        <v>49</v>
      </c>
      <c r="G56" s="192">
        <v>42871</v>
      </c>
    </row>
    <row r="57" spans="1:10" hidden="1" x14ac:dyDescent="0.25">
      <c r="A57" s="92"/>
      <c r="B57" s="166"/>
      <c r="C57" s="166"/>
      <c r="D57" s="168"/>
      <c r="E57" s="181"/>
      <c r="F57" s="188"/>
      <c r="G57" s="192"/>
    </row>
    <row r="58" spans="1:10" hidden="1" x14ac:dyDescent="0.25">
      <c r="A58" s="92"/>
      <c r="B58" s="166"/>
      <c r="C58" s="166"/>
      <c r="D58" s="168"/>
      <c r="E58" s="181"/>
      <c r="F58" s="188"/>
      <c r="G58" s="192"/>
    </row>
    <row r="59" spans="1:10" hidden="1" x14ac:dyDescent="0.25">
      <c r="A59" s="92"/>
      <c r="B59" s="166"/>
      <c r="C59" s="166"/>
      <c r="D59" s="168"/>
      <c r="E59" s="181"/>
      <c r="F59" s="188"/>
      <c r="G59" s="192"/>
    </row>
    <row r="60" spans="1:10" hidden="1" x14ac:dyDescent="0.25">
      <c r="A60" s="92"/>
      <c r="B60" s="166"/>
      <c r="C60" s="166"/>
      <c r="D60" s="168"/>
      <c r="E60" s="181"/>
      <c r="F60" s="188"/>
      <c r="G60" s="192"/>
    </row>
    <row r="61" spans="1:10" hidden="1" x14ac:dyDescent="0.25">
      <c r="A61" s="92"/>
      <c r="B61" s="166"/>
      <c r="C61" s="166"/>
      <c r="D61" s="168"/>
      <c r="E61" s="181"/>
      <c r="F61" s="188"/>
      <c r="G61" s="192"/>
    </row>
    <row r="62" spans="1:10" hidden="1" x14ac:dyDescent="0.25">
      <c r="A62" s="92"/>
      <c r="B62" s="166"/>
      <c r="C62" s="166"/>
      <c r="D62" s="168"/>
      <c r="E62" s="181"/>
      <c r="F62" s="188"/>
      <c r="G62" s="192"/>
    </row>
    <row r="63" spans="1:10" hidden="1" x14ac:dyDescent="0.25">
      <c r="A63" s="93"/>
      <c r="B63" s="175"/>
      <c r="C63" s="175"/>
      <c r="D63" s="176"/>
      <c r="E63" s="177">
        <f>SUBTOTAL(109,Invoices!$E$2:$E$62)</f>
        <v>689410.2</v>
      </c>
      <c r="F63" s="189"/>
      <c r="G63" s="193"/>
    </row>
  </sheetData>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ErrorMessage="1" error="Must choose a milestone (PO line) in the drop down menu.">
          <x14:formula1>
            <xm:f>' Accting USE Data Entry Form'!$B$11:$B$104</xm:f>
          </x14:formula1>
          <xm:sqref>D64:D1048576</xm:sqref>
        </x14:dataValidation>
        <x14:dataValidation type="list" allowBlank="1" showInputMessage="1" showErrorMessage="1" error="Must choose a milestone (PO line) in the drop down menu.">
          <x14:formula1>
            <xm:f>' Accting USE Data Entry Form'!$B$11:$B$104</xm:f>
          </x14:formula1>
          <xm:sqref>D2:D62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9:G17"/>
  <sheetViews>
    <sheetView workbookViewId="0">
      <selection activeCell="F13" sqref="F13"/>
    </sheetView>
  </sheetViews>
  <sheetFormatPr defaultRowHeight="13.2" x14ac:dyDescent="0.25"/>
  <cols>
    <col min="6" max="6" width="12.44140625" bestFit="1" customWidth="1"/>
  </cols>
  <sheetData>
    <row r="9" spans="6:7" x14ac:dyDescent="0.25">
      <c r="F9" t="s">
        <v>230</v>
      </c>
      <c r="G9" t="s">
        <v>231</v>
      </c>
    </row>
    <row r="10" spans="6:7" x14ac:dyDescent="0.25">
      <c r="F10" s="160">
        <v>101080</v>
      </c>
      <c r="G10">
        <v>24</v>
      </c>
    </row>
    <row r="11" spans="6:7" x14ac:dyDescent="0.25">
      <c r="F11" s="160">
        <v>160750</v>
      </c>
      <c r="G11">
        <v>13</v>
      </c>
    </row>
    <row r="12" spans="6:7" x14ac:dyDescent="0.25">
      <c r="F12" s="160">
        <v>160750</v>
      </c>
      <c r="G12">
        <v>14</v>
      </c>
    </row>
    <row r="13" spans="6:7" x14ac:dyDescent="0.25">
      <c r="F13" s="160">
        <v>160750</v>
      </c>
      <c r="G13">
        <v>15</v>
      </c>
    </row>
    <row r="14" spans="6:7" x14ac:dyDescent="0.25">
      <c r="F14" s="160">
        <v>160750</v>
      </c>
      <c r="G14">
        <v>16</v>
      </c>
    </row>
    <row r="15" spans="6:7" x14ac:dyDescent="0.25">
      <c r="F15" s="160">
        <v>160750</v>
      </c>
      <c r="G15">
        <v>17</v>
      </c>
    </row>
    <row r="16" spans="6:7" x14ac:dyDescent="0.25">
      <c r="F16" s="160">
        <v>160750</v>
      </c>
      <c r="G16">
        <v>18</v>
      </c>
    </row>
    <row r="17" spans="6:7" x14ac:dyDescent="0.25">
      <c r="F17" s="160">
        <v>102796.32</v>
      </c>
      <c r="G17">
        <v>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0"/>
  <sheetViews>
    <sheetView showGridLines="0" zoomScale="70" zoomScaleNormal="70" workbookViewId="0">
      <pane xSplit="1" ySplit="3" topLeftCell="B85" activePane="bottomRight" state="frozen"/>
      <selection activeCell="D72" sqref="D72"/>
      <selection pane="topRight" activeCell="D72" sqref="D72"/>
      <selection pane="bottomLeft" activeCell="D72" sqref="D72"/>
      <selection pane="bottomRight" activeCell="B105" sqref="B105"/>
    </sheetView>
  </sheetViews>
  <sheetFormatPr defaultColWidth="9.109375" defaultRowHeight="18" x14ac:dyDescent="0.25"/>
  <cols>
    <col min="1" max="1" width="7.88671875" style="98" customWidth="1"/>
    <col min="2" max="2" width="12.5546875" style="98" bestFit="1" customWidth="1"/>
    <col min="3" max="3" width="20.109375" style="98" customWidth="1"/>
    <col min="4" max="4" width="13.6640625" style="201" customWidth="1"/>
    <col min="5" max="5" width="13.6640625" style="98" customWidth="1"/>
    <col min="6" max="6" width="8.77734375" style="194" customWidth="1"/>
    <col min="7" max="7" width="10.6640625" style="98" customWidth="1"/>
    <col min="8" max="9" width="13.5546875" style="129" hidden="1" customWidth="1"/>
    <col min="10" max="11" width="13.5546875" style="129" customWidth="1"/>
    <col min="12" max="12" width="14.6640625" style="129" customWidth="1"/>
    <col min="13" max="13" width="16" style="201" customWidth="1"/>
    <col min="14" max="14" width="15.109375" style="201" customWidth="1"/>
    <col min="15" max="15" width="17.33203125" style="201" customWidth="1"/>
    <col min="16" max="16" width="17.6640625" style="201" customWidth="1"/>
    <col min="17" max="17" width="14.21875" style="201" customWidth="1"/>
    <col min="18" max="16384" width="9.109375" style="201"/>
  </cols>
  <sheetData>
    <row r="1" spans="1:17" ht="30.6" customHeight="1" thickBot="1" x14ac:dyDescent="0.3">
      <c r="A1" s="347" t="s">
        <v>399</v>
      </c>
      <c r="B1" s="348"/>
      <c r="C1" s="348"/>
      <c r="D1" s="348"/>
      <c r="E1" s="348"/>
      <c r="F1" s="348"/>
      <c r="G1" s="348"/>
      <c r="H1" s="348"/>
      <c r="I1" s="348"/>
      <c r="J1" s="348"/>
      <c r="K1" s="348"/>
      <c r="L1" s="348"/>
      <c r="M1" s="348"/>
      <c r="N1" s="348"/>
      <c r="O1" s="348"/>
      <c r="P1" s="348"/>
      <c r="Q1" s="348"/>
    </row>
    <row r="2" spans="1:17" ht="4.2" customHeight="1" thickBot="1" x14ac:dyDescent="0.3"/>
    <row r="3" spans="1:17" s="101" customFormat="1" ht="59.4" customHeight="1" thickBot="1" x14ac:dyDescent="0.3">
      <c r="A3" s="195" t="s">
        <v>214</v>
      </c>
      <c r="B3" s="196" t="s">
        <v>217</v>
      </c>
      <c r="C3" s="225" t="s">
        <v>48</v>
      </c>
      <c r="D3" s="195" t="s">
        <v>215</v>
      </c>
      <c r="E3" s="197" t="s">
        <v>218</v>
      </c>
      <c r="F3" s="198" t="s">
        <v>398</v>
      </c>
      <c r="G3" s="199" t="s">
        <v>232</v>
      </c>
      <c r="H3" s="197" t="s">
        <v>508</v>
      </c>
      <c r="I3" s="197" t="s">
        <v>506</v>
      </c>
      <c r="J3" s="197" t="s">
        <v>507</v>
      </c>
      <c r="K3" s="197" t="s">
        <v>216</v>
      </c>
      <c r="L3" s="197" t="s">
        <v>117</v>
      </c>
      <c r="M3" s="200" t="s">
        <v>222</v>
      </c>
      <c r="N3" s="200" t="s">
        <v>224</v>
      </c>
      <c r="O3" s="200" t="s">
        <v>476</v>
      </c>
      <c r="P3" s="200" t="s">
        <v>108</v>
      </c>
      <c r="Q3" s="198" t="s">
        <v>223</v>
      </c>
    </row>
    <row r="4" spans="1:17" ht="18" customHeight="1" x14ac:dyDescent="0.25">
      <c r="A4" s="210">
        <v>1</v>
      </c>
      <c r="B4" s="211" t="s">
        <v>239</v>
      </c>
      <c r="C4" s="211" t="s">
        <v>400</v>
      </c>
      <c r="D4" s="212">
        <v>42917</v>
      </c>
      <c r="E4" s="212">
        <v>42552</v>
      </c>
      <c r="F4" s="213">
        <v>1</v>
      </c>
      <c r="G4" s="213">
        <v>0</v>
      </c>
      <c r="H4" s="214">
        <f>VLOOKUP(CavityStatus[[#This Row],[Unit '#]],IncentiveTable[],3)</f>
        <v>20196</v>
      </c>
      <c r="I4" s="214">
        <v>20196</v>
      </c>
      <c r="J4" s="214"/>
      <c r="K4" s="214"/>
      <c r="L4" s="215">
        <v>42528</v>
      </c>
      <c r="M4" s="216"/>
      <c r="N4" s="216"/>
      <c r="O4" s="214">
        <f>RICavMilestoneVal</f>
        <v>40187.5</v>
      </c>
      <c r="P4" s="216">
        <f>RICavMilestoneVal+CavityStatus[[#This Row],[Incentive Earned]]+CavityStatus[[#This Row],[Recipe Modification (Mod 9)]]+N4</f>
        <v>40187.5</v>
      </c>
      <c r="Q4" s="215">
        <v>42587</v>
      </c>
    </row>
    <row r="5" spans="1:17" ht="18" customHeight="1" x14ac:dyDescent="0.25">
      <c r="A5" s="217">
        <v>2</v>
      </c>
      <c r="B5" s="202" t="s">
        <v>240</v>
      </c>
      <c r="C5" s="202" t="s">
        <v>400</v>
      </c>
      <c r="D5" s="204">
        <v>42552</v>
      </c>
      <c r="E5" s="204">
        <v>42552</v>
      </c>
      <c r="F5" s="203">
        <v>1</v>
      </c>
      <c r="G5" s="203">
        <f>IF(CavityStatus[[#This Row],[Actual Ship Date]]&lt;&gt;0,($E5-$D5)/7,0)</f>
        <v>0</v>
      </c>
      <c r="H5" s="205">
        <f>VLOOKUP(CavityStatus[[#This Row],[Unit '#]],IncentiveTable[],3)</f>
        <v>20196</v>
      </c>
      <c r="I5" s="205">
        <v>20196</v>
      </c>
      <c r="J5" s="205"/>
      <c r="K5" s="205"/>
      <c r="L5" s="206">
        <v>42528</v>
      </c>
      <c r="M5" s="207"/>
      <c r="N5" s="207"/>
      <c r="O5" s="205">
        <f>RICavMilestoneVal</f>
        <v>40187.5</v>
      </c>
      <c r="P5" s="207">
        <f>RICavMilestoneVal+CavityStatus[[#This Row],[Incentive Earned]]+CavityStatus[[#This Row],[Recipe Modification (Mod 9)]]+N5</f>
        <v>40187.5</v>
      </c>
      <c r="Q5" s="206">
        <v>42587</v>
      </c>
    </row>
    <row r="6" spans="1:17" ht="18" customHeight="1" x14ac:dyDescent="0.25">
      <c r="A6" s="217">
        <v>5</v>
      </c>
      <c r="B6" s="202" t="s">
        <v>241</v>
      </c>
      <c r="C6" s="202" t="s">
        <v>400</v>
      </c>
      <c r="D6" s="204">
        <v>42552</v>
      </c>
      <c r="E6" s="204">
        <v>42552</v>
      </c>
      <c r="F6" s="203">
        <v>2</v>
      </c>
      <c r="G6" s="203">
        <f>IF(CavityStatus[[#This Row],[Actual Ship Date]]&lt;&gt;0,($E6-$D6)/7,0)</f>
        <v>0</v>
      </c>
      <c r="H6" s="205">
        <f>VLOOKUP(CavityStatus[[#This Row],[Unit '#]],IncentiveTable[],3)</f>
        <v>20196</v>
      </c>
      <c r="I6" s="205">
        <v>20196</v>
      </c>
      <c r="J6" s="205"/>
      <c r="K6" s="205"/>
      <c r="L6" s="206">
        <v>42528</v>
      </c>
      <c r="M6" s="207"/>
      <c r="N6" s="207"/>
      <c r="O6" s="205">
        <f>RICavMilestoneVal</f>
        <v>40187.5</v>
      </c>
      <c r="P6" s="207">
        <f>RICavMilestoneVal+CavityStatus[[#This Row],[Incentive Earned]]+CavityStatus[[#This Row],[Recipe Modification (Mod 9)]]+N6</f>
        <v>40187.5</v>
      </c>
      <c r="Q6" s="206">
        <v>42587</v>
      </c>
    </row>
    <row r="7" spans="1:17" ht="18" customHeight="1" x14ac:dyDescent="0.25">
      <c r="A7" s="217">
        <v>3</v>
      </c>
      <c r="B7" s="202" t="s">
        <v>242</v>
      </c>
      <c r="C7" s="202" t="s">
        <v>400</v>
      </c>
      <c r="D7" s="204">
        <v>42552</v>
      </c>
      <c r="E7" s="204">
        <v>42552</v>
      </c>
      <c r="F7" s="203">
        <v>1</v>
      </c>
      <c r="G7" s="203">
        <f>IF(CavityStatus[[#This Row],[Actual Ship Date]]&lt;&gt;0,($E7-$D7)/7,0)</f>
        <v>0</v>
      </c>
      <c r="H7" s="205">
        <f>VLOOKUP(CavityStatus[[#This Row],[Unit '#]],IncentiveTable[],3)</f>
        <v>20196</v>
      </c>
      <c r="I7" s="205">
        <v>20196</v>
      </c>
      <c r="J7" s="205"/>
      <c r="K7" s="205"/>
      <c r="L7" s="206">
        <v>42528</v>
      </c>
      <c r="M7" s="207"/>
      <c r="N7" s="207"/>
      <c r="O7" s="205">
        <f>RICavMilestoneVal</f>
        <v>40187.5</v>
      </c>
      <c r="P7" s="207">
        <f>RICavMilestoneVal+CavityStatus[[#This Row],[Incentive Earned]]+CavityStatus[[#This Row],[Recipe Modification (Mod 9)]]+N7</f>
        <v>40187.5</v>
      </c>
      <c r="Q7" s="206">
        <v>42587</v>
      </c>
    </row>
    <row r="8" spans="1:17" ht="18" customHeight="1" x14ac:dyDescent="0.25">
      <c r="A8" s="217">
        <v>4</v>
      </c>
      <c r="B8" s="202" t="s">
        <v>243</v>
      </c>
      <c r="C8" s="202" t="s">
        <v>400</v>
      </c>
      <c r="D8" s="204">
        <v>42552</v>
      </c>
      <c r="E8" s="204">
        <v>42552</v>
      </c>
      <c r="F8" s="203">
        <v>1</v>
      </c>
      <c r="G8" s="203">
        <f>IF(CavityStatus[[#This Row],[Actual Ship Date]]&lt;&gt;0,($E8-$D8)/7,0)</f>
        <v>0</v>
      </c>
      <c r="H8" s="205">
        <f>VLOOKUP(CavityStatus[[#This Row],[Unit '#]],IncentiveTable[],3)</f>
        <v>20196</v>
      </c>
      <c r="I8" s="205">
        <v>20196</v>
      </c>
      <c r="J8" s="205"/>
      <c r="K8" s="205"/>
      <c r="L8" s="206">
        <v>42528</v>
      </c>
      <c r="M8" s="207"/>
      <c r="N8" s="207"/>
      <c r="O8" s="205">
        <f>RICavMilestoneVal</f>
        <v>40187.5</v>
      </c>
      <c r="P8" s="207">
        <f>RICavMilestoneVal+CavityStatus[[#This Row],[Incentive Earned]]+CavityStatus[[#This Row],[Recipe Modification (Mod 9)]]+N8</f>
        <v>40187.5</v>
      </c>
      <c r="Q8" s="206">
        <v>42587</v>
      </c>
    </row>
    <row r="9" spans="1:17" ht="18" customHeight="1" x14ac:dyDescent="0.25">
      <c r="A9" s="217">
        <v>6</v>
      </c>
      <c r="B9" s="202" t="s">
        <v>244</v>
      </c>
      <c r="C9" s="202" t="s">
        <v>400</v>
      </c>
      <c r="D9" s="204">
        <v>42552</v>
      </c>
      <c r="E9" s="204">
        <v>42552</v>
      </c>
      <c r="F9" s="203">
        <v>2</v>
      </c>
      <c r="G9" s="203">
        <f>IF(CavityStatus[[#This Row],[Actual Ship Date]]&lt;&gt;0,($E9-$D9)/7,0)</f>
        <v>0</v>
      </c>
      <c r="H9" s="205">
        <f>VLOOKUP(CavityStatus[[#This Row],[Unit '#]],IncentiveTable[],3)</f>
        <v>20196</v>
      </c>
      <c r="I9" s="205">
        <v>20196</v>
      </c>
      <c r="J9" s="205"/>
      <c r="K9" s="205"/>
      <c r="L9" s="206">
        <v>42528</v>
      </c>
      <c r="M9" s="207"/>
      <c r="N9" s="207"/>
      <c r="O9" s="205">
        <f>RICavMilestoneVal</f>
        <v>40187.5</v>
      </c>
      <c r="P9" s="207">
        <f>RICavMilestoneVal+CavityStatus[[#This Row],[Incentive Earned]]+CavityStatus[[#This Row],[Recipe Modification (Mod 9)]]+N9</f>
        <v>40187.5</v>
      </c>
      <c r="Q9" s="206">
        <v>42587</v>
      </c>
    </row>
    <row r="10" spans="1:17" ht="18" customHeight="1" x14ac:dyDescent="0.25">
      <c r="A10" s="217">
        <v>7</v>
      </c>
      <c r="B10" s="202" t="s">
        <v>245</v>
      </c>
      <c r="C10" s="202" t="s">
        <v>400</v>
      </c>
      <c r="D10" s="204">
        <v>42552</v>
      </c>
      <c r="E10" s="204">
        <v>42552</v>
      </c>
      <c r="F10" s="203">
        <v>2</v>
      </c>
      <c r="G10" s="203">
        <f>IF(CavityStatus[[#This Row],[Actual Ship Date]]&lt;&gt;0,($E10-$D10)/7,0)</f>
        <v>0</v>
      </c>
      <c r="H10" s="205">
        <f>VLOOKUP(CavityStatus[[#This Row],[Unit '#]],IncentiveTable[],3)</f>
        <v>20196</v>
      </c>
      <c r="I10" s="205">
        <v>20196</v>
      </c>
      <c r="J10" s="205"/>
      <c r="K10" s="205"/>
      <c r="L10" s="206">
        <v>42528</v>
      </c>
      <c r="M10" s="207"/>
      <c r="N10" s="207"/>
      <c r="O10" s="205">
        <f>RICavMilestoneVal</f>
        <v>40187.5</v>
      </c>
      <c r="P10" s="207">
        <f>RICavMilestoneVal+CavityStatus[[#This Row],[Incentive Earned]]+CavityStatus[[#This Row],[Recipe Modification (Mod 9)]]+N10</f>
        <v>40187.5</v>
      </c>
      <c r="Q10" s="206">
        <v>42587</v>
      </c>
    </row>
    <row r="11" spans="1:17" ht="18" customHeight="1" x14ac:dyDescent="0.25">
      <c r="A11" s="217">
        <v>8</v>
      </c>
      <c r="B11" s="202" t="s">
        <v>246</v>
      </c>
      <c r="C11" s="202" t="s">
        <v>400</v>
      </c>
      <c r="D11" s="204">
        <v>42552</v>
      </c>
      <c r="E11" s="204">
        <v>42552</v>
      </c>
      <c r="F11" s="203">
        <v>2</v>
      </c>
      <c r="G11" s="203">
        <f>IF(CavityStatus[[#This Row],[Actual Ship Date]]&lt;&gt;0,($E11-$D11)/7,0)</f>
        <v>0</v>
      </c>
      <c r="H11" s="205">
        <f>VLOOKUP(CavityStatus[[#This Row],[Unit '#]],IncentiveTable[],3)</f>
        <v>20196</v>
      </c>
      <c r="I11" s="205">
        <v>20196</v>
      </c>
      <c r="J11" s="205"/>
      <c r="K11" s="205"/>
      <c r="L11" s="206">
        <v>42528</v>
      </c>
      <c r="M11" s="207"/>
      <c r="N11" s="207"/>
      <c r="O11" s="205">
        <f>RICavMilestoneVal</f>
        <v>40187.5</v>
      </c>
      <c r="P11" s="207">
        <f>RICavMilestoneVal+CavityStatus[[#This Row],[Incentive Earned]]+CavityStatus[[#This Row],[Recipe Modification (Mod 9)]]+N11</f>
        <v>40187.5</v>
      </c>
      <c r="Q11" s="206">
        <v>42587</v>
      </c>
    </row>
    <row r="12" spans="1:17" ht="18" customHeight="1" x14ac:dyDescent="0.25">
      <c r="A12" s="217">
        <v>9</v>
      </c>
      <c r="B12" s="202" t="s">
        <v>247</v>
      </c>
      <c r="C12" s="202" t="s">
        <v>400</v>
      </c>
      <c r="D12" s="204">
        <v>42583</v>
      </c>
      <c r="E12" s="204">
        <v>42583</v>
      </c>
      <c r="F12" s="203">
        <v>3</v>
      </c>
      <c r="G12" s="203">
        <f>IF(CavityStatus[[#This Row],[Actual Ship Date]]&lt;&gt;0,($E12-$D12)/7,0)</f>
        <v>0</v>
      </c>
      <c r="H12" s="205">
        <f>VLOOKUP(CavityStatus[[#This Row],[Unit '#]],IncentiveTable[],3)</f>
        <v>20196</v>
      </c>
      <c r="I12" s="205">
        <v>20196</v>
      </c>
      <c r="J12" s="205"/>
      <c r="K12" s="205"/>
      <c r="L12" s="206">
        <v>42589</v>
      </c>
      <c r="M12" s="207"/>
      <c r="N12" s="207"/>
      <c r="O12" s="205">
        <f>RICavMilestoneVal</f>
        <v>40187.5</v>
      </c>
      <c r="P12" s="207">
        <f>RICavMilestoneVal+CavityStatus[[#This Row],[Incentive Earned]]+CavityStatus[[#This Row],[Recipe Modification (Mod 9)]]+N12</f>
        <v>40187.5</v>
      </c>
      <c r="Q12" s="206">
        <v>42587</v>
      </c>
    </row>
    <row r="13" spans="1:17" ht="18" customHeight="1" x14ac:dyDescent="0.25">
      <c r="A13" s="217">
        <v>10</v>
      </c>
      <c r="B13" s="202" t="s">
        <v>248</v>
      </c>
      <c r="C13" s="202" t="s">
        <v>400</v>
      </c>
      <c r="D13" s="204">
        <v>42583</v>
      </c>
      <c r="E13" s="204">
        <v>42583</v>
      </c>
      <c r="F13" s="203">
        <v>3</v>
      </c>
      <c r="G13" s="203">
        <f>IF(CavityStatus[[#This Row],[Actual Ship Date]]&lt;&gt;0,($E13-$D13)/7,0)</f>
        <v>0</v>
      </c>
      <c r="H13" s="205">
        <f>VLOOKUP(CavityStatus[[#This Row],[Unit '#]],IncentiveTable[],3)</f>
        <v>20196</v>
      </c>
      <c r="I13" s="205">
        <v>20196</v>
      </c>
      <c r="J13" s="205"/>
      <c r="K13" s="205"/>
      <c r="L13" s="206">
        <v>42589</v>
      </c>
      <c r="M13" s="207"/>
      <c r="N13" s="207"/>
      <c r="O13" s="205">
        <f>RICavMilestoneVal</f>
        <v>40187.5</v>
      </c>
      <c r="P13" s="207">
        <f>RICavMilestoneVal+CavityStatus[[#This Row],[Incentive Earned]]+CavityStatus[[#This Row],[Recipe Modification (Mod 9)]]+N13</f>
        <v>40187.5</v>
      </c>
      <c r="Q13" s="206">
        <v>42587</v>
      </c>
    </row>
    <row r="14" spans="1:17" ht="18" customHeight="1" x14ac:dyDescent="0.25">
      <c r="A14" s="217">
        <v>13</v>
      </c>
      <c r="B14" s="202" t="s">
        <v>249</v>
      </c>
      <c r="C14" s="202" t="s">
        <v>400</v>
      </c>
      <c r="D14" s="204">
        <v>42583</v>
      </c>
      <c r="E14" s="204">
        <v>42583</v>
      </c>
      <c r="F14" s="203">
        <v>4</v>
      </c>
      <c r="G14" s="203">
        <f>IF(CavityStatus[[#This Row],[Actual Ship Date]]&lt;&gt;0,($E14-$D14)/7,0)</f>
        <v>0</v>
      </c>
      <c r="H14" s="205">
        <f>VLOOKUP(CavityStatus[[#This Row],[Unit '#]],IncentiveTable[],3)</f>
        <v>20196</v>
      </c>
      <c r="I14" s="205">
        <v>20196</v>
      </c>
      <c r="J14" s="205"/>
      <c r="K14" s="205"/>
      <c r="L14" s="206">
        <v>42589</v>
      </c>
      <c r="M14" s="207"/>
      <c r="N14" s="207"/>
      <c r="O14" s="205">
        <f>RICavMilestoneVal</f>
        <v>40187.5</v>
      </c>
      <c r="P14" s="207">
        <f>RICavMilestoneVal+CavityStatus[[#This Row],[Incentive Earned]]+CavityStatus[[#This Row],[Recipe Modification (Mod 9)]]+N14</f>
        <v>40187.5</v>
      </c>
      <c r="Q14" s="206">
        <v>42587</v>
      </c>
    </row>
    <row r="15" spans="1:17" ht="18" customHeight="1" x14ac:dyDescent="0.25">
      <c r="A15" s="217">
        <v>11</v>
      </c>
      <c r="B15" s="202" t="s">
        <v>250</v>
      </c>
      <c r="C15" s="202" t="s">
        <v>400</v>
      </c>
      <c r="D15" s="204">
        <v>42583</v>
      </c>
      <c r="E15" s="204">
        <v>42583</v>
      </c>
      <c r="F15" s="203">
        <v>3</v>
      </c>
      <c r="G15" s="203">
        <f>IF(CavityStatus[[#This Row],[Actual Ship Date]]&lt;&gt;0,($E15-$D15)/7,0)</f>
        <v>0</v>
      </c>
      <c r="H15" s="205">
        <f>VLOOKUP(CavityStatus[[#This Row],[Unit '#]],IncentiveTable[],3)</f>
        <v>20196</v>
      </c>
      <c r="I15" s="205">
        <v>20196</v>
      </c>
      <c r="J15" s="205"/>
      <c r="K15" s="205"/>
      <c r="L15" s="206">
        <v>42589</v>
      </c>
      <c r="M15" s="207"/>
      <c r="N15" s="207"/>
      <c r="O15" s="205">
        <f>RICavMilestoneVal</f>
        <v>40187.5</v>
      </c>
      <c r="P15" s="207">
        <f>RICavMilestoneVal+CavityStatus[[#This Row],[Incentive Earned]]+CavityStatus[[#This Row],[Recipe Modification (Mod 9)]]+N15</f>
        <v>40187.5</v>
      </c>
      <c r="Q15" s="206">
        <v>42587</v>
      </c>
    </row>
    <row r="16" spans="1:17" ht="18" customHeight="1" x14ac:dyDescent="0.25">
      <c r="A16" s="217">
        <v>14</v>
      </c>
      <c r="B16" s="202" t="s">
        <v>251</v>
      </c>
      <c r="C16" s="202" t="s">
        <v>400</v>
      </c>
      <c r="D16" s="204">
        <v>42583</v>
      </c>
      <c r="E16" s="204">
        <v>42583</v>
      </c>
      <c r="F16" s="203">
        <v>4</v>
      </c>
      <c r="G16" s="203">
        <f>IF(CavityStatus[[#This Row],[Actual Ship Date]]&lt;&gt;0,($E16-$D16)/7,0)</f>
        <v>0</v>
      </c>
      <c r="H16" s="205">
        <f>VLOOKUP(CavityStatus[[#This Row],[Unit '#]],IncentiveTable[],3)</f>
        <v>20196</v>
      </c>
      <c r="I16" s="205">
        <v>20196</v>
      </c>
      <c r="J16" s="205"/>
      <c r="K16" s="205"/>
      <c r="L16" s="206">
        <v>42589</v>
      </c>
      <c r="M16" s="207"/>
      <c r="N16" s="207"/>
      <c r="O16" s="205">
        <f>RICavMilestoneVal</f>
        <v>40187.5</v>
      </c>
      <c r="P16" s="207">
        <f>RICavMilestoneVal+CavityStatus[[#This Row],[Incentive Earned]]+CavityStatus[[#This Row],[Recipe Modification (Mod 9)]]+N16</f>
        <v>40187.5</v>
      </c>
      <c r="Q16" s="206">
        <v>42587</v>
      </c>
    </row>
    <row r="17" spans="1:17" ht="18" customHeight="1" x14ac:dyDescent="0.25">
      <c r="A17" s="217">
        <v>12</v>
      </c>
      <c r="B17" s="202" t="s">
        <v>252</v>
      </c>
      <c r="C17" s="202" t="s">
        <v>400</v>
      </c>
      <c r="D17" s="204">
        <v>42583</v>
      </c>
      <c r="E17" s="204">
        <v>42583</v>
      </c>
      <c r="F17" s="203">
        <v>3</v>
      </c>
      <c r="G17" s="203">
        <f>IF(CavityStatus[[#This Row],[Actual Ship Date]]&lt;&gt;0,($E17-$D17)/7,0)</f>
        <v>0</v>
      </c>
      <c r="H17" s="205">
        <f>VLOOKUP(CavityStatus[[#This Row],[Unit '#]],IncentiveTable[],3)</f>
        <v>20196</v>
      </c>
      <c r="I17" s="205">
        <v>20196</v>
      </c>
      <c r="J17" s="205"/>
      <c r="K17" s="205"/>
      <c r="L17" s="206">
        <v>42589</v>
      </c>
      <c r="M17" s="207"/>
      <c r="N17" s="207"/>
      <c r="O17" s="205">
        <f>RICavMilestoneVal</f>
        <v>40187.5</v>
      </c>
      <c r="P17" s="207">
        <f>RICavMilestoneVal+CavityStatus[[#This Row],[Incentive Earned]]+CavityStatus[[#This Row],[Recipe Modification (Mod 9)]]+N17</f>
        <v>40187.5</v>
      </c>
      <c r="Q17" s="206">
        <v>42587</v>
      </c>
    </row>
    <row r="18" spans="1:17" ht="18" customHeight="1" x14ac:dyDescent="0.25">
      <c r="A18" s="217">
        <v>15</v>
      </c>
      <c r="B18" s="202" t="s">
        <v>253</v>
      </c>
      <c r="C18" s="202" t="s">
        <v>400</v>
      </c>
      <c r="D18" s="204">
        <v>42583</v>
      </c>
      <c r="E18" s="204">
        <v>42583</v>
      </c>
      <c r="F18" s="203">
        <v>4</v>
      </c>
      <c r="G18" s="203">
        <f>IF(CavityStatus[[#This Row],[Actual Ship Date]]&lt;&gt;0,($E18-$D18)/7,0)</f>
        <v>0</v>
      </c>
      <c r="H18" s="205">
        <f>VLOOKUP(CavityStatus[[#This Row],[Unit '#]],IncentiveTable[],3)</f>
        <v>20196</v>
      </c>
      <c r="I18" s="205">
        <v>20196</v>
      </c>
      <c r="J18" s="205"/>
      <c r="K18" s="205"/>
      <c r="L18" s="206">
        <v>42589</v>
      </c>
      <c r="M18" s="207"/>
      <c r="N18" s="207"/>
      <c r="O18" s="205">
        <f>RICavMilestoneVal</f>
        <v>40187.5</v>
      </c>
      <c r="P18" s="207">
        <f>RICavMilestoneVal+CavityStatus[[#This Row],[Incentive Earned]]+CavityStatus[[#This Row],[Recipe Modification (Mod 9)]]+N18</f>
        <v>40187.5</v>
      </c>
      <c r="Q18" s="206">
        <v>42587</v>
      </c>
    </row>
    <row r="19" spans="1:17" ht="18" customHeight="1" x14ac:dyDescent="0.25">
      <c r="A19" s="217">
        <v>16</v>
      </c>
      <c r="B19" s="202" t="s">
        <v>254</v>
      </c>
      <c r="C19" s="202" t="s">
        <v>400</v>
      </c>
      <c r="D19" s="204">
        <v>42583</v>
      </c>
      <c r="E19" s="204">
        <v>42583</v>
      </c>
      <c r="F19" s="203">
        <v>4</v>
      </c>
      <c r="G19" s="203">
        <f>IF(CavityStatus[[#This Row],[Actual Ship Date]]&lt;&gt;0,($E19-$D19)/7,0)</f>
        <v>0</v>
      </c>
      <c r="H19" s="205">
        <f>VLOOKUP(CavityStatus[[#This Row],[Unit '#]],IncentiveTable[],3)</f>
        <v>20196</v>
      </c>
      <c r="I19" s="205">
        <v>20196</v>
      </c>
      <c r="J19" s="205"/>
      <c r="K19" s="205"/>
      <c r="L19" s="206">
        <v>42589</v>
      </c>
      <c r="M19" s="207"/>
      <c r="N19" s="207"/>
      <c r="O19" s="205">
        <f>RICavMilestoneVal</f>
        <v>40187.5</v>
      </c>
      <c r="P19" s="207">
        <f>RICavMilestoneVal+CavityStatus[[#This Row],[Incentive Earned]]+CavityStatus[[#This Row],[Recipe Modification (Mod 9)]]+N19</f>
        <v>40187.5</v>
      </c>
      <c r="Q19" s="206">
        <v>42587</v>
      </c>
    </row>
    <row r="20" spans="1:17" ht="18" customHeight="1" x14ac:dyDescent="0.25">
      <c r="A20" s="217">
        <v>17</v>
      </c>
      <c r="B20" s="202" t="s">
        <v>255</v>
      </c>
      <c r="C20" s="202" t="s">
        <v>401</v>
      </c>
      <c r="D20" s="204">
        <v>42676</v>
      </c>
      <c r="E20" s="204">
        <v>42650</v>
      </c>
      <c r="F20" s="203">
        <v>5</v>
      </c>
      <c r="G20" s="203">
        <f>IF(CavityStatus[[#This Row],[Actual Ship Date]]&lt;&gt;0,($E20-$D20)/7,0)</f>
        <v>-3.7142857142857144</v>
      </c>
      <c r="H20" s="205"/>
      <c r="I20" s="205"/>
      <c r="J20" s="205">
        <v>5750</v>
      </c>
      <c r="K20" s="205">
        <v>5750</v>
      </c>
      <c r="L20" s="206">
        <v>42669</v>
      </c>
      <c r="M20" s="207"/>
      <c r="N20" s="205">
        <v>490</v>
      </c>
      <c r="O20" s="205">
        <f>RICavMilestoneVal</f>
        <v>40187.5</v>
      </c>
      <c r="P20" s="207">
        <f>RICavMilestoneVal+CavityStatus[[#This Row],[Incentive Earned]]+CavityStatus[[#This Row],[Recipe Modification (Mod 9)]]+N20</f>
        <v>46427.5</v>
      </c>
      <c r="Q20" s="208">
        <v>42705</v>
      </c>
    </row>
    <row r="21" spans="1:17" ht="18" customHeight="1" x14ac:dyDescent="0.25">
      <c r="A21" s="217">
        <v>18</v>
      </c>
      <c r="B21" s="202" t="s">
        <v>256</v>
      </c>
      <c r="C21" s="202" t="s">
        <v>401</v>
      </c>
      <c r="D21" s="204">
        <v>42676</v>
      </c>
      <c r="E21" s="204">
        <v>42650</v>
      </c>
      <c r="F21" s="203">
        <v>5</v>
      </c>
      <c r="G21" s="203">
        <f>IF(CavityStatus[[#This Row],[Actual Ship Date]]&lt;&gt;0,($E21-$D21)/7,0)</f>
        <v>-3.7142857142857144</v>
      </c>
      <c r="H21" s="205"/>
      <c r="I21" s="205"/>
      <c r="J21" s="205">
        <v>5750</v>
      </c>
      <c r="K21" s="205">
        <v>5750</v>
      </c>
      <c r="L21" s="206">
        <v>42669</v>
      </c>
      <c r="M21" s="207"/>
      <c r="N21" s="205">
        <v>490</v>
      </c>
      <c r="O21" s="205">
        <f>RICavMilestoneVal</f>
        <v>40187.5</v>
      </c>
      <c r="P21" s="207">
        <f>RICavMilestoneVal+CavityStatus[[#This Row],[Incentive Earned]]+CavityStatus[[#This Row],[Recipe Modification (Mod 9)]]+N21</f>
        <v>46427.5</v>
      </c>
      <c r="Q21" s="208">
        <v>42675</v>
      </c>
    </row>
    <row r="22" spans="1:17" ht="18" customHeight="1" x14ac:dyDescent="0.25">
      <c r="A22" s="217">
        <v>19</v>
      </c>
      <c r="B22" s="202" t="s">
        <v>257</v>
      </c>
      <c r="C22" s="202" t="s">
        <v>401</v>
      </c>
      <c r="D22" s="204">
        <v>42676</v>
      </c>
      <c r="E22" s="204">
        <v>42662</v>
      </c>
      <c r="F22" s="203">
        <v>6</v>
      </c>
      <c r="G22" s="203">
        <f>IF(CavityStatus[[#This Row],[Actual Ship Date]]&lt;&gt;0,($E22-$D22)/7,0)</f>
        <v>-2</v>
      </c>
      <c r="H22" s="205"/>
      <c r="I22" s="205"/>
      <c r="J22" s="205">
        <v>5750</v>
      </c>
      <c r="K22" s="205">
        <v>5750</v>
      </c>
      <c r="L22" s="206">
        <v>42669</v>
      </c>
      <c r="M22" s="207"/>
      <c r="N22" s="205">
        <v>490</v>
      </c>
      <c r="O22" s="205">
        <f>RICavMilestoneVal</f>
        <v>40187.5</v>
      </c>
      <c r="P22" s="207">
        <f>RICavMilestoneVal+CavityStatus[[#This Row],[Incentive Earned]]+CavityStatus[[#This Row],[Recipe Modification (Mod 9)]]+N22</f>
        <v>46427.5</v>
      </c>
      <c r="Q22" s="208">
        <v>42675</v>
      </c>
    </row>
    <row r="23" spans="1:17" ht="18" customHeight="1" x14ac:dyDescent="0.25">
      <c r="A23" s="217">
        <v>20</v>
      </c>
      <c r="B23" s="202" t="s">
        <v>258</v>
      </c>
      <c r="C23" s="202" t="s">
        <v>401</v>
      </c>
      <c r="D23" s="204">
        <v>42676</v>
      </c>
      <c r="E23" s="204">
        <v>42662</v>
      </c>
      <c r="F23" s="203">
        <v>6</v>
      </c>
      <c r="G23" s="203">
        <f>IF(CavityStatus[[#This Row],[Actual Ship Date]]&lt;&gt;0,($E23-$D23)/7,0)</f>
        <v>-2</v>
      </c>
      <c r="H23" s="205"/>
      <c r="I23" s="205"/>
      <c r="J23" s="205">
        <v>5750</v>
      </c>
      <c r="K23" s="205">
        <v>5750</v>
      </c>
      <c r="L23" s="206">
        <v>42669</v>
      </c>
      <c r="M23" s="207"/>
      <c r="N23" s="205">
        <v>490</v>
      </c>
      <c r="O23" s="205">
        <f>RICavMilestoneVal</f>
        <v>40187.5</v>
      </c>
      <c r="P23" s="207">
        <f>RICavMilestoneVal+CavityStatus[[#This Row],[Incentive Earned]]+CavityStatus[[#This Row],[Recipe Modification (Mod 9)]]+N23</f>
        <v>46427.5</v>
      </c>
      <c r="Q23" s="208">
        <v>42675</v>
      </c>
    </row>
    <row r="24" spans="1:17" ht="18" customHeight="1" x14ac:dyDescent="0.25">
      <c r="A24" s="217">
        <v>21</v>
      </c>
      <c r="B24" s="202" t="s">
        <v>259</v>
      </c>
      <c r="C24" s="202" t="s">
        <v>401</v>
      </c>
      <c r="D24" s="204">
        <v>42676</v>
      </c>
      <c r="E24" s="204">
        <v>42676</v>
      </c>
      <c r="F24" s="203">
        <v>7</v>
      </c>
      <c r="G24" s="203">
        <f>IF(CavityStatus[[#This Row],[Actual Ship Date]]&lt;&gt;0,($E24-$D24)/7,0)</f>
        <v>0</v>
      </c>
      <c r="H24" s="205"/>
      <c r="I24" s="205"/>
      <c r="J24" s="205">
        <v>5750</v>
      </c>
      <c r="K24" s="205">
        <v>5750</v>
      </c>
      <c r="L24" s="206">
        <v>42685</v>
      </c>
      <c r="M24" s="207">
        <v>4283.18</v>
      </c>
      <c r="N24" s="205">
        <v>490</v>
      </c>
      <c r="O24" s="205">
        <f>RICavMilestoneVal</f>
        <v>40187.5</v>
      </c>
      <c r="P24" s="207">
        <f>RICavMilestoneVal+CavityStatus[[#This Row],[Incentive Earned]]+CavityStatus[[#This Row],[Recipe Modification (Mod 9)]]+N24</f>
        <v>50710.68</v>
      </c>
      <c r="Q24" s="208">
        <v>42675</v>
      </c>
    </row>
    <row r="25" spans="1:17" ht="18" customHeight="1" x14ac:dyDescent="0.25">
      <c r="A25" s="217">
        <v>22</v>
      </c>
      <c r="B25" s="202" t="s">
        <v>261</v>
      </c>
      <c r="C25" s="202" t="s">
        <v>401</v>
      </c>
      <c r="D25" s="204">
        <v>42676</v>
      </c>
      <c r="E25" s="204">
        <v>42676</v>
      </c>
      <c r="F25" s="203">
        <v>7</v>
      </c>
      <c r="G25" s="203">
        <f>IF(CavityStatus[[#This Row],[Actual Ship Date]]&lt;&gt;0,($E25-$D25)/7,0)</f>
        <v>0</v>
      </c>
      <c r="H25" s="205"/>
      <c r="I25" s="205"/>
      <c r="J25" s="205">
        <v>5750</v>
      </c>
      <c r="K25" s="205">
        <v>5750</v>
      </c>
      <c r="L25" s="206">
        <v>42685</v>
      </c>
      <c r="M25" s="207">
        <v>4283.18</v>
      </c>
      <c r="N25" s="205">
        <v>490</v>
      </c>
      <c r="O25" s="205">
        <f>RICavMilestoneVal</f>
        <v>40187.5</v>
      </c>
      <c r="P25" s="207">
        <f>RICavMilestoneVal+CavityStatus[[#This Row],[Incentive Earned]]+CavityStatus[[#This Row],[Recipe Modification (Mod 9)]]+N25</f>
        <v>50710.68</v>
      </c>
      <c r="Q25" s="208">
        <v>42675</v>
      </c>
    </row>
    <row r="26" spans="1:17" ht="18" customHeight="1" x14ac:dyDescent="0.25">
      <c r="A26" s="217">
        <v>23</v>
      </c>
      <c r="B26" s="202" t="s">
        <v>262</v>
      </c>
      <c r="C26" s="202" t="s">
        <v>401</v>
      </c>
      <c r="D26" s="204">
        <v>42676</v>
      </c>
      <c r="E26" s="204">
        <v>42676</v>
      </c>
      <c r="F26" s="203">
        <v>7</v>
      </c>
      <c r="G26" s="203">
        <f>IF(CavityStatus[[#This Row],[Actual Ship Date]]&lt;&gt;0,($E26-$D26)/7,0)</f>
        <v>0</v>
      </c>
      <c r="H26" s="205"/>
      <c r="I26" s="205"/>
      <c r="J26" s="205">
        <v>5750</v>
      </c>
      <c r="K26" s="205">
        <v>5750</v>
      </c>
      <c r="L26" s="206">
        <v>42685</v>
      </c>
      <c r="M26" s="207">
        <v>4283.18</v>
      </c>
      <c r="N26" s="205">
        <v>490</v>
      </c>
      <c r="O26" s="205">
        <f>RICavMilestoneVal</f>
        <v>40187.5</v>
      </c>
      <c r="P26" s="207">
        <f>RICavMilestoneVal+CavityStatus[[#This Row],[Incentive Earned]]+CavityStatus[[#This Row],[Recipe Modification (Mod 9)]]+N26</f>
        <v>50710.68</v>
      </c>
      <c r="Q26" s="206">
        <v>42675</v>
      </c>
    </row>
    <row r="27" spans="1:17" ht="18" customHeight="1" x14ac:dyDescent="0.25">
      <c r="A27" s="217">
        <v>24</v>
      </c>
      <c r="B27" s="202" t="s">
        <v>266</v>
      </c>
      <c r="C27" s="202" t="s">
        <v>401</v>
      </c>
      <c r="D27" s="204">
        <v>42676</v>
      </c>
      <c r="E27" s="204">
        <v>42676</v>
      </c>
      <c r="F27" s="203">
        <v>7</v>
      </c>
      <c r="G27" s="203">
        <f>IF(CavityStatus[[#This Row],[Actual Ship Date]]&lt;&gt;0,($E27-$D27)/7,0)</f>
        <v>0</v>
      </c>
      <c r="H27" s="205"/>
      <c r="I27" s="205"/>
      <c r="J27" s="205">
        <v>5750</v>
      </c>
      <c r="K27" s="205">
        <v>5750</v>
      </c>
      <c r="L27" s="206">
        <v>42685</v>
      </c>
      <c r="M27" s="207">
        <v>4283.18</v>
      </c>
      <c r="N27" s="205">
        <v>490</v>
      </c>
      <c r="O27" s="205">
        <f>RICavMilestoneVal</f>
        <v>40187.5</v>
      </c>
      <c r="P27" s="207">
        <f>RICavMilestoneVal+CavityStatus[[#This Row],[Incentive Earned]]+CavityStatus[[#This Row],[Recipe Modification (Mod 9)]]+N27</f>
        <v>50710.68</v>
      </c>
      <c r="Q27" s="206">
        <v>42675</v>
      </c>
    </row>
    <row r="28" spans="1:17" ht="18" customHeight="1" x14ac:dyDescent="0.25">
      <c r="A28" s="217">
        <v>25</v>
      </c>
      <c r="B28" s="202" t="s">
        <v>264</v>
      </c>
      <c r="C28" s="202" t="s">
        <v>401</v>
      </c>
      <c r="D28" s="204">
        <v>42676</v>
      </c>
      <c r="E28" s="204">
        <v>42688</v>
      </c>
      <c r="F28" s="203">
        <v>8</v>
      </c>
      <c r="G28" s="203">
        <f>IF(CavityStatus[[#This Row],[Actual Ship Date]]&lt;&gt;0,($E28-$D28)/7,0)</f>
        <v>1.7142857142857142</v>
      </c>
      <c r="H28" s="205"/>
      <c r="I28" s="205"/>
      <c r="J28" s="205">
        <v>5750</v>
      </c>
      <c r="K28" s="205">
        <v>5750</v>
      </c>
      <c r="L28" s="206">
        <v>42695</v>
      </c>
      <c r="M28" s="207">
        <v>4283.18</v>
      </c>
      <c r="N28" s="205">
        <v>490</v>
      </c>
      <c r="O28" s="205">
        <f>RICavMilestoneVal</f>
        <v>40187.5</v>
      </c>
      <c r="P28" s="207">
        <f>RICavMilestoneVal+CavityStatus[[#This Row],[Incentive Earned]]+CavityStatus[[#This Row],[Recipe Modification (Mod 9)]]+N28</f>
        <v>50710.68</v>
      </c>
      <c r="Q28" s="206">
        <v>42705</v>
      </c>
    </row>
    <row r="29" spans="1:17" ht="18" customHeight="1" x14ac:dyDescent="0.25">
      <c r="A29" s="217">
        <v>26</v>
      </c>
      <c r="B29" s="202" t="s">
        <v>265</v>
      </c>
      <c r="C29" s="202" t="s">
        <v>401</v>
      </c>
      <c r="D29" s="204">
        <v>42676</v>
      </c>
      <c r="E29" s="204">
        <v>42688</v>
      </c>
      <c r="F29" s="203">
        <v>8</v>
      </c>
      <c r="G29" s="203">
        <f>IF(CavityStatus[[#This Row],[Actual Ship Date]]&lt;&gt;0,($E29-$D29)/7,0)</f>
        <v>1.7142857142857142</v>
      </c>
      <c r="H29" s="205"/>
      <c r="I29" s="205"/>
      <c r="J29" s="205">
        <v>5750</v>
      </c>
      <c r="K29" s="205">
        <v>5750</v>
      </c>
      <c r="L29" s="206">
        <v>42695</v>
      </c>
      <c r="M29" s="207">
        <v>4283.18</v>
      </c>
      <c r="N29" s="205">
        <v>490</v>
      </c>
      <c r="O29" s="205">
        <f>RICavMilestoneVal</f>
        <v>40187.5</v>
      </c>
      <c r="P29" s="207">
        <f>RICavMilestoneVal+CavityStatus[[#This Row],[Incentive Earned]]+CavityStatus[[#This Row],[Recipe Modification (Mod 9)]]+N29</f>
        <v>50710.68</v>
      </c>
      <c r="Q29" s="206">
        <v>42705</v>
      </c>
    </row>
    <row r="30" spans="1:17" ht="18" customHeight="1" x14ac:dyDescent="0.25">
      <c r="A30" s="217">
        <v>27</v>
      </c>
      <c r="B30" s="202" t="s">
        <v>267</v>
      </c>
      <c r="C30" s="202" t="s">
        <v>401</v>
      </c>
      <c r="D30" s="204">
        <v>42676</v>
      </c>
      <c r="E30" s="204">
        <v>42688</v>
      </c>
      <c r="F30" s="203">
        <v>8</v>
      </c>
      <c r="G30" s="203">
        <f>IF(CavityStatus[[#This Row],[Actual Ship Date]]&lt;&gt;0,($E30-$D30)/7,0)</f>
        <v>1.7142857142857142</v>
      </c>
      <c r="H30" s="205"/>
      <c r="I30" s="205"/>
      <c r="J30" s="205">
        <v>5750</v>
      </c>
      <c r="K30" s="205">
        <v>5750</v>
      </c>
      <c r="L30" s="206">
        <v>42695</v>
      </c>
      <c r="M30" s="207">
        <v>4283.18</v>
      </c>
      <c r="N30" s="205">
        <v>490</v>
      </c>
      <c r="O30" s="205">
        <f>RICavMilestoneVal</f>
        <v>40187.5</v>
      </c>
      <c r="P30" s="207">
        <f>RICavMilestoneVal+CavityStatus[[#This Row],[Incentive Earned]]+CavityStatus[[#This Row],[Recipe Modification (Mod 9)]]+N30</f>
        <v>50710.68</v>
      </c>
      <c r="Q30" s="206">
        <v>42705</v>
      </c>
    </row>
    <row r="31" spans="1:17" ht="18" customHeight="1" x14ac:dyDescent="0.25">
      <c r="A31" s="217">
        <v>28</v>
      </c>
      <c r="B31" s="202" t="s">
        <v>270</v>
      </c>
      <c r="C31" s="202" t="s">
        <v>401</v>
      </c>
      <c r="D31" s="204">
        <v>42676</v>
      </c>
      <c r="E31" s="204">
        <v>42688</v>
      </c>
      <c r="F31" s="203">
        <v>8</v>
      </c>
      <c r="G31" s="203">
        <f>IF(CavityStatus[[#This Row],[Actual Ship Date]]&lt;&gt;0,($E31-$D31)/7,0)</f>
        <v>1.7142857142857142</v>
      </c>
      <c r="H31" s="205"/>
      <c r="I31" s="205"/>
      <c r="J31" s="205">
        <v>5750</v>
      </c>
      <c r="K31" s="205">
        <v>5750</v>
      </c>
      <c r="L31" s="206">
        <v>42695</v>
      </c>
      <c r="M31" s="207">
        <v>4283.18</v>
      </c>
      <c r="N31" s="205">
        <v>490</v>
      </c>
      <c r="O31" s="205">
        <f>RICavMilestoneVal</f>
        <v>40187.5</v>
      </c>
      <c r="P31" s="207">
        <f>RICavMilestoneVal+CavityStatus[[#This Row],[Incentive Earned]]+CavityStatus[[#This Row],[Recipe Modification (Mod 9)]]+N31</f>
        <v>50710.68</v>
      </c>
      <c r="Q31" s="206">
        <v>42705</v>
      </c>
    </row>
    <row r="32" spans="1:17" ht="18" customHeight="1" x14ac:dyDescent="0.25">
      <c r="A32" s="217">
        <v>29</v>
      </c>
      <c r="B32" s="202" t="s">
        <v>260</v>
      </c>
      <c r="C32" s="202" t="s">
        <v>401</v>
      </c>
      <c r="D32" s="204">
        <v>42704</v>
      </c>
      <c r="E32" s="204">
        <v>42690</v>
      </c>
      <c r="F32" s="203">
        <v>9</v>
      </c>
      <c r="G32" s="203">
        <f>IF(CavityStatus[[#This Row],[Actual Ship Date]]&lt;&gt;0,($E32-$D32)/7,0)</f>
        <v>-2</v>
      </c>
      <c r="H32" s="205"/>
      <c r="I32" s="205"/>
      <c r="J32" s="205">
        <v>5750</v>
      </c>
      <c r="K32" s="205">
        <v>5750</v>
      </c>
      <c r="L32" s="206">
        <v>42702</v>
      </c>
      <c r="M32" s="207">
        <v>4283.18</v>
      </c>
      <c r="N32" s="205">
        <v>490</v>
      </c>
      <c r="O32" s="205">
        <f>RICavMilestoneVal</f>
        <v>40187.5</v>
      </c>
      <c r="P32" s="207">
        <f>RICavMilestoneVal+CavityStatus[[#This Row],[Incentive Earned]]+CavityStatus[[#This Row],[Recipe Modification (Mod 9)]]+N32</f>
        <v>50710.68</v>
      </c>
      <c r="Q32" s="206">
        <v>42705</v>
      </c>
    </row>
    <row r="33" spans="1:17" ht="18" customHeight="1" x14ac:dyDescent="0.25">
      <c r="A33" s="217">
        <v>30</v>
      </c>
      <c r="B33" s="202" t="s">
        <v>269</v>
      </c>
      <c r="C33" s="202" t="s">
        <v>401</v>
      </c>
      <c r="D33" s="204">
        <v>42704</v>
      </c>
      <c r="E33" s="204">
        <v>42690</v>
      </c>
      <c r="F33" s="203">
        <v>9</v>
      </c>
      <c r="G33" s="203">
        <f>IF(CavityStatus[[#This Row],[Actual Ship Date]]&lt;&gt;0,($E33-$D33)/7,0)</f>
        <v>-2</v>
      </c>
      <c r="H33" s="205"/>
      <c r="I33" s="205"/>
      <c r="J33" s="205">
        <v>5750</v>
      </c>
      <c r="K33" s="205">
        <v>5750</v>
      </c>
      <c r="L33" s="206">
        <v>42702</v>
      </c>
      <c r="M33" s="207">
        <v>4283.18</v>
      </c>
      <c r="N33" s="205">
        <v>490</v>
      </c>
      <c r="O33" s="205">
        <f>RICavMilestoneVal</f>
        <v>40187.5</v>
      </c>
      <c r="P33" s="207">
        <f>RICavMilestoneVal+CavityStatus[[#This Row],[Incentive Earned]]+CavityStatus[[#This Row],[Recipe Modification (Mod 9)]]+N33</f>
        <v>50710.68</v>
      </c>
      <c r="Q33" s="206">
        <v>42705</v>
      </c>
    </row>
    <row r="34" spans="1:17" ht="18" customHeight="1" x14ac:dyDescent="0.25">
      <c r="A34" s="217">
        <v>31</v>
      </c>
      <c r="B34" s="202" t="s">
        <v>271</v>
      </c>
      <c r="C34" s="202" t="s">
        <v>401</v>
      </c>
      <c r="D34" s="204">
        <v>42704</v>
      </c>
      <c r="E34" s="204">
        <v>42690</v>
      </c>
      <c r="F34" s="203">
        <v>9</v>
      </c>
      <c r="G34" s="203">
        <f>IF(CavityStatus[[#This Row],[Actual Ship Date]]&lt;&gt;0,($E34-$D34)/7,0)</f>
        <v>-2</v>
      </c>
      <c r="H34" s="205"/>
      <c r="I34" s="205"/>
      <c r="J34" s="205">
        <v>5750</v>
      </c>
      <c r="K34" s="205">
        <v>5750</v>
      </c>
      <c r="L34" s="206">
        <v>42702</v>
      </c>
      <c r="M34" s="207">
        <v>4283.18</v>
      </c>
      <c r="N34" s="205">
        <v>490</v>
      </c>
      <c r="O34" s="205">
        <f>RICavMilestoneVal</f>
        <v>40187.5</v>
      </c>
      <c r="P34" s="207">
        <f>RICavMilestoneVal+CavityStatus[[#This Row],[Incentive Earned]]+CavityStatus[[#This Row],[Recipe Modification (Mod 9)]]+N34</f>
        <v>50710.68</v>
      </c>
      <c r="Q34" s="206">
        <v>42705</v>
      </c>
    </row>
    <row r="35" spans="1:17" ht="18" customHeight="1" x14ac:dyDescent="0.25">
      <c r="A35" s="217">
        <v>32</v>
      </c>
      <c r="B35" s="202" t="s">
        <v>273</v>
      </c>
      <c r="C35" s="202" t="s">
        <v>401</v>
      </c>
      <c r="D35" s="204">
        <v>42704</v>
      </c>
      <c r="E35" s="204">
        <v>42690</v>
      </c>
      <c r="F35" s="203">
        <v>9</v>
      </c>
      <c r="G35" s="203">
        <f>IF(CavityStatus[[#This Row],[Actual Ship Date]]&lt;&gt;0,($E35-$D35)/7,0)</f>
        <v>-2</v>
      </c>
      <c r="H35" s="205"/>
      <c r="I35" s="205"/>
      <c r="J35" s="205">
        <v>5750</v>
      </c>
      <c r="K35" s="205">
        <v>5750</v>
      </c>
      <c r="L35" s="206">
        <v>42702</v>
      </c>
      <c r="M35" s="207">
        <v>4283.18</v>
      </c>
      <c r="N35" s="205">
        <v>490</v>
      </c>
      <c r="O35" s="205">
        <f>RICavMilestoneVal</f>
        <v>40187.5</v>
      </c>
      <c r="P35" s="207">
        <f>RICavMilestoneVal+CavityStatus[[#This Row],[Incentive Earned]]+CavityStatus[[#This Row],[Recipe Modification (Mod 9)]]+N35</f>
        <v>50710.68</v>
      </c>
      <c r="Q35" s="206">
        <v>42705</v>
      </c>
    </row>
    <row r="36" spans="1:17" ht="18" customHeight="1" x14ac:dyDescent="0.25">
      <c r="A36" s="217">
        <v>33</v>
      </c>
      <c r="B36" s="202" t="s">
        <v>263</v>
      </c>
      <c r="C36" s="202" t="s">
        <v>401</v>
      </c>
      <c r="D36" s="204">
        <v>42704</v>
      </c>
      <c r="E36" s="204">
        <v>42698</v>
      </c>
      <c r="F36" s="203">
        <v>10</v>
      </c>
      <c r="G36" s="203">
        <f>IF(CavityStatus[[#This Row],[Actual Ship Date]]&lt;&gt;0,($E36-$D36)/7,0)</f>
        <v>-0.8571428571428571</v>
      </c>
      <c r="H36" s="205"/>
      <c r="I36" s="205"/>
      <c r="J36" s="205">
        <v>5750</v>
      </c>
      <c r="K36" s="205">
        <v>5750</v>
      </c>
      <c r="L36" s="206">
        <v>42705</v>
      </c>
      <c r="M36" s="207">
        <v>4283.18</v>
      </c>
      <c r="N36" s="205">
        <v>490</v>
      </c>
      <c r="O36" s="205">
        <f>RICavMilestoneVal</f>
        <v>40187.5</v>
      </c>
      <c r="P36" s="207">
        <f>RICavMilestoneVal+CavityStatus[[#This Row],[Incentive Earned]]+CavityStatus[[#This Row],[Recipe Modification (Mod 9)]]+N36</f>
        <v>50710.68</v>
      </c>
      <c r="Q36" s="206">
        <v>42705</v>
      </c>
    </row>
    <row r="37" spans="1:17" ht="18" customHeight="1" x14ac:dyDescent="0.25">
      <c r="A37" s="217">
        <v>34</v>
      </c>
      <c r="B37" s="202" t="s">
        <v>268</v>
      </c>
      <c r="C37" s="202" t="s">
        <v>401</v>
      </c>
      <c r="D37" s="204">
        <v>42704</v>
      </c>
      <c r="E37" s="204">
        <v>42698</v>
      </c>
      <c r="F37" s="203">
        <v>10</v>
      </c>
      <c r="G37" s="203">
        <f>IF(CavityStatus[[#This Row],[Actual Ship Date]]&lt;&gt;0,($E37-$D37)/7,0)</f>
        <v>-0.8571428571428571</v>
      </c>
      <c r="H37" s="205"/>
      <c r="I37" s="205"/>
      <c r="J37" s="205">
        <v>5750</v>
      </c>
      <c r="K37" s="205">
        <v>5750</v>
      </c>
      <c r="L37" s="206">
        <v>42705</v>
      </c>
      <c r="M37" s="207">
        <v>4283.18</v>
      </c>
      <c r="N37" s="205">
        <v>490</v>
      </c>
      <c r="O37" s="205">
        <f>RICavMilestoneVal</f>
        <v>40187.5</v>
      </c>
      <c r="P37" s="207">
        <f>RICavMilestoneVal+CavityStatus[[#This Row],[Incentive Earned]]+CavityStatus[[#This Row],[Recipe Modification (Mod 9)]]+N37</f>
        <v>50710.68</v>
      </c>
      <c r="Q37" s="206">
        <v>42705</v>
      </c>
    </row>
    <row r="38" spans="1:17" ht="18" customHeight="1" x14ac:dyDescent="0.25">
      <c r="A38" s="217">
        <v>35</v>
      </c>
      <c r="B38" s="202" t="s">
        <v>272</v>
      </c>
      <c r="C38" s="202" t="s">
        <v>401</v>
      </c>
      <c r="D38" s="204">
        <v>42704</v>
      </c>
      <c r="E38" s="204">
        <v>42698</v>
      </c>
      <c r="F38" s="203">
        <v>10</v>
      </c>
      <c r="G38" s="203">
        <f>IF(CavityStatus[[#This Row],[Actual Ship Date]]&lt;&gt;0,($E38-$D38)/7,0)</f>
        <v>-0.8571428571428571</v>
      </c>
      <c r="H38" s="205"/>
      <c r="I38" s="205"/>
      <c r="J38" s="205">
        <v>5750</v>
      </c>
      <c r="K38" s="205">
        <v>5750</v>
      </c>
      <c r="L38" s="206">
        <v>42705</v>
      </c>
      <c r="M38" s="207">
        <v>4283.18</v>
      </c>
      <c r="N38" s="205">
        <v>490</v>
      </c>
      <c r="O38" s="205">
        <f>RICavMilestoneVal</f>
        <v>40187.5</v>
      </c>
      <c r="P38" s="207">
        <f>RICavMilestoneVal+CavityStatus[[#This Row],[Incentive Earned]]+CavityStatus[[#This Row],[Recipe Modification (Mod 9)]]+N38</f>
        <v>50710.68</v>
      </c>
      <c r="Q38" s="206">
        <v>42705</v>
      </c>
    </row>
    <row r="39" spans="1:17" ht="18" customHeight="1" x14ac:dyDescent="0.25">
      <c r="A39" s="217">
        <v>36</v>
      </c>
      <c r="B39" s="202" t="s">
        <v>274</v>
      </c>
      <c r="C39" s="202" t="s">
        <v>401</v>
      </c>
      <c r="D39" s="204">
        <v>42704</v>
      </c>
      <c r="E39" s="204">
        <v>42698</v>
      </c>
      <c r="F39" s="203">
        <v>10</v>
      </c>
      <c r="G39" s="203">
        <f>IF(CavityStatus[[#This Row],[Actual Ship Date]]&lt;&gt;0,($E39-$D39)/7,0)</f>
        <v>-0.8571428571428571</v>
      </c>
      <c r="H39" s="205"/>
      <c r="I39" s="205"/>
      <c r="J39" s="205">
        <v>5750</v>
      </c>
      <c r="K39" s="205">
        <v>5750</v>
      </c>
      <c r="L39" s="206">
        <v>42705</v>
      </c>
      <c r="M39" s="207">
        <v>4283.18</v>
      </c>
      <c r="N39" s="205">
        <v>490</v>
      </c>
      <c r="O39" s="205">
        <f>RICavMilestoneVal</f>
        <v>40187.5</v>
      </c>
      <c r="P39" s="207">
        <f>RICavMilestoneVal+CavityStatus[[#This Row],[Incentive Earned]]+CavityStatus[[#This Row],[Recipe Modification (Mod 9)]]+N39</f>
        <v>50710.68</v>
      </c>
      <c r="Q39" s="206">
        <v>42705</v>
      </c>
    </row>
    <row r="40" spans="1:17" ht="18" customHeight="1" x14ac:dyDescent="0.25">
      <c r="A40" s="217">
        <v>37</v>
      </c>
      <c r="B40" s="202" t="s">
        <v>275</v>
      </c>
      <c r="C40" s="202" t="s">
        <v>401</v>
      </c>
      <c r="D40" s="204">
        <v>42704</v>
      </c>
      <c r="E40" s="204">
        <v>42702</v>
      </c>
      <c r="F40" s="203">
        <v>11</v>
      </c>
      <c r="G40" s="203">
        <f>IF(CavityStatus[[#This Row],[Actual Ship Date]]&lt;&gt;0,($E40-$D40)/7,0)</f>
        <v>-0.2857142857142857</v>
      </c>
      <c r="H40" s="205"/>
      <c r="I40" s="205"/>
      <c r="J40" s="205">
        <v>5750</v>
      </c>
      <c r="K40" s="205">
        <v>5750</v>
      </c>
      <c r="L40" s="206">
        <v>42709</v>
      </c>
      <c r="M40" s="207">
        <v>4283.18</v>
      </c>
      <c r="N40" s="205">
        <v>490</v>
      </c>
      <c r="O40" s="205">
        <f>RICavMilestoneVal</f>
        <v>40187.5</v>
      </c>
      <c r="P40" s="207">
        <f>RICavMilestoneVal+CavityStatus[[#This Row],[Incentive Earned]]+CavityStatus[[#This Row],[Recipe Modification (Mod 9)]]+N40</f>
        <v>50710.68</v>
      </c>
      <c r="Q40" s="206">
        <v>42705</v>
      </c>
    </row>
    <row r="41" spans="1:17" ht="18" customHeight="1" x14ac:dyDescent="0.25">
      <c r="A41" s="217">
        <v>38</v>
      </c>
      <c r="B41" s="202" t="s">
        <v>276</v>
      </c>
      <c r="C41" s="202" t="s">
        <v>401</v>
      </c>
      <c r="D41" s="204">
        <v>42704</v>
      </c>
      <c r="E41" s="204">
        <v>42702</v>
      </c>
      <c r="F41" s="203">
        <v>11</v>
      </c>
      <c r="G41" s="203">
        <f>IF(CavityStatus[[#This Row],[Actual Ship Date]]&lt;&gt;0,($E41-$D41)/7,0)</f>
        <v>-0.2857142857142857</v>
      </c>
      <c r="H41" s="205"/>
      <c r="I41" s="205"/>
      <c r="J41" s="205">
        <v>5750</v>
      </c>
      <c r="K41" s="205">
        <v>5750</v>
      </c>
      <c r="L41" s="206">
        <v>42709</v>
      </c>
      <c r="M41" s="207">
        <v>4283.18</v>
      </c>
      <c r="N41" s="205">
        <v>490</v>
      </c>
      <c r="O41" s="205">
        <f>RICavMilestoneVal</f>
        <v>40187.5</v>
      </c>
      <c r="P41" s="207">
        <f>RICavMilestoneVal+CavityStatus[[#This Row],[Incentive Earned]]+CavityStatus[[#This Row],[Recipe Modification (Mod 9)]]+N41</f>
        <v>50710.68</v>
      </c>
      <c r="Q41" s="206">
        <v>42705</v>
      </c>
    </row>
    <row r="42" spans="1:17" ht="18" customHeight="1" x14ac:dyDescent="0.25">
      <c r="A42" s="217">
        <v>39</v>
      </c>
      <c r="B42" s="202" t="s">
        <v>283</v>
      </c>
      <c r="C42" s="202" t="s">
        <v>401</v>
      </c>
      <c r="D42" s="204">
        <v>42704</v>
      </c>
      <c r="E42" s="204">
        <v>42702</v>
      </c>
      <c r="F42" s="203">
        <v>11</v>
      </c>
      <c r="G42" s="203">
        <f>IF(CavityStatus[[#This Row],[Actual Ship Date]]&lt;&gt;0,($E42-$D42)/7,0)</f>
        <v>-0.2857142857142857</v>
      </c>
      <c r="H42" s="205"/>
      <c r="I42" s="205"/>
      <c r="J42" s="205">
        <v>5750</v>
      </c>
      <c r="K42" s="205">
        <v>5750</v>
      </c>
      <c r="L42" s="206">
        <v>42709</v>
      </c>
      <c r="M42" s="207">
        <v>4283.18</v>
      </c>
      <c r="N42" s="205">
        <v>490</v>
      </c>
      <c r="O42" s="205">
        <f>RICavMilestoneVal</f>
        <v>40187.5</v>
      </c>
      <c r="P42" s="207">
        <f>RICavMilestoneVal+CavityStatus[[#This Row],[Incentive Earned]]+CavityStatus[[#This Row],[Recipe Modification (Mod 9)]]+N42</f>
        <v>50710.68</v>
      </c>
      <c r="Q42" s="206">
        <v>42705</v>
      </c>
    </row>
    <row r="43" spans="1:17" ht="18" customHeight="1" x14ac:dyDescent="0.25">
      <c r="A43" s="217">
        <v>40</v>
      </c>
      <c r="B43" s="202" t="s">
        <v>287</v>
      </c>
      <c r="C43" s="202" t="s">
        <v>401</v>
      </c>
      <c r="D43" s="204">
        <v>42704</v>
      </c>
      <c r="E43" s="204">
        <v>42702</v>
      </c>
      <c r="F43" s="203">
        <v>11</v>
      </c>
      <c r="G43" s="203">
        <f>IF(CavityStatus[[#This Row],[Actual Ship Date]]&lt;&gt;0,($E43-$D43)/7,0)</f>
        <v>-0.2857142857142857</v>
      </c>
      <c r="H43" s="205"/>
      <c r="I43" s="205"/>
      <c r="J43" s="205">
        <v>5750</v>
      </c>
      <c r="K43" s="205">
        <v>5750</v>
      </c>
      <c r="L43" s="206">
        <v>42709</v>
      </c>
      <c r="M43" s="207">
        <v>4283.18</v>
      </c>
      <c r="N43" s="205">
        <v>490</v>
      </c>
      <c r="O43" s="205">
        <f>RICavMilestoneVal</f>
        <v>40187.5</v>
      </c>
      <c r="P43" s="207">
        <f>RICavMilestoneVal+CavityStatus[[#This Row],[Incentive Earned]]+CavityStatus[[#This Row],[Recipe Modification (Mod 9)]]+N43</f>
        <v>50710.68</v>
      </c>
      <c r="Q43" s="206">
        <v>42705</v>
      </c>
    </row>
    <row r="44" spans="1:17" ht="18" customHeight="1" x14ac:dyDescent="0.25">
      <c r="A44" s="217">
        <v>41</v>
      </c>
      <c r="B44" s="202" t="s">
        <v>277</v>
      </c>
      <c r="C44" s="202" t="s">
        <v>401</v>
      </c>
      <c r="D44" s="204">
        <v>42732</v>
      </c>
      <c r="E44" s="204">
        <v>42704</v>
      </c>
      <c r="F44" s="203">
        <v>12</v>
      </c>
      <c r="G44" s="203">
        <f>IF(CavityStatus[[#This Row],[Actual Ship Date]]&lt;&gt;0,($E44-$D44)/7,0)</f>
        <v>-4</v>
      </c>
      <c r="H44" s="205"/>
      <c r="I44" s="205"/>
      <c r="J44" s="205">
        <v>2270</v>
      </c>
      <c r="K44" s="205">
        <v>2270</v>
      </c>
      <c r="L44" s="206">
        <v>42711</v>
      </c>
      <c r="M44" s="207">
        <v>4283.18</v>
      </c>
      <c r="N44" s="205">
        <v>490</v>
      </c>
      <c r="O44" s="205">
        <f>RICavMilestoneVal</f>
        <v>40187.5</v>
      </c>
      <c r="P44" s="207">
        <f>RICavMilestoneVal+CavityStatus[[#This Row],[Incentive Earned]]+CavityStatus[[#This Row],[Recipe Modification (Mod 9)]]+N44</f>
        <v>47230.68</v>
      </c>
      <c r="Q44" s="206">
        <v>42705</v>
      </c>
    </row>
    <row r="45" spans="1:17" ht="18" customHeight="1" x14ac:dyDescent="0.25">
      <c r="A45" s="217">
        <v>42</v>
      </c>
      <c r="B45" s="202" t="s">
        <v>278</v>
      </c>
      <c r="C45" s="202" t="s">
        <v>401</v>
      </c>
      <c r="D45" s="204">
        <v>42732</v>
      </c>
      <c r="E45" s="204">
        <v>42704</v>
      </c>
      <c r="F45" s="203">
        <v>12</v>
      </c>
      <c r="G45" s="203">
        <f>IF(CavityStatus[[#This Row],[Actual Ship Date]]&lt;&gt;0,($E45-$D45)/7,0)</f>
        <v>-4</v>
      </c>
      <c r="H45" s="205"/>
      <c r="I45" s="205"/>
      <c r="J45" s="205">
        <v>2270</v>
      </c>
      <c r="K45" s="205">
        <v>2270</v>
      </c>
      <c r="L45" s="206">
        <v>42711</v>
      </c>
      <c r="M45" s="207">
        <v>4283.18</v>
      </c>
      <c r="N45" s="205">
        <v>490</v>
      </c>
      <c r="O45" s="205">
        <f>RICavMilestoneVal</f>
        <v>40187.5</v>
      </c>
      <c r="P45" s="207">
        <f>RICavMilestoneVal+CavityStatus[[#This Row],[Incentive Earned]]+CavityStatus[[#This Row],[Recipe Modification (Mod 9)]]+N45</f>
        <v>47230.68</v>
      </c>
      <c r="Q45" s="206">
        <v>42705</v>
      </c>
    </row>
    <row r="46" spans="1:17" ht="18" customHeight="1" x14ac:dyDescent="0.25">
      <c r="A46" s="217">
        <v>43</v>
      </c>
      <c r="B46" s="202" t="s">
        <v>279</v>
      </c>
      <c r="C46" s="202" t="s">
        <v>401</v>
      </c>
      <c r="D46" s="204">
        <v>42732</v>
      </c>
      <c r="E46" s="204">
        <v>42704</v>
      </c>
      <c r="F46" s="203">
        <v>12</v>
      </c>
      <c r="G46" s="203">
        <f>IF(CavityStatus[[#This Row],[Actual Ship Date]]&lt;&gt;0,($E46-$D46)/7,0)</f>
        <v>-4</v>
      </c>
      <c r="H46" s="205"/>
      <c r="I46" s="205"/>
      <c r="J46" s="205">
        <v>2270</v>
      </c>
      <c r="K46" s="205">
        <v>2270</v>
      </c>
      <c r="L46" s="206">
        <v>42711</v>
      </c>
      <c r="M46" s="207">
        <v>4283.18</v>
      </c>
      <c r="N46" s="205">
        <v>490</v>
      </c>
      <c r="O46" s="205">
        <f>RICavMilestoneVal</f>
        <v>40187.5</v>
      </c>
      <c r="P46" s="207">
        <f>RICavMilestoneVal+CavityStatus[[#This Row],[Incentive Earned]]+CavityStatus[[#This Row],[Recipe Modification (Mod 9)]]+N46</f>
        <v>47230.68</v>
      </c>
      <c r="Q46" s="206">
        <v>42705</v>
      </c>
    </row>
    <row r="47" spans="1:17" ht="18" customHeight="1" x14ac:dyDescent="0.25">
      <c r="A47" s="217">
        <v>44</v>
      </c>
      <c r="B47" s="202" t="s">
        <v>280</v>
      </c>
      <c r="C47" s="202" t="s">
        <v>401</v>
      </c>
      <c r="D47" s="204">
        <v>42732</v>
      </c>
      <c r="E47" s="204">
        <v>42704</v>
      </c>
      <c r="F47" s="203">
        <v>12</v>
      </c>
      <c r="G47" s="203">
        <f>IF(CavityStatus[[#This Row],[Actual Ship Date]]&lt;&gt;0,($E47-$D47)/7,0)</f>
        <v>-4</v>
      </c>
      <c r="H47" s="205"/>
      <c r="I47" s="205"/>
      <c r="J47" s="205">
        <v>2270</v>
      </c>
      <c r="K47" s="205">
        <v>2270</v>
      </c>
      <c r="L47" s="206">
        <v>42711</v>
      </c>
      <c r="M47" s="207">
        <v>4283.18</v>
      </c>
      <c r="N47" s="205">
        <v>490</v>
      </c>
      <c r="O47" s="205">
        <f>RICavMilestoneVal</f>
        <v>40187.5</v>
      </c>
      <c r="P47" s="207">
        <f>RICavMilestoneVal+CavityStatus[[#This Row],[Incentive Earned]]+CavityStatus[[#This Row],[Recipe Modification (Mod 9)]]+N47</f>
        <v>47230.68</v>
      </c>
      <c r="Q47" s="206">
        <v>42705</v>
      </c>
    </row>
    <row r="48" spans="1:17" ht="18" customHeight="1" x14ac:dyDescent="0.25">
      <c r="A48" s="217">
        <v>45</v>
      </c>
      <c r="B48" s="202" t="s">
        <v>281</v>
      </c>
      <c r="C48" s="202" t="s">
        <v>401</v>
      </c>
      <c r="D48" s="204">
        <v>42732</v>
      </c>
      <c r="E48" s="204">
        <v>42720</v>
      </c>
      <c r="F48" s="203">
        <v>13</v>
      </c>
      <c r="G48" s="203">
        <f>IF(CavityStatus[[#This Row],[Actual Ship Date]]&lt;&gt;0,($E48-$D48)/7,0)</f>
        <v>-1.7142857142857142</v>
      </c>
      <c r="H48" s="205"/>
      <c r="I48" s="205"/>
      <c r="J48" s="205">
        <v>2270</v>
      </c>
      <c r="K48" s="205">
        <v>2270</v>
      </c>
      <c r="L48" s="206">
        <v>42746</v>
      </c>
      <c r="M48" s="207">
        <v>4283.18</v>
      </c>
      <c r="N48" s="205">
        <v>490</v>
      </c>
      <c r="O48" s="209">
        <f>RICavMilestoneVal</f>
        <v>40187.5</v>
      </c>
      <c r="P48" s="207">
        <f>RICavMilestoneVal+CavityStatus[[#This Row],[Incentive Earned]]+CavityStatus[[#This Row],[Recipe Modification (Mod 9)]]+N48</f>
        <v>47230.68</v>
      </c>
      <c r="Q48" s="206">
        <v>42788</v>
      </c>
    </row>
    <row r="49" spans="1:17" ht="18" customHeight="1" x14ac:dyDescent="0.25">
      <c r="A49" s="217">
        <v>46</v>
      </c>
      <c r="B49" s="202" t="s">
        <v>282</v>
      </c>
      <c r="C49" s="202" t="s">
        <v>401</v>
      </c>
      <c r="D49" s="204">
        <v>42732</v>
      </c>
      <c r="E49" s="204">
        <v>42720</v>
      </c>
      <c r="F49" s="203">
        <v>13</v>
      </c>
      <c r="G49" s="203">
        <f>IF(CavityStatus[[#This Row],[Actual Ship Date]]&lt;&gt;0,($E49-$D49)/7,0)</f>
        <v>-1.7142857142857142</v>
      </c>
      <c r="H49" s="205"/>
      <c r="I49" s="205"/>
      <c r="J49" s="205">
        <v>2270</v>
      </c>
      <c r="K49" s="205">
        <v>2270</v>
      </c>
      <c r="L49" s="206">
        <v>42746</v>
      </c>
      <c r="M49" s="207">
        <v>4283.18</v>
      </c>
      <c r="N49" s="205">
        <v>490</v>
      </c>
      <c r="O49" s="209">
        <f>RICavMilestoneVal</f>
        <v>40187.5</v>
      </c>
      <c r="P49" s="207">
        <f>RICavMilestoneVal+CavityStatus[[#This Row],[Incentive Earned]]+CavityStatus[[#This Row],[Recipe Modification (Mod 9)]]+N49</f>
        <v>47230.68</v>
      </c>
      <c r="Q49" s="206">
        <v>42788</v>
      </c>
    </row>
    <row r="50" spans="1:17" x14ac:dyDescent="0.25">
      <c r="A50" s="217">
        <v>47</v>
      </c>
      <c r="B50" s="202" t="s">
        <v>285</v>
      </c>
      <c r="C50" s="202" t="s">
        <v>401</v>
      </c>
      <c r="D50" s="204">
        <v>42732</v>
      </c>
      <c r="E50" s="204">
        <v>42720</v>
      </c>
      <c r="F50" s="203">
        <v>13</v>
      </c>
      <c r="G50" s="203">
        <f>IF(CavityStatus[[#This Row],[Actual Ship Date]]&lt;&gt;0,($E50-$D50)/7,0)</f>
        <v>-1.7142857142857142</v>
      </c>
      <c r="H50" s="205"/>
      <c r="I50" s="205"/>
      <c r="J50" s="205">
        <v>2270</v>
      </c>
      <c r="K50" s="205">
        <v>2270</v>
      </c>
      <c r="L50" s="206">
        <v>42746</v>
      </c>
      <c r="M50" s="207">
        <v>4283.18</v>
      </c>
      <c r="N50" s="205">
        <v>490</v>
      </c>
      <c r="O50" s="209">
        <f>RICavMilestoneVal</f>
        <v>40187.5</v>
      </c>
      <c r="P50" s="207">
        <f>RICavMilestoneVal+CavityStatus[[#This Row],[Incentive Earned]]+CavityStatus[[#This Row],[Recipe Modification (Mod 9)]]+N50</f>
        <v>47230.68</v>
      </c>
      <c r="Q50" s="206">
        <v>42788</v>
      </c>
    </row>
    <row r="51" spans="1:17" x14ac:dyDescent="0.25">
      <c r="A51" s="217">
        <v>48</v>
      </c>
      <c r="B51" s="202" t="s">
        <v>286</v>
      </c>
      <c r="C51" s="202" t="s">
        <v>401</v>
      </c>
      <c r="D51" s="204">
        <v>42732</v>
      </c>
      <c r="E51" s="204">
        <v>42720</v>
      </c>
      <c r="F51" s="203">
        <v>13</v>
      </c>
      <c r="G51" s="203">
        <f>IF(CavityStatus[[#This Row],[Actual Ship Date]]&lt;&gt;0,($E51-$D51)/7,0)</f>
        <v>-1.7142857142857142</v>
      </c>
      <c r="H51" s="205"/>
      <c r="I51" s="205"/>
      <c r="J51" s="205">
        <v>2270</v>
      </c>
      <c r="K51" s="205">
        <v>2270</v>
      </c>
      <c r="L51" s="206">
        <v>42746</v>
      </c>
      <c r="M51" s="207">
        <v>4283.18</v>
      </c>
      <c r="N51" s="205">
        <v>490</v>
      </c>
      <c r="O51" s="209">
        <f>RICavMilestoneVal</f>
        <v>40187.5</v>
      </c>
      <c r="P51" s="207">
        <f>RICavMilestoneVal+CavityStatus[[#This Row],[Incentive Earned]]+CavityStatus[[#This Row],[Recipe Modification (Mod 9)]]+N51</f>
        <v>47230.68</v>
      </c>
      <c r="Q51" s="206">
        <v>42788</v>
      </c>
    </row>
    <row r="52" spans="1:17" x14ac:dyDescent="0.25">
      <c r="A52" s="217">
        <v>49</v>
      </c>
      <c r="B52" s="202" t="s">
        <v>284</v>
      </c>
      <c r="C52" s="202" t="s">
        <v>401</v>
      </c>
      <c r="D52" s="204">
        <v>42732</v>
      </c>
      <c r="E52" s="204">
        <v>42746</v>
      </c>
      <c r="F52" s="203">
        <v>14</v>
      </c>
      <c r="G52" s="203">
        <f>IF(CavityStatus[[#This Row],[Actual Ship Date]]&lt;&gt;0,($E52-$D52)/7,0)</f>
        <v>2</v>
      </c>
      <c r="H52" s="205"/>
      <c r="I52" s="205"/>
      <c r="J52" s="205">
        <v>2270</v>
      </c>
      <c r="K52" s="205">
        <v>2270</v>
      </c>
      <c r="L52" s="206">
        <v>42754</v>
      </c>
      <c r="M52" s="207">
        <v>4283.18</v>
      </c>
      <c r="N52" s="205">
        <v>490</v>
      </c>
      <c r="O52" s="209">
        <f>RICavMilestoneVal</f>
        <v>40187.5</v>
      </c>
      <c r="P52" s="207">
        <f>RICavMilestoneVal+CavityStatus[[#This Row],[Incentive Earned]]+CavityStatus[[#This Row],[Recipe Modification (Mod 9)]]+N52</f>
        <v>47230.68</v>
      </c>
      <c r="Q52" s="206">
        <v>42788</v>
      </c>
    </row>
    <row r="53" spans="1:17" x14ac:dyDescent="0.25">
      <c r="A53" s="217">
        <v>50</v>
      </c>
      <c r="B53" s="202" t="s">
        <v>288</v>
      </c>
      <c r="C53" s="202" t="s">
        <v>401</v>
      </c>
      <c r="D53" s="204">
        <v>42732</v>
      </c>
      <c r="E53" s="204">
        <v>42746</v>
      </c>
      <c r="F53" s="203">
        <v>14</v>
      </c>
      <c r="G53" s="203">
        <f>IF(CavityStatus[[#This Row],[Actual Ship Date]]&lt;&gt;0,($E53-$D53)/7,0)</f>
        <v>2</v>
      </c>
      <c r="H53" s="205"/>
      <c r="I53" s="205"/>
      <c r="J53" s="205">
        <v>2270</v>
      </c>
      <c r="K53" s="205">
        <v>2270</v>
      </c>
      <c r="L53" s="206">
        <v>42754</v>
      </c>
      <c r="M53" s="207">
        <v>4283.18</v>
      </c>
      <c r="N53" s="205">
        <v>490</v>
      </c>
      <c r="O53" s="209">
        <f>RICavMilestoneVal</f>
        <v>40187.5</v>
      </c>
      <c r="P53" s="207">
        <f>RICavMilestoneVal+CavityStatus[[#This Row],[Incentive Earned]]+CavityStatus[[#This Row],[Recipe Modification (Mod 9)]]+N53</f>
        <v>47230.68</v>
      </c>
      <c r="Q53" s="206">
        <v>42788</v>
      </c>
    </row>
    <row r="54" spans="1:17" x14ac:dyDescent="0.25">
      <c r="A54" s="217">
        <v>51</v>
      </c>
      <c r="B54" s="202" t="s">
        <v>289</v>
      </c>
      <c r="C54" s="202" t="s">
        <v>401</v>
      </c>
      <c r="D54" s="204">
        <v>42732</v>
      </c>
      <c r="E54" s="204">
        <v>42746</v>
      </c>
      <c r="F54" s="203">
        <v>14</v>
      </c>
      <c r="G54" s="203">
        <f>IF(CavityStatus[[#This Row],[Actual Ship Date]]&lt;&gt;0,($E54-$D54)/7,0)</f>
        <v>2</v>
      </c>
      <c r="H54" s="205"/>
      <c r="I54" s="205"/>
      <c r="J54" s="205">
        <v>2270</v>
      </c>
      <c r="K54" s="205">
        <v>2270</v>
      </c>
      <c r="L54" s="206">
        <v>42754</v>
      </c>
      <c r="M54" s="207">
        <v>4283.18</v>
      </c>
      <c r="N54" s="205">
        <v>490</v>
      </c>
      <c r="O54" s="209">
        <f>RICavMilestoneVal</f>
        <v>40187.5</v>
      </c>
      <c r="P54" s="207">
        <f>RICavMilestoneVal+CavityStatus[[#This Row],[Incentive Earned]]+CavityStatus[[#This Row],[Recipe Modification (Mod 9)]]+N54</f>
        <v>47230.68</v>
      </c>
      <c r="Q54" s="206">
        <v>42788</v>
      </c>
    </row>
    <row r="55" spans="1:17" x14ac:dyDescent="0.25">
      <c r="A55" s="217">
        <v>52</v>
      </c>
      <c r="B55" s="202" t="s">
        <v>290</v>
      </c>
      <c r="C55" s="202" t="s">
        <v>401</v>
      </c>
      <c r="D55" s="204">
        <v>42732</v>
      </c>
      <c r="E55" s="204">
        <v>42746</v>
      </c>
      <c r="F55" s="203">
        <v>14</v>
      </c>
      <c r="G55" s="203">
        <f>IF(CavityStatus[[#This Row],[Actual Ship Date]]&lt;&gt;0,($E55-$D55)/7,0)</f>
        <v>2</v>
      </c>
      <c r="H55" s="205"/>
      <c r="I55" s="205"/>
      <c r="J55" s="205">
        <v>2270</v>
      </c>
      <c r="K55" s="205">
        <v>2270</v>
      </c>
      <c r="L55" s="206">
        <v>42754</v>
      </c>
      <c r="M55" s="207">
        <v>4283.18</v>
      </c>
      <c r="N55" s="207">
        <v>490</v>
      </c>
      <c r="O55" s="209">
        <f>RICavMilestoneVal</f>
        <v>40187.5</v>
      </c>
      <c r="P55" s="207">
        <f>RICavMilestoneVal+CavityStatus[[#This Row],[Incentive Earned]]+CavityStatus[[#This Row],[Recipe Modification (Mod 9)]]+N55</f>
        <v>47230.68</v>
      </c>
      <c r="Q55" s="206">
        <v>42788</v>
      </c>
    </row>
    <row r="56" spans="1:17" x14ac:dyDescent="0.25">
      <c r="A56" s="217">
        <v>53</v>
      </c>
      <c r="B56" s="202" t="s">
        <v>292</v>
      </c>
      <c r="C56" s="202" t="s">
        <v>401</v>
      </c>
      <c r="D56" s="204">
        <v>42760</v>
      </c>
      <c r="E56" s="204">
        <v>42782</v>
      </c>
      <c r="F56" s="203">
        <v>15</v>
      </c>
      <c r="G56" s="203">
        <f>IF(CavityStatus[[#This Row],[Actual Ship Date]]&lt;&gt;0,($E56-$D56)/7,0)</f>
        <v>3.1428571428571428</v>
      </c>
      <c r="H56" s="205"/>
      <c r="I56" s="205"/>
      <c r="J56" s="205">
        <v>1000</v>
      </c>
      <c r="K56" s="205">
        <v>1000</v>
      </c>
      <c r="L56" s="206">
        <v>42783</v>
      </c>
      <c r="M56" s="207">
        <v>4283.18</v>
      </c>
      <c r="N56" s="207">
        <v>490</v>
      </c>
      <c r="O56" s="207">
        <f>RICavMilestoneVal</f>
        <v>40187.5</v>
      </c>
      <c r="P56" s="207">
        <f>RICavMilestoneVal+CavityStatus[[#This Row],[Incentive Earned]]+CavityStatus[[#This Row],[Recipe Modification (Mod 9)]]+N56</f>
        <v>45960.68</v>
      </c>
      <c r="Q56" s="206">
        <v>42814</v>
      </c>
    </row>
    <row r="57" spans="1:17" x14ac:dyDescent="0.25">
      <c r="A57" s="217">
        <v>54</v>
      </c>
      <c r="B57" s="202" t="s">
        <v>293</v>
      </c>
      <c r="C57" s="202" t="s">
        <v>401</v>
      </c>
      <c r="D57" s="204">
        <v>42760</v>
      </c>
      <c r="E57" s="204">
        <v>42782</v>
      </c>
      <c r="F57" s="203">
        <v>15</v>
      </c>
      <c r="G57" s="203">
        <f>IF(CavityStatus[[#This Row],[Actual Ship Date]]&lt;&gt;0,($E57-$D57)/7,0)</f>
        <v>3.1428571428571428</v>
      </c>
      <c r="H57" s="205"/>
      <c r="I57" s="205"/>
      <c r="J57" s="205">
        <v>1000</v>
      </c>
      <c r="K57" s="205">
        <v>1000</v>
      </c>
      <c r="L57" s="206">
        <v>42783</v>
      </c>
      <c r="M57" s="207">
        <v>4283.18</v>
      </c>
      <c r="N57" s="207">
        <v>490</v>
      </c>
      <c r="O57" s="207">
        <f>RICavMilestoneVal</f>
        <v>40187.5</v>
      </c>
      <c r="P57" s="207">
        <f>RICavMilestoneVal+CavityStatus[[#This Row],[Incentive Earned]]+CavityStatus[[#This Row],[Recipe Modification (Mod 9)]]+N57</f>
        <v>45960.68</v>
      </c>
      <c r="Q57" s="206">
        <v>42814</v>
      </c>
    </row>
    <row r="58" spans="1:17" x14ac:dyDescent="0.25">
      <c r="A58" s="217">
        <v>55</v>
      </c>
      <c r="B58" s="202" t="s">
        <v>302</v>
      </c>
      <c r="C58" s="202" t="s">
        <v>401</v>
      </c>
      <c r="D58" s="204">
        <v>42760</v>
      </c>
      <c r="E58" s="204">
        <v>42793</v>
      </c>
      <c r="F58" s="203">
        <v>16</v>
      </c>
      <c r="G58" s="203">
        <f>IF(CavityStatus[[#This Row],[Actual Ship Date]]&lt;&gt;0,($E58-$D58)/7,0)</f>
        <v>4.7142857142857144</v>
      </c>
      <c r="H58" s="205"/>
      <c r="I58" s="205"/>
      <c r="J58" s="205">
        <v>1000</v>
      </c>
      <c r="K58" s="205">
        <v>1000</v>
      </c>
      <c r="L58" s="206">
        <v>42793</v>
      </c>
      <c r="M58" s="207">
        <v>4283.18</v>
      </c>
      <c r="N58" s="207">
        <v>490</v>
      </c>
      <c r="O58" s="207">
        <f>RICavMilestoneVal</f>
        <v>40187.5</v>
      </c>
      <c r="P58" s="207">
        <f>RICavMilestoneVal+CavityStatus[[#This Row],[Incentive Earned]]+CavityStatus[[#This Row],[Recipe Modification (Mod 9)]]+N58</f>
        <v>45960.68</v>
      </c>
      <c r="Q58" s="206">
        <v>42814</v>
      </c>
    </row>
    <row r="59" spans="1:17" x14ac:dyDescent="0.25">
      <c r="A59" s="217">
        <v>56</v>
      </c>
      <c r="B59" s="202" t="s">
        <v>304</v>
      </c>
      <c r="C59" s="202" t="s">
        <v>401</v>
      </c>
      <c r="D59" s="204">
        <v>42760</v>
      </c>
      <c r="E59" s="204">
        <v>42793</v>
      </c>
      <c r="F59" s="203">
        <v>16</v>
      </c>
      <c r="G59" s="203">
        <f>IF(CavityStatus[[#This Row],[Actual Ship Date]]&lt;&gt;0,($E59-$D59)/7,0)</f>
        <v>4.7142857142857144</v>
      </c>
      <c r="H59" s="205"/>
      <c r="I59" s="205"/>
      <c r="J59" s="205">
        <v>1000</v>
      </c>
      <c r="K59" s="205">
        <v>1000</v>
      </c>
      <c r="L59" s="206">
        <v>42793</v>
      </c>
      <c r="M59" s="207">
        <v>4283.18</v>
      </c>
      <c r="N59" s="207">
        <v>490</v>
      </c>
      <c r="O59" s="207">
        <f>RICavMilestoneVal</f>
        <v>40187.5</v>
      </c>
      <c r="P59" s="207">
        <f>RICavMilestoneVal+CavityStatus[[#This Row],[Incentive Earned]]+CavityStatus[[#This Row],[Recipe Modification (Mod 9)]]+N59</f>
        <v>45960.68</v>
      </c>
      <c r="Q59" s="206">
        <v>42814</v>
      </c>
    </row>
    <row r="60" spans="1:17" x14ac:dyDescent="0.25">
      <c r="A60" s="217">
        <v>57</v>
      </c>
      <c r="B60" s="202" t="s">
        <v>305</v>
      </c>
      <c r="C60" s="202" t="s">
        <v>401</v>
      </c>
      <c r="D60" s="204">
        <v>42760</v>
      </c>
      <c r="E60" s="204">
        <v>42793</v>
      </c>
      <c r="F60" s="203">
        <v>16</v>
      </c>
      <c r="G60" s="203">
        <f>IF(CavityStatus[[#This Row],[Actual Ship Date]]&lt;&gt;0,($E60-$D60)/7,0)</f>
        <v>4.7142857142857144</v>
      </c>
      <c r="H60" s="205"/>
      <c r="I60" s="205"/>
      <c r="J60" s="205">
        <v>1000</v>
      </c>
      <c r="K60" s="205">
        <v>1000</v>
      </c>
      <c r="L60" s="206">
        <v>42793</v>
      </c>
      <c r="M60" s="207">
        <v>4283.18</v>
      </c>
      <c r="N60" s="207">
        <v>490</v>
      </c>
      <c r="O60" s="207">
        <f>RICavMilestoneVal</f>
        <v>40187.5</v>
      </c>
      <c r="P60" s="207">
        <f>RICavMilestoneVal+CavityStatus[[#This Row],[Incentive Earned]]+CavityStatus[[#This Row],[Recipe Modification (Mod 9)]]+N60</f>
        <v>45960.68</v>
      </c>
      <c r="Q60" s="206">
        <v>42814</v>
      </c>
    </row>
    <row r="61" spans="1:17" x14ac:dyDescent="0.25">
      <c r="A61" s="217">
        <v>58</v>
      </c>
      <c r="B61" s="202" t="s">
        <v>306</v>
      </c>
      <c r="C61" s="202" t="s">
        <v>401</v>
      </c>
      <c r="D61" s="204">
        <v>42760</v>
      </c>
      <c r="E61" s="204">
        <v>42793</v>
      </c>
      <c r="F61" s="203">
        <v>16</v>
      </c>
      <c r="G61" s="203">
        <f>IF(CavityStatus[[#This Row],[Actual Ship Date]]&lt;&gt;0,($E61-$D61)/7,0)</f>
        <v>4.7142857142857144</v>
      </c>
      <c r="H61" s="205"/>
      <c r="I61" s="205"/>
      <c r="J61" s="205">
        <v>1000</v>
      </c>
      <c r="K61" s="205">
        <v>1000</v>
      </c>
      <c r="L61" s="206">
        <v>42793</v>
      </c>
      <c r="M61" s="207">
        <v>4283.18</v>
      </c>
      <c r="N61" s="207">
        <v>490</v>
      </c>
      <c r="O61" s="207">
        <f>RICavMilestoneVal</f>
        <v>40187.5</v>
      </c>
      <c r="P61" s="207">
        <f>RICavMilestoneVal+CavityStatus[[#This Row],[Incentive Earned]]+CavityStatus[[#This Row],[Recipe Modification (Mod 9)]]+N61</f>
        <v>45960.68</v>
      </c>
      <c r="Q61" s="206">
        <v>42814</v>
      </c>
    </row>
    <row r="62" spans="1:17" x14ac:dyDescent="0.25">
      <c r="A62" s="217">
        <v>59</v>
      </c>
      <c r="B62" s="202" t="s">
        <v>303</v>
      </c>
      <c r="C62" s="202" t="s">
        <v>401</v>
      </c>
      <c r="D62" s="204">
        <v>42760</v>
      </c>
      <c r="E62" s="204">
        <v>42803</v>
      </c>
      <c r="F62" s="203">
        <v>17</v>
      </c>
      <c r="G62" s="203">
        <f>IF(CavityStatus[[#This Row],[Actual Ship Date]]&lt;&gt;0,($E62-$D62)/7,0)</f>
        <v>6.1428571428571432</v>
      </c>
      <c r="H62" s="205"/>
      <c r="I62" s="205"/>
      <c r="J62" s="205">
        <v>1000</v>
      </c>
      <c r="K62" s="205">
        <v>1000</v>
      </c>
      <c r="L62" s="206">
        <v>42781</v>
      </c>
      <c r="M62" s="207">
        <v>4283.18</v>
      </c>
      <c r="N62" s="207">
        <v>490</v>
      </c>
      <c r="O62" s="207">
        <f>RICavMilestoneVal</f>
        <v>40187.5</v>
      </c>
      <c r="P62" s="207">
        <f>RICavMilestoneVal+CavityStatus[[#This Row],[Incentive Earned]]+CavityStatus[[#This Row],[Recipe Modification (Mod 9)]]+N62</f>
        <v>45960.68</v>
      </c>
      <c r="Q62" s="206">
        <v>42846</v>
      </c>
    </row>
    <row r="63" spans="1:17" x14ac:dyDescent="0.25">
      <c r="A63" s="217">
        <v>60</v>
      </c>
      <c r="B63" s="202" t="s">
        <v>307</v>
      </c>
      <c r="C63" s="202" t="s">
        <v>401</v>
      </c>
      <c r="D63" s="204">
        <v>42760</v>
      </c>
      <c r="E63" s="204">
        <v>42803</v>
      </c>
      <c r="F63" s="203">
        <v>17</v>
      </c>
      <c r="G63" s="203">
        <f>IF(CavityStatus[[#This Row],[Actual Ship Date]]&lt;&gt;0,($E63-$D63)/7,0)</f>
        <v>6.1428571428571432</v>
      </c>
      <c r="H63" s="205"/>
      <c r="I63" s="205"/>
      <c r="J63" s="205">
        <v>1000</v>
      </c>
      <c r="K63" s="205">
        <v>1000</v>
      </c>
      <c r="L63" s="206">
        <v>42781</v>
      </c>
      <c r="M63" s="207">
        <v>4283.18</v>
      </c>
      <c r="N63" s="207">
        <v>490</v>
      </c>
      <c r="O63" s="207">
        <f>RICavMilestoneVal</f>
        <v>40187.5</v>
      </c>
      <c r="P63" s="207">
        <f>RICavMilestoneVal+CavityStatus[[#This Row],[Incentive Earned]]+CavityStatus[[#This Row],[Recipe Modification (Mod 9)]]+N63</f>
        <v>45960.68</v>
      </c>
      <c r="Q63" s="206">
        <v>42846</v>
      </c>
    </row>
    <row r="64" spans="1:17" x14ac:dyDescent="0.25">
      <c r="A64" s="217">
        <v>61</v>
      </c>
      <c r="B64" s="202" t="s">
        <v>309</v>
      </c>
      <c r="C64" s="202" t="s">
        <v>401</v>
      </c>
      <c r="D64" s="204">
        <v>42760</v>
      </c>
      <c r="E64" s="204">
        <v>42803</v>
      </c>
      <c r="F64" s="203">
        <v>17</v>
      </c>
      <c r="G64" s="203">
        <f>IF(CavityStatus[[#This Row],[Actual Ship Date]]&lt;&gt;0,($E64-$D64)/7,0)</f>
        <v>6.1428571428571432</v>
      </c>
      <c r="H64" s="205"/>
      <c r="I64" s="205"/>
      <c r="J64" s="205">
        <v>1000</v>
      </c>
      <c r="K64" s="205">
        <v>1000</v>
      </c>
      <c r="L64" s="206">
        <v>42781</v>
      </c>
      <c r="M64" s="207">
        <v>4283.18</v>
      </c>
      <c r="N64" s="207">
        <v>490</v>
      </c>
      <c r="O64" s="207">
        <f>RICavMilestoneVal</f>
        <v>40187.5</v>
      </c>
      <c r="P64" s="207">
        <f>RICavMilestoneVal+CavityStatus[[#This Row],[Incentive Earned]]+CavityStatus[[#This Row],[Recipe Modification (Mod 9)]]+N64</f>
        <v>45960.68</v>
      </c>
      <c r="Q64" s="206">
        <v>42846</v>
      </c>
    </row>
    <row r="65" spans="1:17" x14ac:dyDescent="0.25">
      <c r="A65" s="217">
        <v>62</v>
      </c>
      <c r="B65" s="202" t="s">
        <v>308</v>
      </c>
      <c r="C65" s="202" t="s">
        <v>401</v>
      </c>
      <c r="D65" s="204">
        <v>42760</v>
      </c>
      <c r="E65" s="204">
        <v>42816</v>
      </c>
      <c r="F65" s="203">
        <v>18</v>
      </c>
      <c r="G65" s="203">
        <f>IF(CavityStatus[[#This Row],[Actual Ship Date]]&lt;&gt;0,($E65-$D65)/7,0)</f>
        <v>8</v>
      </c>
      <c r="H65" s="205"/>
      <c r="I65" s="205"/>
      <c r="J65" s="205">
        <v>1000</v>
      </c>
      <c r="K65" s="205">
        <v>1000</v>
      </c>
      <c r="L65" s="206">
        <v>42829</v>
      </c>
      <c r="M65" s="207">
        <v>4283.18</v>
      </c>
      <c r="N65" s="207">
        <v>490</v>
      </c>
      <c r="O65" s="207">
        <f>RICavMilestoneVal</f>
        <v>40187.5</v>
      </c>
      <c r="P65" s="207">
        <f>RICavMilestoneVal+CavityStatus[[#This Row],[Incentive Earned]]+CavityStatus[[#This Row],[Recipe Modification (Mod 9)]]+N65</f>
        <v>45960.68</v>
      </c>
      <c r="Q65" s="206">
        <v>42846</v>
      </c>
    </row>
    <row r="66" spans="1:17" x14ac:dyDescent="0.25">
      <c r="A66" s="217">
        <v>63</v>
      </c>
      <c r="B66" s="202" t="s">
        <v>310</v>
      </c>
      <c r="C66" s="202" t="s">
        <v>401</v>
      </c>
      <c r="D66" s="204">
        <v>42760</v>
      </c>
      <c r="E66" s="204">
        <v>42816</v>
      </c>
      <c r="F66" s="203">
        <v>18</v>
      </c>
      <c r="G66" s="203">
        <f>IF(CavityStatus[[#This Row],[Actual Ship Date]]&lt;&gt;0,($E66-$D66)/7,0)</f>
        <v>8</v>
      </c>
      <c r="H66" s="205"/>
      <c r="I66" s="205"/>
      <c r="J66" s="205">
        <v>1000</v>
      </c>
      <c r="K66" s="205">
        <v>1000</v>
      </c>
      <c r="L66" s="206">
        <v>42829</v>
      </c>
      <c r="M66" s="207">
        <v>4283.18</v>
      </c>
      <c r="N66" s="207">
        <v>490</v>
      </c>
      <c r="O66" s="207">
        <f>RICavMilestoneVal</f>
        <v>40187.5</v>
      </c>
      <c r="P66" s="207">
        <f>RICavMilestoneVal+CavityStatus[[#This Row],[Incentive Earned]]+CavityStatus[[#This Row],[Recipe Modification (Mod 9)]]+N66</f>
        <v>45960.68</v>
      </c>
      <c r="Q66" s="206">
        <v>42846</v>
      </c>
    </row>
    <row r="67" spans="1:17" x14ac:dyDescent="0.25">
      <c r="A67" s="217">
        <v>64</v>
      </c>
      <c r="B67" s="202" t="s">
        <v>311</v>
      </c>
      <c r="C67" s="202" t="s">
        <v>401</v>
      </c>
      <c r="D67" s="204">
        <v>42760</v>
      </c>
      <c r="E67" s="204">
        <v>42816</v>
      </c>
      <c r="F67" s="203">
        <v>18</v>
      </c>
      <c r="G67" s="203">
        <f>IF(CavityStatus[[#This Row],[Actual Ship Date]]&lt;&gt;0,($E67-$D67)/7,0)</f>
        <v>8</v>
      </c>
      <c r="H67" s="205"/>
      <c r="I67" s="205"/>
      <c r="J67" s="205">
        <v>1000</v>
      </c>
      <c r="K67" s="205">
        <v>1000</v>
      </c>
      <c r="L67" s="206">
        <v>42829</v>
      </c>
      <c r="M67" s="207">
        <v>4283.18</v>
      </c>
      <c r="N67" s="207">
        <v>490</v>
      </c>
      <c r="O67" s="207">
        <f>RICavMilestoneVal</f>
        <v>40187.5</v>
      </c>
      <c r="P67" s="207">
        <f>RICavMilestoneVal+CavityStatus[[#This Row],[Incentive Earned]]+CavityStatus[[#This Row],[Recipe Modification (Mod 9)]]+N67</f>
        <v>45960.68</v>
      </c>
      <c r="Q67" s="206">
        <v>42846</v>
      </c>
    </row>
    <row r="68" spans="1:17" x14ac:dyDescent="0.25">
      <c r="A68" s="217">
        <v>65</v>
      </c>
      <c r="B68" s="202" t="s">
        <v>313</v>
      </c>
      <c r="C68" s="202" t="s">
        <v>401</v>
      </c>
      <c r="D68" s="204">
        <v>42788</v>
      </c>
      <c r="E68" s="204">
        <v>42816</v>
      </c>
      <c r="F68" s="203">
        <v>18</v>
      </c>
      <c r="G68" s="203">
        <f>IF(CavityStatus[[#This Row],[Actual Ship Date]]&lt;&gt;0,($E68-$D68)/7,0)</f>
        <v>4</v>
      </c>
      <c r="H68" s="205"/>
      <c r="I68" s="205"/>
      <c r="J68" s="205">
        <v>1000</v>
      </c>
      <c r="K68" s="205">
        <v>1000</v>
      </c>
      <c r="L68" s="206">
        <v>42829</v>
      </c>
      <c r="M68" s="207">
        <v>4283.18</v>
      </c>
      <c r="N68" s="207">
        <v>490</v>
      </c>
      <c r="O68" s="207">
        <f>RICavMilestoneVal</f>
        <v>40187.5</v>
      </c>
      <c r="P68" s="207">
        <f>RICavMilestoneVal+CavityStatus[[#This Row],[Incentive Earned]]+CavityStatus[[#This Row],[Recipe Modification (Mod 9)]]+N68</f>
        <v>45960.68</v>
      </c>
      <c r="Q68" s="206">
        <v>42846</v>
      </c>
    </row>
    <row r="69" spans="1:17" x14ac:dyDescent="0.25">
      <c r="A69" s="217">
        <v>66</v>
      </c>
      <c r="B69" s="202" t="s">
        <v>312</v>
      </c>
      <c r="C69" s="202" t="s">
        <v>401</v>
      </c>
      <c r="D69" s="204">
        <v>42788</v>
      </c>
      <c r="E69" s="204">
        <v>42818</v>
      </c>
      <c r="F69" s="203">
        <v>19</v>
      </c>
      <c r="G69" s="203">
        <f>IF(CavityStatus[[#This Row],[Actual Ship Date]]&lt;&gt;0,($E69-$D69)/7,0)</f>
        <v>4.2857142857142856</v>
      </c>
      <c r="H69" s="205"/>
      <c r="I69" s="205"/>
      <c r="J69" s="205">
        <v>1000</v>
      </c>
      <c r="K69" s="205">
        <v>1000</v>
      </c>
      <c r="L69" s="206">
        <v>42832</v>
      </c>
      <c r="M69" s="207">
        <v>4283.18</v>
      </c>
      <c r="N69" s="207">
        <v>490</v>
      </c>
      <c r="O69" s="207">
        <f>RICavMilestoneVal</f>
        <v>40187.5</v>
      </c>
      <c r="P69" s="207">
        <f>RICavMilestoneVal+CavityStatus[[#This Row],[Incentive Earned]]+CavityStatus[[#This Row],[Recipe Modification (Mod 9)]]+N69</f>
        <v>45960.68</v>
      </c>
      <c r="Q69" s="206">
        <v>42846</v>
      </c>
    </row>
    <row r="70" spans="1:17" x14ac:dyDescent="0.25">
      <c r="A70" s="217">
        <v>67</v>
      </c>
      <c r="B70" s="202" t="s">
        <v>314</v>
      </c>
      <c r="C70" s="202" t="s">
        <v>401</v>
      </c>
      <c r="D70" s="204">
        <v>42788</v>
      </c>
      <c r="E70" s="204">
        <v>42818</v>
      </c>
      <c r="F70" s="203">
        <v>19</v>
      </c>
      <c r="G70" s="203">
        <f>IF(CavityStatus[[#This Row],[Actual Ship Date]]&lt;&gt;0,($E70-$D70)/7,0)</f>
        <v>4.2857142857142856</v>
      </c>
      <c r="H70" s="205"/>
      <c r="I70" s="205"/>
      <c r="J70" s="205">
        <v>1000</v>
      </c>
      <c r="K70" s="205">
        <v>1000</v>
      </c>
      <c r="L70" s="206">
        <v>42832</v>
      </c>
      <c r="M70" s="207">
        <v>4283.18</v>
      </c>
      <c r="N70" s="207">
        <v>490</v>
      </c>
      <c r="O70" s="207">
        <f>RICavMilestoneVal</f>
        <v>40187.5</v>
      </c>
      <c r="P70" s="207">
        <f>RICavMilestoneVal+CavityStatus[[#This Row],[Incentive Earned]]+CavityStatus[[#This Row],[Recipe Modification (Mod 9)]]+N70</f>
        <v>45960.68</v>
      </c>
      <c r="Q70" s="206">
        <v>42846</v>
      </c>
    </row>
    <row r="71" spans="1:17" x14ac:dyDescent="0.25">
      <c r="A71" s="217">
        <v>68</v>
      </c>
      <c r="B71" s="202" t="s">
        <v>315</v>
      </c>
      <c r="C71" s="202" t="s">
        <v>401</v>
      </c>
      <c r="D71" s="204">
        <v>42788</v>
      </c>
      <c r="E71" s="204">
        <v>42818</v>
      </c>
      <c r="F71" s="203">
        <v>19</v>
      </c>
      <c r="G71" s="203">
        <f>IF(CavityStatus[[#This Row],[Actual Ship Date]]&lt;&gt;0,($E71-$D71)/7,0)</f>
        <v>4.2857142857142856</v>
      </c>
      <c r="H71" s="205"/>
      <c r="I71" s="205"/>
      <c r="J71" s="205">
        <v>1000</v>
      </c>
      <c r="K71" s="205">
        <v>1000</v>
      </c>
      <c r="L71" s="206">
        <v>42832</v>
      </c>
      <c r="M71" s="207">
        <v>4283.18</v>
      </c>
      <c r="N71" s="207">
        <v>490</v>
      </c>
      <c r="O71" s="207">
        <f>RICavMilestoneVal</f>
        <v>40187.5</v>
      </c>
      <c r="P71" s="207">
        <f>RICavMilestoneVal+CavityStatus[[#This Row],[Incentive Earned]]+CavityStatus[[#This Row],[Recipe Modification (Mod 9)]]+N71</f>
        <v>45960.68</v>
      </c>
      <c r="Q71" s="206">
        <v>42846</v>
      </c>
    </row>
    <row r="72" spans="1:17" x14ac:dyDescent="0.25">
      <c r="A72" s="217">
        <v>69</v>
      </c>
      <c r="B72" s="202" t="s">
        <v>316</v>
      </c>
      <c r="C72" s="202" t="s">
        <v>401</v>
      </c>
      <c r="D72" s="204">
        <v>42788</v>
      </c>
      <c r="E72" s="204">
        <v>42818</v>
      </c>
      <c r="F72" s="203">
        <v>19</v>
      </c>
      <c r="G72" s="203">
        <f>IF(CavityStatus[[#This Row],[Actual Ship Date]]&lt;&gt;0,($E72-$D72)/7,0)</f>
        <v>4.2857142857142856</v>
      </c>
      <c r="H72" s="205"/>
      <c r="I72" s="205"/>
      <c r="J72" s="205">
        <v>1000</v>
      </c>
      <c r="K72" s="205">
        <v>1000</v>
      </c>
      <c r="L72" s="206">
        <v>42832</v>
      </c>
      <c r="M72" s="207">
        <v>4283.18</v>
      </c>
      <c r="N72" s="207">
        <v>490</v>
      </c>
      <c r="O72" s="207">
        <f>RICavMilestoneVal</f>
        <v>40187.5</v>
      </c>
      <c r="P72" s="207">
        <f>RICavMilestoneVal+CavityStatus[[#This Row],[Incentive Earned]]+CavityStatus[[#This Row],[Recipe Modification (Mod 9)]]+N72</f>
        <v>45960.68</v>
      </c>
      <c r="Q72" s="206">
        <v>42846</v>
      </c>
    </row>
    <row r="73" spans="1:17" x14ac:dyDescent="0.25">
      <c r="A73" s="217">
        <v>70</v>
      </c>
      <c r="B73" s="202" t="s">
        <v>317</v>
      </c>
      <c r="C73" s="202" t="s">
        <v>401</v>
      </c>
      <c r="D73" s="204">
        <v>42788</v>
      </c>
      <c r="E73" s="204">
        <v>42825</v>
      </c>
      <c r="F73" s="203">
        <v>20</v>
      </c>
      <c r="G73" s="203">
        <f>IF(CavityStatus[[#This Row],[Actual Ship Date]]&lt;&gt;0,($E73-$D73)/7,0)</f>
        <v>5.2857142857142856</v>
      </c>
      <c r="H73" s="205"/>
      <c r="I73" s="205"/>
      <c r="J73" s="205">
        <v>1000</v>
      </c>
      <c r="K73" s="205">
        <v>1000</v>
      </c>
      <c r="L73" s="206">
        <v>42838</v>
      </c>
      <c r="M73" s="207">
        <v>4283.18</v>
      </c>
      <c r="N73" s="207">
        <v>490</v>
      </c>
      <c r="O73" s="207">
        <f>RICavMilestoneVal</f>
        <v>40187.5</v>
      </c>
      <c r="P73" s="207">
        <f>RICavMilestoneVal+CavityStatus[[#This Row],[Incentive Earned]]+CavityStatus[[#This Row],[Recipe Modification (Mod 9)]]+N73</f>
        <v>45960.68</v>
      </c>
      <c r="Q73" s="206">
        <v>42846</v>
      </c>
    </row>
    <row r="74" spans="1:17" x14ac:dyDescent="0.25">
      <c r="A74" s="217">
        <v>71</v>
      </c>
      <c r="B74" s="202" t="s">
        <v>318</v>
      </c>
      <c r="C74" s="202" t="s">
        <v>401</v>
      </c>
      <c r="D74" s="204">
        <v>42788</v>
      </c>
      <c r="E74" s="204">
        <v>42825</v>
      </c>
      <c r="F74" s="203">
        <v>20</v>
      </c>
      <c r="G74" s="203">
        <f>IF(CavityStatus[[#This Row],[Actual Ship Date]]&lt;&gt;0,($E74-$D74)/7,0)</f>
        <v>5.2857142857142856</v>
      </c>
      <c r="H74" s="205"/>
      <c r="I74" s="205"/>
      <c r="J74" s="205">
        <v>1000</v>
      </c>
      <c r="K74" s="205">
        <v>1000</v>
      </c>
      <c r="L74" s="206">
        <v>42838</v>
      </c>
      <c r="M74" s="207">
        <v>4283.18</v>
      </c>
      <c r="N74" s="207">
        <v>490</v>
      </c>
      <c r="O74" s="207">
        <f>RICavMilestoneVal</f>
        <v>40187.5</v>
      </c>
      <c r="P74" s="207">
        <f>RICavMilestoneVal+CavityStatus[[#This Row],[Incentive Earned]]+CavityStatus[[#This Row],[Recipe Modification (Mod 9)]]+N74</f>
        <v>45960.68</v>
      </c>
      <c r="Q74" s="206">
        <v>42846</v>
      </c>
    </row>
    <row r="75" spans="1:17" x14ac:dyDescent="0.25">
      <c r="A75" s="217">
        <v>72</v>
      </c>
      <c r="B75" s="202" t="s">
        <v>320</v>
      </c>
      <c r="C75" s="202" t="s">
        <v>401</v>
      </c>
      <c r="D75" s="204">
        <v>42788</v>
      </c>
      <c r="E75" s="204">
        <v>42825</v>
      </c>
      <c r="F75" s="203">
        <v>20</v>
      </c>
      <c r="G75" s="203">
        <f>IF(CavityStatus[[#This Row],[Actual Ship Date]]&lt;&gt;0,($E75-$D75)/7,0)</f>
        <v>5.2857142857142856</v>
      </c>
      <c r="H75" s="205"/>
      <c r="I75" s="205"/>
      <c r="J75" s="205">
        <v>1000</v>
      </c>
      <c r="K75" s="205">
        <v>1000</v>
      </c>
      <c r="L75" s="206">
        <v>42838</v>
      </c>
      <c r="M75" s="207">
        <v>4283.18</v>
      </c>
      <c r="N75" s="207">
        <v>490</v>
      </c>
      <c r="O75" s="207">
        <f>RICavMilestoneVal</f>
        <v>40187.5</v>
      </c>
      <c r="P75" s="207">
        <f>RICavMilestoneVal+CavityStatus[[#This Row],[Incentive Earned]]+CavityStatus[[#This Row],[Recipe Modification (Mod 9)]]+N75</f>
        <v>45960.68</v>
      </c>
      <c r="Q75" s="206">
        <v>42846</v>
      </c>
    </row>
    <row r="76" spans="1:17" x14ac:dyDescent="0.25">
      <c r="A76" s="217">
        <v>73</v>
      </c>
      <c r="B76" s="202" t="s">
        <v>321</v>
      </c>
      <c r="C76" s="202" t="s">
        <v>401</v>
      </c>
      <c r="D76" s="204">
        <v>42788</v>
      </c>
      <c r="E76" s="204">
        <v>42825</v>
      </c>
      <c r="F76" s="203">
        <v>20</v>
      </c>
      <c r="G76" s="203">
        <f>IF(CavityStatus[[#This Row],[Actual Ship Date]]&lt;&gt;0,($E76-$D76)/7,0)</f>
        <v>5.2857142857142856</v>
      </c>
      <c r="H76" s="205"/>
      <c r="I76" s="205"/>
      <c r="J76" s="205">
        <v>1000</v>
      </c>
      <c r="K76" s="205">
        <v>1000</v>
      </c>
      <c r="L76" s="206">
        <v>42838</v>
      </c>
      <c r="M76" s="207">
        <v>4283.18</v>
      </c>
      <c r="N76" s="207">
        <v>490</v>
      </c>
      <c r="O76" s="207">
        <f>RICavMilestoneVal</f>
        <v>40187.5</v>
      </c>
      <c r="P76" s="207">
        <f>RICavMilestoneVal+CavityStatus[[#This Row],[Incentive Earned]]+CavityStatus[[#This Row],[Recipe Modification (Mod 9)]]+N76</f>
        <v>45960.68</v>
      </c>
      <c r="Q76" s="206">
        <v>42846</v>
      </c>
    </row>
    <row r="77" spans="1:17" x14ac:dyDescent="0.25">
      <c r="A77" s="217">
        <v>74</v>
      </c>
      <c r="B77" s="202" t="s">
        <v>319</v>
      </c>
      <c r="C77" s="202" t="s">
        <v>401</v>
      </c>
      <c r="D77" s="204">
        <v>42788</v>
      </c>
      <c r="E77" s="204">
        <v>42843</v>
      </c>
      <c r="F77" s="203">
        <v>21</v>
      </c>
      <c r="G77" s="203">
        <f>IF(CavityStatus[[#This Row],[Actual Ship Date]]&lt;&gt;0,($E77-$D77)/7,0)</f>
        <v>7.8571428571428568</v>
      </c>
      <c r="H77" s="205"/>
      <c r="I77" s="205"/>
      <c r="J77" s="205">
        <v>1000</v>
      </c>
      <c r="K77" s="205">
        <v>1000</v>
      </c>
      <c r="L77" s="206">
        <v>42880</v>
      </c>
      <c r="M77" s="207">
        <v>4283.18</v>
      </c>
      <c r="N77" s="207">
        <v>490</v>
      </c>
      <c r="O77" s="207">
        <f>RICavMilestoneVal</f>
        <v>40187.5</v>
      </c>
      <c r="P77" s="207">
        <f>RICavMilestoneVal+CavityStatus[[#This Row],[Incentive Earned]]+CavityStatus[[#This Row],[Recipe Modification (Mod 9)]]+N77</f>
        <v>45960.68</v>
      </c>
      <c r="Q77" s="206">
        <v>42878</v>
      </c>
    </row>
    <row r="78" spans="1:17" x14ac:dyDescent="0.25">
      <c r="A78" s="217">
        <v>75</v>
      </c>
      <c r="B78" s="202" t="s">
        <v>323</v>
      </c>
      <c r="C78" s="202" t="s">
        <v>401</v>
      </c>
      <c r="D78" s="204">
        <v>42788</v>
      </c>
      <c r="E78" s="204">
        <v>42843</v>
      </c>
      <c r="F78" s="203">
        <v>21</v>
      </c>
      <c r="G78" s="203">
        <f>IF(CavityStatus[[#This Row],[Actual Ship Date]]&lt;&gt;0,($E78-$D78)/7,0)</f>
        <v>7.8571428571428568</v>
      </c>
      <c r="H78" s="205"/>
      <c r="I78" s="205"/>
      <c r="J78" s="205">
        <v>1000</v>
      </c>
      <c r="K78" s="205">
        <v>1000</v>
      </c>
      <c r="L78" s="206">
        <v>42880</v>
      </c>
      <c r="M78" s="207">
        <v>4283.18</v>
      </c>
      <c r="N78" s="207">
        <v>490</v>
      </c>
      <c r="O78" s="207">
        <f>RICavMilestoneVal</f>
        <v>40187.5</v>
      </c>
      <c r="P78" s="207">
        <f>RICavMilestoneVal+CavityStatus[[#This Row],[Incentive Earned]]+CavityStatus[[#This Row],[Recipe Modification (Mod 9)]]+N78</f>
        <v>45960.68</v>
      </c>
      <c r="Q78" s="206">
        <v>42878</v>
      </c>
    </row>
    <row r="79" spans="1:17" x14ac:dyDescent="0.25">
      <c r="A79" s="217">
        <v>76</v>
      </c>
      <c r="B79" s="202" t="s">
        <v>324</v>
      </c>
      <c r="C79" s="202" t="s">
        <v>401</v>
      </c>
      <c r="D79" s="204">
        <v>42788</v>
      </c>
      <c r="E79" s="204">
        <v>42843</v>
      </c>
      <c r="F79" s="203">
        <v>21</v>
      </c>
      <c r="G79" s="203">
        <f>IF(CavityStatus[[#This Row],[Actual Ship Date]]&lt;&gt;0,($E79-$D79)/7,0)</f>
        <v>7.8571428571428568</v>
      </c>
      <c r="H79" s="205"/>
      <c r="I79" s="205"/>
      <c r="J79" s="205">
        <v>1000</v>
      </c>
      <c r="K79" s="205">
        <v>1000</v>
      </c>
      <c r="L79" s="206">
        <v>42880</v>
      </c>
      <c r="M79" s="207">
        <v>4283.18</v>
      </c>
      <c r="N79" s="207">
        <v>490</v>
      </c>
      <c r="O79" s="207">
        <f>RICavMilestoneVal</f>
        <v>40187.5</v>
      </c>
      <c r="P79" s="207">
        <f>RICavMilestoneVal+CavityStatus[[#This Row],[Incentive Earned]]+CavityStatus[[#This Row],[Recipe Modification (Mod 9)]]+N79</f>
        <v>45960.68</v>
      </c>
      <c r="Q79" s="206">
        <v>42878</v>
      </c>
    </row>
    <row r="80" spans="1:17" x14ac:dyDescent="0.25">
      <c r="A80" s="217">
        <v>77</v>
      </c>
      <c r="B80" s="202" t="s">
        <v>295</v>
      </c>
      <c r="C80" s="202" t="s">
        <v>401</v>
      </c>
      <c r="D80" s="204">
        <v>42816</v>
      </c>
      <c r="E80" s="204">
        <v>42853</v>
      </c>
      <c r="F80" s="203">
        <v>22</v>
      </c>
      <c r="G80" s="203">
        <f>IF(CavityStatus[[#This Row],[Actual Ship Date]]&lt;&gt;0,($E80-$D80)/7,0)</f>
        <v>5.2857142857142856</v>
      </c>
      <c r="H80" s="205"/>
      <c r="I80" s="205"/>
      <c r="J80" s="205">
        <v>1000</v>
      </c>
      <c r="K80" s="205">
        <v>1000</v>
      </c>
      <c r="L80" s="206">
        <v>42860</v>
      </c>
      <c r="M80" s="207">
        <v>4283.18</v>
      </c>
      <c r="N80" s="207">
        <v>490</v>
      </c>
      <c r="O80" s="207">
        <f>RICavMilestoneVal</f>
        <v>40187.5</v>
      </c>
      <c r="P80" s="207">
        <f>RICavMilestoneVal+CavityStatus[[#This Row],[Incentive Earned]]+CavityStatus[[#This Row],[Recipe Modification (Mod 9)]]+N80</f>
        <v>45960.68</v>
      </c>
      <c r="Q80" s="206">
        <v>42878</v>
      </c>
    </row>
    <row r="81" spans="1:17" x14ac:dyDescent="0.25">
      <c r="A81" s="217">
        <v>78</v>
      </c>
      <c r="B81" s="202" t="s">
        <v>299</v>
      </c>
      <c r="C81" s="202" t="s">
        <v>401</v>
      </c>
      <c r="D81" s="204">
        <v>42816</v>
      </c>
      <c r="E81" s="204">
        <v>42853</v>
      </c>
      <c r="F81" s="203">
        <v>22</v>
      </c>
      <c r="G81" s="203">
        <f>IF(CavityStatus[[#This Row],[Actual Ship Date]]&lt;&gt;0,($E81-$D81)/7,0)</f>
        <v>5.2857142857142856</v>
      </c>
      <c r="H81" s="205"/>
      <c r="I81" s="205"/>
      <c r="J81" s="205">
        <v>1000</v>
      </c>
      <c r="K81" s="205">
        <v>1000</v>
      </c>
      <c r="L81" s="206">
        <v>42860</v>
      </c>
      <c r="M81" s="207">
        <v>4283.18</v>
      </c>
      <c r="N81" s="207">
        <v>490</v>
      </c>
      <c r="O81" s="207">
        <f>RICavMilestoneVal</f>
        <v>40187.5</v>
      </c>
      <c r="P81" s="207">
        <f>RICavMilestoneVal+CavityStatus[[#This Row],[Incentive Earned]]+CavityStatus[[#This Row],[Recipe Modification (Mod 9)]]+N81</f>
        <v>45960.68</v>
      </c>
      <c r="Q81" s="206">
        <v>42878</v>
      </c>
    </row>
    <row r="82" spans="1:17" x14ac:dyDescent="0.25">
      <c r="A82" s="217">
        <v>79</v>
      </c>
      <c r="B82" s="202" t="s">
        <v>300</v>
      </c>
      <c r="C82" s="202" t="s">
        <v>401</v>
      </c>
      <c r="D82" s="204">
        <v>42816</v>
      </c>
      <c r="E82" s="204">
        <v>42853</v>
      </c>
      <c r="F82" s="203">
        <v>22</v>
      </c>
      <c r="G82" s="203">
        <f>IF(CavityStatus[[#This Row],[Actual Ship Date]]&lt;&gt;0,($E82-$D82)/7,0)</f>
        <v>5.2857142857142856</v>
      </c>
      <c r="H82" s="205"/>
      <c r="I82" s="205"/>
      <c r="J82" s="205">
        <v>1000</v>
      </c>
      <c r="K82" s="205">
        <v>1000</v>
      </c>
      <c r="L82" s="206">
        <v>42860</v>
      </c>
      <c r="M82" s="207">
        <v>4283.18</v>
      </c>
      <c r="N82" s="207">
        <v>490</v>
      </c>
      <c r="O82" s="207">
        <f>RICavMilestoneVal</f>
        <v>40187.5</v>
      </c>
      <c r="P82" s="207">
        <f>RICavMilestoneVal+CavityStatus[[#This Row],[Incentive Earned]]+CavityStatus[[#This Row],[Recipe Modification (Mod 9)]]+N82</f>
        <v>45960.68</v>
      </c>
      <c r="Q82" s="206">
        <v>42878</v>
      </c>
    </row>
    <row r="83" spans="1:17" x14ac:dyDescent="0.25">
      <c r="A83" s="217">
        <v>80</v>
      </c>
      <c r="B83" s="202" t="s">
        <v>301</v>
      </c>
      <c r="C83" s="202" t="s">
        <v>401</v>
      </c>
      <c r="D83" s="204">
        <v>42816</v>
      </c>
      <c r="E83" s="204">
        <v>42853</v>
      </c>
      <c r="F83" s="203">
        <v>22</v>
      </c>
      <c r="G83" s="203">
        <f>IF(CavityStatus[[#This Row],[Actual Ship Date]]&lt;&gt;0,($E83-$D83)/7,0)</f>
        <v>5.2857142857142856</v>
      </c>
      <c r="H83" s="205"/>
      <c r="I83" s="205"/>
      <c r="J83" s="205">
        <v>1000</v>
      </c>
      <c r="K83" s="205">
        <v>1000</v>
      </c>
      <c r="L83" s="206">
        <v>42860</v>
      </c>
      <c r="M83" s="207">
        <v>4283.18</v>
      </c>
      <c r="N83" s="207">
        <v>490</v>
      </c>
      <c r="O83" s="207">
        <f>RICavMilestoneVal</f>
        <v>40187.5</v>
      </c>
      <c r="P83" s="207">
        <f>RICavMilestoneVal+CavityStatus[[#This Row],[Incentive Earned]]+CavityStatus[[#This Row],[Recipe Modification (Mod 9)]]+N83</f>
        <v>45960.68</v>
      </c>
      <c r="Q83" s="206">
        <v>42878</v>
      </c>
    </row>
    <row r="84" spans="1:17" x14ac:dyDescent="0.25">
      <c r="A84" s="217">
        <v>81</v>
      </c>
      <c r="B84" s="202" t="s">
        <v>291</v>
      </c>
      <c r="C84" s="202" t="s">
        <v>401</v>
      </c>
      <c r="D84" s="204">
        <v>42816</v>
      </c>
      <c r="E84" s="204">
        <v>42865</v>
      </c>
      <c r="F84" s="203">
        <v>23</v>
      </c>
      <c r="G84" s="203">
        <f>IF(CavityStatus[[#This Row],[Actual Ship Date]]&lt;&gt;0,($E84-$D84)/7,0)</f>
        <v>7</v>
      </c>
      <c r="H84" s="205"/>
      <c r="I84" s="205"/>
      <c r="J84" s="205">
        <v>1000</v>
      </c>
      <c r="K84" s="205">
        <v>1000</v>
      </c>
      <c r="L84" s="206">
        <v>42872</v>
      </c>
      <c r="M84" s="207">
        <v>4283.18</v>
      </c>
      <c r="N84" s="207">
        <v>490</v>
      </c>
      <c r="O84" s="207">
        <f>RICavMilestoneVal</f>
        <v>40187.5</v>
      </c>
      <c r="P84" s="207">
        <f>RICavMilestoneVal+CavityStatus[[#This Row],[Incentive Earned]]+CavityStatus[[#This Row],[Recipe Modification (Mod 9)]]+N84</f>
        <v>45960.68</v>
      </c>
      <c r="Q84" s="206">
        <v>42878</v>
      </c>
    </row>
    <row r="85" spans="1:17" x14ac:dyDescent="0.25">
      <c r="A85" s="217">
        <v>82</v>
      </c>
      <c r="B85" s="202" t="s">
        <v>294</v>
      </c>
      <c r="C85" s="202" t="s">
        <v>401</v>
      </c>
      <c r="D85" s="204">
        <v>42816</v>
      </c>
      <c r="E85" s="204">
        <v>42865</v>
      </c>
      <c r="F85" s="203">
        <v>23</v>
      </c>
      <c r="G85" s="203">
        <f>IF(CavityStatus[[#This Row],[Actual Ship Date]]&lt;&gt;0,($E85-$D85)/7,0)</f>
        <v>7</v>
      </c>
      <c r="H85" s="205"/>
      <c r="I85" s="205"/>
      <c r="J85" s="205">
        <v>1000</v>
      </c>
      <c r="K85" s="205">
        <v>1000</v>
      </c>
      <c r="L85" s="206">
        <v>42872</v>
      </c>
      <c r="M85" s="207">
        <v>4283.18</v>
      </c>
      <c r="N85" s="207">
        <v>490</v>
      </c>
      <c r="O85" s="207">
        <f>RICavMilestoneVal</f>
        <v>40187.5</v>
      </c>
      <c r="P85" s="207">
        <f>RICavMilestoneVal+CavityStatus[[#This Row],[Incentive Earned]]+CavityStatus[[#This Row],[Recipe Modification (Mod 9)]]+N85</f>
        <v>45960.68</v>
      </c>
      <c r="Q85" s="206">
        <v>42878</v>
      </c>
    </row>
    <row r="86" spans="1:17" x14ac:dyDescent="0.25">
      <c r="A86" s="217">
        <v>83</v>
      </c>
      <c r="B86" s="202" t="s">
        <v>297</v>
      </c>
      <c r="C86" s="202" t="s">
        <v>401</v>
      </c>
      <c r="D86" s="204">
        <v>42816</v>
      </c>
      <c r="E86" s="204">
        <v>42865</v>
      </c>
      <c r="F86" s="203">
        <v>23</v>
      </c>
      <c r="G86" s="203">
        <f>IF(CavityStatus[[#This Row],[Actual Ship Date]]&lt;&gt;0,($E86-$D86)/7,0)</f>
        <v>7</v>
      </c>
      <c r="H86" s="205"/>
      <c r="I86" s="205"/>
      <c r="J86" s="205">
        <v>1000</v>
      </c>
      <c r="K86" s="205">
        <v>1000</v>
      </c>
      <c r="L86" s="206">
        <v>42872</v>
      </c>
      <c r="M86" s="207">
        <v>4283.18</v>
      </c>
      <c r="N86" s="207">
        <v>490</v>
      </c>
      <c r="O86" s="207">
        <f>RICavMilestoneVal</f>
        <v>40187.5</v>
      </c>
      <c r="P86" s="207">
        <f>RICavMilestoneVal+CavityStatus[[#This Row],[Incentive Earned]]+CavityStatus[[#This Row],[Recipe Modification (Mod 9)]]+N86</f>
        <v>45960.68</v>
      </c>
      <c r="Q86" s="206">
        <v>42878</v>
      </c>
    </row>
    <row r="87" spans="1:17" x14ac:dyDescent="0.25">
      <c r="A87" s="217">
        <v>84</v>
      </c>
      <c r="B87" s="202" t="s">
        <v>298</v>
      </c>
      <c r="C87" s="202" t="s">
        <v>401</v>
      </c>
      <c r="D87" s="204">
        <v>42816</v>
      </c>
      <c r="E87" s="204">
        <v>42865</v>
      </c>
      <c r="F87" s="203">
        <v>23</v>
      </c>
      <c r="G87" s="203">
        <f>IF(CavityStatus[[#This Row],[Actual Ship Date]]&lt;&gt;0,($E87-$D87)/7,0)</f>
        <v>7</v>
      </c>
      <c r="H87" s="205"/>
      <c r="I87" s="205"/>
      <c r="J87" s="205">
        <v>1000</v>
      </c>
      <c r="K87" s="205">
        <v>1000</v>
      </c>
      <c r="L87" s="206">
        <v>42872</v>
      </c>
      <c r="M87" s="207">
        <v>4283.18</v>
      </c>
      <c r="N87" s="207">
        <v>490</v>
      </c>
      <c r="O87" s="207">
        <f>RICavMilestoneVal</f>
        <v>40187.5</v>
      </c>
      <c r="P87" s="207">
        <f>RICavMilestoneVal+CavityStatus[[#This Row],[Incentive Earned]]+CavityStatus[[#This Row],[Recipe Modification (Mod 9)]]+N87</f>
        <v>45960.68</v>
      </c>
      <c r="Q87" s="206">
        <v>42878</v>
      </c>
    </row>
    <row r="88" spans="1:17" x14ac:dyDescent="0.25">
      <c r="A88" s="217">
        <v>85</v>
      </c>
      <c r="B88" s="352" t="s">
        <v>296</v>
      </c>
      <c r="C88" s="202" t="s">
        <v>401</v>
      </c>
      <c r="D88" s="204">
        <v>42816</v>
      </c>
      <c r="E88" s="204">
        <v>42870</v>
      </c>
      <c r="F88" s="203">
        <v>24</v>
      </c>
      <c r="G88" s="203">
        <f>IF(CavityStatus[[#This Row],[Actual Ship Date]]&lt;&gt;0,($E88-$D88)/7,0)</f>
        <v>7.7142857142857144</v>
      </c>
      <c r="H88" s="205"/>
      <c r="I88" s="205"/>
      <c r="J88" s="205">
        <v>1000</v>
      </c>
      <c r="K88" s="205">
        <v>1000</v>
      </c>
      <c r="L88" s="206">
        <v>42877</v>
      </c>
      <c r="M88" s="207">
        <v>4283.18</v>
      </c>
      <c r="N88" s="207">
        <v>490</v>
      </c>
      <c r="O88" s="207">
        <f>RICavMilestoneVal</f>
        <v>40187.5</v>
      </c>
      <c r="P88" s="207">
        <f>RICavMilestoneVal+CavityStatus[[#This Row],[Incentive Earned]]+CavityStatus[[#This Row],[Recipe Modification (Mod 9)]]+N88</f>
        <v>45960.68</v>
      </c>
      <c r="Q88" s="206">
        <v>42916</v>
      </c>
    </row>
    <row r="89" spans="1:17" x14ac:dyDescent="0.25">
      <c r="A89" s="217">
        <v>86</v>
      </c>
      <c r="B89" s="352" t="s">
        <v>329</v>
      </c>
      <c r="C89" s="202" t="s">
        <v>401</v>
      </c>
      <c r="D89" s="204">
        <v>42816</v>
      </c>
      <c r="E89" s="204">
        <v>42870</v>
      </c>
      <c r="F89" s="203">
        <v>24</v>
      </c>
      <c r="G89" s="203">
        <f>IF(CavityStatus[[#This Row],[Actual Ship Date]]&lt;&gt;0,($E89-$D89)/7,0)</f>
        <v>7.7142857142857144</v>
      </c>
      <c r="H89" s="205"/>
      <c r="I89" s="205"/>
      <c r="J89" s="205">
        <v>1000</v>
      </c>
      <c r="K89" s="205">
        <v>1000</v>
      </c>
      <c r="L89" s="206">
        <v>42877</v>
      </c>
      <c r="M89" s="207">
        <v>4283.18</v>
      </c>
      <c r="N89" s="207">
        <v>490</v>
      </c>
      <c r="O89" s="207">
        <f>RICavMilestoneVal</f>
        <v>40187.5</v>
      </c>
      <c r="P89" s="207">
        <f>RICavMilestoneVal+CavityStatus[[#This Row],[Incentive Earned]]+CavityStatus[[#This Row],[Recipe Modification (Mod 9)]]+N89</f>
        <v>45960.68</v>
      </c>
      <c r="Q89" s="206">
        <v>42916</v>
      </c>
    </row>
    <row r="90" spans="1:17" x14ac:dyDescent="0.25">
      <c r="A90" s="217">
        <v>87</v>
      </c>
      <c r="B90" s="352" t="s">
        <v>331</v>
      </c>
      <c r="C90" s="202" t="s">
        <v>401</v>
      </c>
      <c r="D90" s="204">
        <v>42816</v>
      </c>
      <c r="E90" s="204">
        <v>42870</v>
      </c>
      <c r="F90" s="203">
        <v>24</v>
      </c>
      <c r="G90" s="203">
        <f>IF(CavityStatus[[#This Row],[Actual Ship Date]]&lt;&gt;0,($E90-$D90)/7,0)</f>
        <v>7.7142857142857144</v>
      </c>
      <c r="H90" s="205"/>
      <c r="I90" s="205"/>
      <c r="J90" s="205">
        <v>1000</v>
      </c>
      <c r="K90" s="205">
        <v>1000</v>
      </c>
      <c r="L90" s="206">
        <v>42877</v>
      </c>
      <c r="M90" s="207">
        <v>4283.18</v>
      </c>
      <c r="N90" s="207">
        <v>490</v>
      </c>
      <c r="O90" s="207">
        <f>RICavMilestoneVal</f>
        <v>40187.5</v>
      </c>
      <c r="P90" s="207">
        <f>RICavMilestoneVal+CavityStatus[[#This Row],[Incentive Earned]]+CavityStatus[[#This Row],[Recipe Modification (Mod 9)]]+N90</f>
        <v>45960.68</v>
      </c>
      <c r="Q90" s="206">
        <v>42916</v>
      </c>
    </row>
    <row r="91" spans="1:17" x14ac:dyDescent="0.25">
      <c r="A91" s="217">
        <v>88</v>
      </c>
      <c r="B91" s="352" t="s">
        <v>336</v>
      </c>
      <c r="C91" s="202" t="s">
        <v>401</v>
      </c>
      <c r="D91" s="204">
        <v>42816</v>
      </c>
      <c r="E91" s="204">
        <v>42870</v>
      </c>
      <c r="F91" s="203">
        <v>24</v>
      </c>
      <c r="G91" s="203">
        <f>IF(CavityStatus[[#This Row],[Actual Ship Date]]&lt;&gt;0,($E91-$D91)/7,0)</f>
        <v>7.7142857142857144</v>
      </c>
      <c r="H91" s="205"/>
      <c r="I91" s="205"/>
      <c r="J91" s="205">
        <v>1000</v>
      </c>
      <c r="K91" s="205">
        <v>1000</v>
      </c>
      <c r="L91" s="206">
        <v>42877</v>
      </c>
      <c r="M91" s="207">
        <v>4283.18</v>
      </c>
      <c r="N91" s="207">
        <v>490</v>
      </c>
      <c r="O91" s="207">
        <f>RICavMilestoneVal</f>
        <v>40187.5</v>
      </c>
      <c r="P91" s="207">
        <f>RICavMilestoneVal+CavityStatus[[#This Row],[Incentive Earned]]+CavityStatus[[#This Row],[Recipe Modification (Mod 9)]]+N91</f>
        <v>45960.68</v>
      </c>
      <c r="Q91" s="206">
        <v>42916</v>
      </c>
    </row>
    <row r="92" spans="1:17" x14ac:dyDescent="0.25">
      <c r="A92" s="217">
        <v>89</v>
      </c>
      <c r="B92" s="353" t="s">
        <v>322</v>
      </c>
      <c r="C92" s="202" t="s">
        <v>401</v>
      </c>
      <c r="D92" s="204">
        <v>42844</v>
      </c>
      <c r="E92" s="204">
        <v>42877</v>
      </c>
      <c r="F92" s="203">
        <v>25</v>
      </c>
      <c r="G92" s="203">
        <f>IF(CavityStatus[[#This Row],[Actual Ship Date]]&lt;&gt;0,($E92-$D92)/7,0)</f>
        <v>4.7142857142857144</v>
      </c>
      <c r="H92" s="205"/>
      <c r="I92" s="205"/>
      <c r="J92" s="205">
        <v>1000</v>
      </c>
      <c r="K92" s="205">
        <v>1000</v>
      </c>
      <c r="L92" s="206">
        <v>42885</v>
      </c>
      <c r="M92" s="207">
        <v>4283.18</v>
      </c>
      <c r="N92" s="207">
        <v>490</v>
      </c>
      <c r="O92" s="207">
        <f>RICavMilestoneVal</f>
        <v>40187.5</v>
      </c>
      <c r="P92" s="207">
        <f>RICavMilestoneVal+CavityStatus[[#This Row],[Incentive Earned]]+CavityStatus[[#This Row],[Recipe Modification (Mod 9)]]+N92</f>
        <v>45960.68</v>
      </c>
      <c r="Q92" s="206">
        <v>42916</v>
      </c>
    </row>
    <row r="93" spans="1:17" x14ac:dyDescent="0.25">
      <c r="A93" s="217">
        <v>90</v>
      </c>
      <c r="B93" s="353" t="s">
        <v>330</v>
      </c>
      <c r="C93" s="202" t="s">
        <v>401</v>
      </c>
      <c r="D93" s="204">
        <v>42844</v>
      </c>
      <c r="E93" s="204">
        <v>42877</v>
      </c>
      <c r="F93" s="203">
        <v>25</v>
      </c>
      <c r="G93" s="203">
        <f>IF(CavityStatus[[#This Row],[Actual Ship Date]]&lt;&gt;0,($E93-$D93)/7,0)</f>
        <v>4.7142857142857144</v>
      </c>
      <c r="H93" s="205"/>
      <c r="I93" s="205"/>
      <c r="J93" s="205">
        <v>1000</v>
      </c>
      <c r="K93" s="205">
        <v>1000</v>
      </c>
      <c r="L93" s="206">
        <v>42885</v>
      </c>
      <c r="M93" s="207">
        <v>4283.18</v>
      </c>
      <c r="N93" s="207">
        <v>490</v>
      </c>
      <c r="O93" s="207">
        <f>RICavMilestoneVal</f>
        <v>40187.5</v>
      </c>
      <c r="P93" s="207">
        <f>RICavMilestoneVal+CavityStatus[[#This Row],[Incentive Earned]]+CavityStatus[[#This Row],[Recipe Modification (Mod 9)]]+N93</f>
        <v>45960.68</v>
      </c>
      <c r="Q93" s="206">
        <v>42916</v>
      </c>
    </row>
    <row r="94" spans="1:17" x14ac:dyDescent="0.25">
      <c r="A94" s="217">
        <v>91</v>
      </c>
      <c r="B94" s="353" t="s">
        <v>332</v>
      </c>
      <c r="C94" s="202" t="s">
        <v>401</v>
      </c>
      <c r="D94" s="204">
        <v>42844</v>
      </c>
      <c r="E94" s="204">
        <v>42877</v>
      </c>
      <c r="F94" s="203">
        <v>25</v>
      </c>
      <c r="G94" s="203">
        <f>IF(CavityStatus[[#This Row],[Actual Ship Date]]&lt;&gt;0,($E94-$D94)/7,0)</f>
        <v>4.7142857142857144</v>
      </c>
      <c r="H94" s="205"/>
      <c r="I94" s="205"/>
      <c r="J94" s="205">
        <v>1000</v>
      </c>
      <c r="K94" s="205">
        <v>1000</v>
      </c>
      <c r="L94" s="206">
        <v>42885</v>
      </c>
      <c r="M94" s="207">
        <v>4283.18</v>
      </c>
      <c r="N94" s="207">
        <v>490</v>
      </c>
      <c r="O94" s="207">
        <f>RICavMilestoneVal</f>
        <v>40187.5</v>
      </c>
      <c r="P94" s="207">
        <f>RICavMilestoneVal+CavityStatus[[#This Row],[Incentive Earned]]+CavityStatus[[#This Row],[Recipe Modification (Mod 9)]]+N94</f>
        <v>45960.68</v>
      </c>
      <c r="Q94" s="206">
        <v>42916</v>
      </c>
    </row>
    <row r="95" spans="1:17" x14ac:dyDescent="0.25">
      <c r="A95" s="217">
        <v>92</v>
      </c>
      <c r="B95" s="353" t="s">
        <v>342</v>
      </c>
      <c r="C95" s="202" t="s">
        <v>401</v>
      </c>
      <c r="D95" s="204">
        <v>42872</v>
      </c>
      <c r="E95" s="204">
        <v>42877</v>
      </c>
      <c r="F95" s="203">
        <v>25</v>
      </c>
      <c r="G95" s="203">
        <f>IF(CavityStatus[[#This Row],[Actual Ship Date]]&lt;&gt;0,($E95-$D95)/7,0)</f>
        <v>0.7142857142857143</v>
      </c>
      <c r="H95" s="205"/>
      <c r="I95" s="205"/>
      <c r="J95" s="205">
        <v>1000</v>
      </c>
      <c r="K95" s="205">
        <v>1000</v>
      </c>
      <c r="L95" s="206">
        <v>42885</v>
      </c>
      <c r="M95" s="207">
        <v>4283.18</v>
      </c>
      <c r="N95" s="207">
        <v>490</v>
      </c>
      <c r="O95" s="207">
        <f>RICavMilestoneVal</f>
        <v>40187.5</v>
      </c>
      <c r="P95" s="207">
        <f>RICavMilestoneVal+CavityStatus[[#This Row],[Incentive Earned]]+CavityStatus[[#This Row],[Recipe Modification (Mod 9)]]+N95</f>
        <v>45960.68</v>
      </c>
      <c r="Q95" s="206">
        <v>42916</v>
      </c>
    </row>
    <row r="96" spans="1:17" x14ac:dyDescent="0.25">
      <c r="A96" s="217">
        <v>93</v>
      </c>
      <c r="B96" s="354" t="s">
        <v>341</v>
      </c>
      <c r="C96" s="202" t="s">
        <v>401</v>
      </c>
      <c r="D96" s="204">
        <v>42872</v>
      </c>
      <c r="E96" s="204">
        <v>42888</v>
      </c>
      <c r="F96" s="203">
        <v>26</v>
      </c>
      <c r="G96" s="203">
        <f>IF(CavityStatus[[#This Row],[Actual Ship Date]]&lt;&gt;0,($E96-$D96)/7,0)</f>
        <v>2.2857142857142856</v>
      </c>
      <c r="H96" s="205"/>
      <c r="I96" s="205"/>
      <c r="J96" s="205">
        <v>1000</v>
      </c>
      <c r="K96" s="205">
        <v>1000</v>
      </c>
      <c r="L96" s="206">
        <v>42895</v>
      </c>
      <c r="M96" s="207">
        <v>4283.18</v>
      </c>
      <c r="N96" s="207">
        <v>490</v>
      </c>
      <c r="O96" s="207">
        <f>RICavMilestoneVal</f>
        <v>40187.5</v>
      </c>
      <c r="P96" s="207">
        <f>RICavMilestoneVal+CavityStatus[[#This Row],[Incentive Earned]]+CavityStatus[[#This Row],[Recipe Modification (Mod 9)]]+N96</f>
        <v>45960.68</v>
      </c>
      <c r="Q96" s="206">
        <v>42916</v>
      </c>
    </row>
    <row r="97" spans="1:17" x14ac:dyDescent="0.25">
      <c r="A97" s="217">
        <v>94</v>
      </c>
      <c r="B97" s="354" t="s">
        <v>346</v>
      </c>
      <c r="C97" s="202" t="s">
        <v>401</v>
      </c>
      <c r="D97" s="204">
        <v>42872</v>
      </c>
      <c r="E97" s="204">
        <v>42888</v>
      </c>
      <c r="F97" s="203">
        <v>26</v>
      </c>
      <c r="G97" s="203">
        <f>IF(CavityStatus[[#This Row],[Actual Ship Date]]&lt;&gt;0,($E97-$D97)/7,0)</f>
        <v>2.2857142857142856</v>
      </c>
      <c r="H97" s="205"/>
      <c r="I97" s="205"/>
      <c r="J97" s="205">
        <v>1000</v>
      </c>
      <c r="K97" s="205">
        <v>1000</v>
      </c>
      <c r="L97" s="206">
        <v>42895</v>
      </c>
      <c r="M97" s="207">
        <v>4283.18</v>
      </c>
      <c r="N97" s="207">
        <v>490</v>
      </c>
      <c r="O97" s="207">
        <f>RICavMilestoneVal</f>
        <v>40187.5</v>
      </c>
      <c r="P97" s="207">
        <f>RICavMilestoneVal+CavityStatus[[#This Row],[Incentive Earned]]+CavityStatus[[#This Row],[Recipe Modification (Mod 9)]]+N97</f>
        <v>45960.68</v>
      </c>
      <c r="Q97" s="206">
        <v>42916</v>
      </c>
    </row>
    <row r="98" spans="1:17" x14ac:dyDescent="0.25">
      <c r="A98" s="217">
        <v>95</v>
      </c>
      <c r="B98" s="354" t="s">
        <v>348</v>
      </c>
      <c r="C98" s="202" t="s">
        <v>401</v>
      </c>
      <c r="D98" s="204">
        <v>42872</v>
      </c>
      <c r="E98" s="204">
        <v>42888</v>
      </c>
      <c r="F98" s="203">
        <v>26</v>
      </c>
      <c r="G98" s="203">
        <f>IF(CavityStatus[[#This Row],[Actual Ship Date]]&lt;&gt;0,($E98-$D98)/7,0)</f>
        <v>2.2857142857142856</v>
      </c>
      <c r="H98" s="205"/>
      <c r="I98" s="205"/>
      <c r="J98" s="205">
        <v>1000</v>
      </c>
      <c r="K98" s="205">
        <v>1000</v>
      </c>
      <c r="L98" s="206">
        <v>42895</v>
      </c>
      <c r="M98" s="207">
        <v>4283.18</v>
      </c>
      <c r="N98" s="207">
        <v>490</v>
      </c>
      <c r="O98" s="207">
        <f>RICavMilestoneVal</f>
        <v>40187.5</v>
      </c>
      <c r="P98" s="207">
        <f>RICavMilestoneVal+CavityStatus[[#This Row],[Incentive Earned]]+CavityStatus[[#This Row],[Recipe Modification (Mod 9)]]+N98</f>
        <v>45960.68</v>
      </c>
      <c r="Q98" s="206">
        <v>42916</v>
      </c>
    </row>
    <row r="99" spans="1:17" x14ac:dyDescent="0.25">
      <c r="A99" s="217">
        <v>96</v>
      </c>
      <c r="B99" s="354" t="s">
        <v>349</v>
      </c>
      <c r="C99" s="202" t="s">
        <v>401</v>
      </c>
      <c r="D99" s="204">
        <v>42872</v>
      </c>
      <c r="E99" s="204">
        <v>42888</v>
      </c>
      <c r="F99" s="203">
        <v>26</v>
      </c>
      <c r="G99" s="203">
        <f>IF(CavityStatus[[#This Row],[Actual Ship Date]]&lt;&gt;0,($E99-$D99)/7,0)</f>
        <v>2.2857142857142856</v>
      </c>
      <c r="H99" s="205"/>
      <c r="I99" s="205"/>
      <c r="J99" s="205">
        <v>1000</v>
      </c>
      <c r="K99" s="205">
        <v>1000</v>
      </c>
      <c r="L99" s="206">
        <v>42895</v>
      </c>
      <c r="M99" s="207">
        <v>4283.18</v>
      </c>
      <c r="N99" s="207">
        <v>490</v>
      </c>
      <c r="O99" s="207">
        <f>RICavMilestoneVal</f>
        <v>40187.5</v>
      </c>
      <c r="P99" s="207">
        <f>RICavMilestoneVal+CavityStatus[[#This Row],[Incentive Earned]]+CavityStatus[[#This Row],[Recipe Modification (Mod 9)]]+N99</f>
        <v>45960.68</v>
      </c>
      <c r="Q99" s="206">
        <v>42916</v>
      </c>
    </row>
    <row r="100" spans="1:17" x14ac:dyDescent="0.25">
      <c r="A100" s="217">
        <v>97</v>
      </c>
      <c r="B100" s="355" t="s">
        <v>325</v>
      </c>
      <c r="C100" s="202" t="s">
        <v>401</v>
      </c>
      <c r="D100" s="204">
        <v>42844</v>
      </c>
      <c r="E100" s="204">
        <v>42895</v>
      </c>
      <c r="F100" s="203">
        <v>27</v>
      </c>
      <c r="G100" s="203">
        <f>IF(CavityStatus[[#This Row],[Actual Ship Date]]&lt;&gt;0,($E100-$D100)/7,0)</f>
        <v>7.2857142857142856</v>
      </c>
      <c r="H100" s="205"/>
      <c r="I100" s="205"/>
      <c r="J100" s="205">
        <v>1000</v>
      </c>
      <c r="K100" s="205">
        <v>1000</v>
      </c>
      <c r="L100" s="206">
        <v>42901</v>
      </c>
      <c r="M100" s="207">
        <v>4283.18</v>
      </c>
      <c r="N100" s="207">
        <v>490</v>
      </c>
      <c r="O100" s="207">
        <f>RICavMilestoneVal</f>
        <v>40187.5</v>
      </c>
      <c r="P100" s="207">
        <f>RICavMilestoneVal+CavityStatus[[#This Row],[Incentive Earned]]+CavityStatus[[#This Row],[Recipe Modification (Mod 9)]]+N100</f>
        <v>45960.68</v>
      </c>
      <c r="Q100" s="206">
        <v>42916</v>
      </c>
    </row>
    <row r="101" spans="1:17" x14ac:dyDescent="0.25">
      <c r="A101" s="217">
        <v>98</v>
      </c>
      <c r="B101" s="355" t="s">
        <v>326</v>
      </c>
      <c r="C101" s="202" t="s">
        <v>401</v>
      </c>
      <c r="D101" s="204">
        <v>42844</v>
      </c>
      <c r="E101" s="204">
        <v>42895</v>
      </c>
      <c r="F101" s="203">
        <v>27</v>
      </c>
      <c r="G101" s="203">
        <f>IF(CavityStatus[[#This Row],[Actual Ship Date]]&lt;&gt;0,($E101-$D101)/7,0)</f>
        <v>7.2857142857142856</v>
      </c>
      <c r="H101" s="205"/>
      <c r="I101" s="205"/>
      <c r="J101" s="205">
        <v>1000</v>
      </c>
      <c r="K101" s="205">
        <v>1000</v>
      </c>
      <c r="L101" s="206">
        <v>42901</v>
      </c>
      <c r="M101" s="207">
        <v>4283.18</v>
      </c>
      <c r="N101" s="207">
        <v>490</v>
      </c>
      <c r="O101" s="207">
        <f>RICavMilestoneVal</f>
        <v>40187.5</v>
      </c>
      <c r="P101" s="207">
        <f>RICavMilestoneVal+CavityStatus[[#This Row],[Incentive Earned]]+CavityStatus[[#This Row],[Recipe Modification (Mod 9)]]+N101</f>
        <v>45960.68</v>
      </c>
      <c r="Q101" s="206">
        <v>42916</v>
      </c>
    </row>
    <row r="102" spans="1:17" x14ac:dyDescent="0.25">
      <c r="A102" s="217">
        <v>99</v>
      </c>
      <c r="B102" s="355" t="s">
        <v>327</v>
      </c>
      <c r="C102" s="202" t="s">
        <v>401</v>
      </c>
      <c r="D102" s="204">
        <v>42844</v>
      </c>
      <c r="E102" s="204">
        <v>42895</v>
      </c>
      <c r="F102" s="203">
        <v>27</v>
      </c>
      <c r="G102" s="203">
        <f>IF(CavityStatus[[#This Row],[Actual Ship Date]]&lt;&gt;0,($E102-$D102)/7,0)</f>
        <v>7.2857142857142856</v>
      </c>
      <c r="H102" s="205"/>
      <c r="I102" s="205"/>
      <c r="J102" s="205">
        <v>1000</v>
      </c>
      <c r="K102" s="205">
        <v>1000</v>
      </c>
      <c r="L102" s="206">
        <v>42901</v>
      </c>
      <c r="M102" s="207">
        <v>4283.18</v>
      </c>
      <c r="N102" s="207">
        <v>490</v>
      </c>
      <c r="O102" s="207">
        <f>RICavMilestoneVal</f>
        <v>40187.5</v>
      </c>
      <c r="P102" s="207">
        <f>RICavMilestoneVal+CavityStatus[[#This Row],[Incentive Earned]]+CavityStatus[[#This Row],[Recipe Modification (Mod 9)]]+N102</f>
        <v>45960.68</v>
      </c>
      <c r="Q102" s="206">
        <v>42916</v>
      </c>
    </row>
    <row r="103" spans="1:17" x14ac:dyDescent="0.25">
      <c r="A103" s="217">
        <v>100</v>
      </c>
      <c r="B103" s="355" t="s">
        <v>328</v>
      </c>
      <c r="C103" s="202" t="s">
        <v>401</v>
      </c>
      <c r="D103" s="204">
        <v>42844</v>
      </c>
      <c r="E103" s="204">
        <v>42895</v>
      </c>
      <c r="F103" s="203">
        <v>27</v>
      </c>
      <c r="G103" s="203">
        <f>IF(CavityStatus[[#This Row],[Actual Ship Date]]&lt;&gt;0,($E103-$D103)/7,0)</f>
        <v>7.2857142857142856</v>
      </c>
      <c r="H103" s="205"/>
      <c r="I103" s="205"/>
      <c r="J103" s="205">
        <v>1000</v>
      </c>
      <c r="K103" s="205">
        <v>1000</v>
      </c>
      <c r="L103" s="206">
        <v>42901</v>
      </c>
      <c r="M103" s="207">
        <v>4283.18</v>
      </c>
      <c r="N103" s="207">
        <v>490</v>
      </c>
      <c r="O103" s="207">
        <f>RICavMilestoneVal</f>
        <v>40187.5</v>
      </c>
      <c r="P103" s="207">
        <f>RICavMilestoneVal+CavityStatus[[#This Row],[Incentive Earned]]+CavityStatus[[#This Row],[Recipe Modification (Mod 9)]]+N103</f>
        <v>45960.68</v>
      </c>
      <c r="Q103" s="206">
        <v>42916</v>
      </c>
    </row>
    <row r="104" spans="1:17" x14ac:dyDescent="0.25">
      <c r="A104" s="217">
        <v>101</v>
      </c>
      <c r="B104" s="355" t="s">
        <v>347</v>
      </c>
      <c r="C104" s="202" t="s">
        <v>401</v>
      </c>
      <c r="D104" s="204">
        <v>42872</v>
      </c>
      <c r="E104" s="204">
        <v>42895</v>
      </c>
      <c r="F104" s="203">
        <v>27</v>
      </c>
      <c r="G104" s="203">
        <f>IF(CavityStatus[[#This Row],[Actual Ship Date]]&lt;&gt;0,($E104-$D104)/7,0)</f>
        <v>3.2857142857142856</v>
      </c>
      <c r="H104" s="205"/>
      <c r="I104" s="205"/>
      <c r="J104" s="205">
        <v>1000</v>
      </c>
      <c r="K104" s="205">
        <v>1000</v>
      </c>
      <c r="L104" s="206">
        <v>42901</v>
      </c>
      <c r="M104" s="207">
        <v>4283.18</v>
      </c>
      <c r="N104" s="207">
        <v>490</v>
      </c>
      <c r="O104" s="207">
        <f>RICavMilestoneVal</f>
        <v>40187.5</v>
      </c>
      <c r="P104" s="207">
        <f>RICavMilestoneVal+CavityStatus[[#This Row],[Incentive Earned]]+CavityStatus[[#This Row],[Recipe Modification (Mod 9)]]+N104</f>
        <v>45960.68</v>
      </c>
      <c r="Q104" s="206">
        <v>42916</v>
      </c>
    </row>
    <row r="105" spans="1:17" x14ac:dyDescent="0.25">
      <c r="A105" s="217">
        <v>102</v>
      </c>
      <c r="B105" s="355" t="s">
        <v>350</v>
      </c>
      <c r="C105" s="202" t="s">
        <v>401</v>
      </c>
      <c r="D105" s="204">
        <v>42872</v>
      </c>
      <c r="E105" s="204">
        <v>42895</v>
      </c>
      <c r="F105" s="203">
        <v>27</v>
      </c>
      <c r="G105" s="203">
        <f>IF(CavityStatus[[#This Row],[Actual Ship Date]]&lt;&gt;0,($E105-$D105)/7,0)</f>
        <v>3.2857142857142856</v>
      </c>
      <c r="H105" s="205"/>
      <c r="I105" s="205"/>
      <c r="J105" s="205">
        <v>1000</v>
      </c>
      <c r="K105" s="205">
        <v>1000</v>
      </c>
      <c r="L105" s="206">
        <v>42901</v>
      </c>
      <c r="M105" s="207">
        <v>4283.18</v>
      </c>
      <c r="N105" s="207">
        <v>490</v>
      </c>
      <c r="O105" s="207">
        <f>RICavMilestoneVal</f>
        <v>40187.5</v>
      </c>
      <c r="P105" s="207">
        <f>RICavMilestoneVal+CavityStatus[[#This Row],[Incentive Earned]]+CavityStatus[[#This Row],[Recipe Modification (Mod 9)]]+N105</f>
        <v>45960.68</v>
      </c>
      <c r="Q105" s="206">
        <v>42916</v>
      </c>
    </row>
    <row r="106" spans="1:17" x14ac:dyDescent="0.25">
      <c r="A106" s="217"/>
      <c r="B106" s="356" t="s">
        <v>335</v>
      </c>
      <c r="C106" s="202" t="s">
        <v>401</v>
      </c>
      <c r="D106" s="204">
        <v>42844</v>
      </c>
      <c r="E106" s="204">
        <v>42908</v>
      </c>
      <c r="F106" s="203">
        <v>28</v>
      </c>
      <c r="G106" s="203">
        <f>IF(CavityStatus[[#This Row],[Actual Ship Date]]&lt;&gt;0,($E106-$D106)/7,0)</f>
        <v>9.1428571428571423</v>
      </c>
      <c r="H106" s="205"/>
      <c r="I106" s="205"/>
      <c r="J106" s="205">
        <v>1000</v>
      </c>
      <c r="K106" s="205">
        <v>1000</v>
      </c>
      <c r="L106" s="206">
        <v>42908</v>
      </c>
      <c r="M106" s="207">
        <v>4283.18</v>
      </c>
      <c r="N106" s="207">
        <v>490</v>
      </c>
      <c r="O106" s="207">
        <f>RICavMilestoneVal</f>
        <v>40187.5</v>
      </c>
      <c r="P106" s="207">
        <f>RICavMilestoneVal+CavityStatus[[#This Row],[Incentive Earned]]+CavityStatus[[#This Row],[Recipe Modification (Mod 9)]]+N106</f>
        <v>45960.68</v>
      </c>
      <c r="Q106" s="206"/>
    </row>
    <row r="107" spans="1:17" x14ac:dyDescent="0.25">
      <c r="A107" s="217"/>
      <c r="B107" s="356" t="s">
        <v>351</v>
      </c>
      <c r="C107" s="202" t="s">
        <v>401</v>
      </c>
      <c r="D107" s="204">
        <v>42900</v>
      </c>
      <c r="E107" s="204">
        <v>42908</v>
      </c>
      <c r="F107" s="203">
        <v>28</v>
      </c>
      <c r="G107" s="203">
        <f>IF(CavityStatus[[#This Row],[Actual Ship Date]]&lt;&gt;0,($E107-$D107)/7,0)</f>
        <v>1.1428571428571428</v>
      </c>
      <c r="H107" s="205"/>
      <c r="I107" s="205"/>
      <c r="J107" s="205">
        <v>1000</v>
      </c>
      <c r="K107" s="205">
        <v>1000</v>
      </c>
      <c r="L107" s="206">
        <v>42908</v>
      </c>
      <c r="M107" s="207">
        <v>4283.18</v>
      </c>
      <c r="N107" s="207">
        <v>490</v>
      </c>
      <c r="O107" s="207">
        <f>RICavMilestoneVal</f>
        <v>40187.5</v>
      </c>
      <c r="P107" s="207">
        <f>RICavMilestoneVal+CavityStatus[[#This Row],[Incentive Earned]]+CavityStatus[[#This Row],[Recipe Modification (Mod 9)]]+N107</f>
        <v>45960.68</v>
      </c>
      <c r="Q107" s="206"/>
    </row>
    <row r="108" spans="1:17" x14ac:dyDescent="0.25">
      <c r="A108" s="217"/>
      <c r="B108" s="356" t="s">
        <v>352</v>
      </c>
      <c r="C108" s="202" t="s">
        <v>401</v>
      </c>
      <c r="D108" s="204">
        <v>42900</v>
      </c>
      <c r="E108" s="204">
        <v>42908</v>
      </c>
      <c r="F108" s="203">
        <v>28</v>
      </c>
      <c r="G108" s="203">
        <f>IF(CavityStatus[[#This Row],[Actual Ship Date]]&lt;&gt;0,($E108-$D108)/7,0)</f>
        <v>1.1428571428571428</v>
      </c>
      <c r="H108" s="205"/>
      <c r="I108" s="205"/>
      <c r="J108" s="205">
        <v>1000</v>
      </c>
      <c r="K108" s="205">
        <v>1000</v>
      </c>
      <c r="L108" s="206">
        <v>42908</v>
      </c>
      <c r="M108" s="207">
        <v>4283.18</v>
      </c>
      <c r="N108" s="207">
        <v>490</v>
      </c>
      <c r="O108" s="207">
        <f>RICavMilestoneVal</f>
        <v>40187.5</v>
      </c>
      <c r="P108" s="207">
        <f>RICavMilestoneVal+CavityStatus[[#This Row],[Incentive Earned]]+CavityStatus[[#This Row],[Recipe Modification (Mod 9)]]+N108</f>
        <v>45960.68</v>
      </c>
      <c r="Q108" s="206"/>
    </row>
    <row r="109" spans="1:17" x14ac:dyDescent="0.25">
      <c r="A109" s="217"/>
      <c r="B109" s="357" t="s">
        <v>355</v>
      </c>
      <c r="C109" s="202" t="s">
        <v>401</v>
      </c>
      <c r="D109" s="204">
        <v>42900</v>
      </c>
      <c r="E109" s="204">
        <v>42908</v>
      </c>
      <c r="F109" s="203">
        <v>28</v>
      </c>
      <c r="G109" s="203">
        <f>IF(CavityStatus[[#This Row],[Actual Ship Date]]&lt;&gt;0,($E109-$D109)/7,0)</f>
        <v>1.1428571428571428</v>
      </c>
      <c r="H109" s="205"/>
      <c r="I109" s="205"/>
      <c r="J109" s="205">
        <v>1000</v>
      </c>
      <c r="K109" s="205">
        <v>1000</v>
      </c>
      <c r="L109" s="206">
        <v>42908</v>
      </c>
      <c r="M109" s="207">
        <v>4283.18</v>
      </c>
      <c r="N109" s="207">
        <v>490</v>
      </c>
      <c r="O109" s="207">
        <f>RICavMilestoneVal</f>
        <v>40187.5</v>
      </c>
      <c r="P109" s="207">
        <f>RICavMilestoneVal+CavityStatus[[#This Row],[Incentive Earned]]+CavityStatus[[#This Row],[Recipe Modification (Mod 9)]]+N109</f>
        <v>45960.68</v>
      </c>
      <c r="Q109" s="206"/>
    </row>
    <row r="110" spans="1:17" x14ac:dyDescent="0.25">
      <c r="A110" s="217"/>
      <c r="B110" s="202" t="s">
        <v>333</v>
      </c>
      <c r="C110" s="202" t="s">
        <v>401</v>
      </c>
      <c r="D110" s="204">
        <v>42844</v>
      </c>
      <c r="E110" s="204"/>
      <c r="F110" s="203"/>
      <c r="G110" s="203">
        <f>IF(CavityStatus[[#This Row],[Actual Ship Date]]&lt;&gt;0,($E110-$D110)/7,0)</f>
        <v>0</v>
      </c>
      <c r="H110" s="205"/>
      <c r="I110" s="205"/>
      <c r="J110" s="205">
        <v>1000</v>
      </c>
      <c r="K110" s="205"/>
      <c r="L110" s="206"/>
      <c r="M110" s="207">
        <v>4283.18</v>
      </c>
      <c r="N110" s="207">
        <v>490</v>
      </c>
      <c r="O110" s="207">
        <f>RICavMilestoneVal</f>
        <v>40187.5</v>
      </c>
      <c r="P110" s="207">
        <f>RICavMilestoneVal+CavityStatus[[#This Row],[Incentive Earned]]+CavityStatus[[#This Row],[Recipe Modification (Mod 9)]]+N110</f>
        <v>44960.68</v>
      </c>
      <c r="Q110" s="206"/>
    </row>
    <row r="111" spans="1:17" x14ac:dyDescent="0.25">
      <c r="A111" s="217"/>
      <c r="B111" s="202" t="s">
        <v>334</v>
      </c>
      <c r="C111" s="202" t="s">
        <v>401</v>
      </c>
      <c r="D111" s="204">
        <v>42844</v>
      </c>
      <c r="E111" s="204"/>
      <c r="F111" s="203"/>
      <c r="G111" s="203">
        <f>IF(CavityStatus[[#This Row],[Actual Ship Date]]&lt;&gt;0,($E111-$D111)/7,0)</f>
        <v>0</v>
      </c>
      <c r="H111" s="205"/>
      <c r="I111" s="205"/>
      <c r="J111" s="205">
        <v>1000</v>
      </c>
      <c r="K111" s="205"/>
      <c r="L111" s="206"/>
      <c r="M111" s="207">
        <v>4283.18</v>
      </c>
      <c r="N111" s="207">
        <v>490</v>
      </c>
      <c r="O111" s="207">
        <f>RICavMilestoneVal</f>
        <v>40187.5</v>
      </c>
      <c r="P111" s="207">
        <f>RICavMilestoneVal+CavityStatus[[#This Row],[Incentive Earned]]+CavityStatus[[#This Row],[Recipe Modification (Mod 9)]]+N111</f>
        <v>44960.68</v>
      </c>
      <c r="Q111" s="206"/>
    </row>
    <row r="112" spans="1:17" x14ac:dyDescent="0.25">
      <c r="A112" s="217"/>
      <c r="B112" s="202" t="s">
        <v>337</v>
      </c>
      <c r="C112" s="202" t="s">
        <v>401</v>
      </c>
      <c r="D112" s="204">
        <v>42844</v>
      </c>
      <c r="E112" s="204"/>
      <c r="F112" s="203"/>
      <c r="G112" s="203">
        <f>IF(CavityStatus[[#This Row],[Actual Ship Date]]&lt;&gt;0,($E112-$D112)/7,0)</f>
        <v>0</v>
      </c>
      <c r="H112" s="205"/>
      <c r="I112" s="205"/>
      <c r="J112" s="205">
        <v>1000</v>
      </c>
      <c r="K112" s="205"/>
      <c r="L112" s="206"/>
      <c r="M112" s="207">
        <v>4283.18</v>
      </c>
      <c r="N112" s="207">
        <v>490</v>
      </c>
      <c r="O112" s="207">
        <f>RICavMilestoneVal</f>
        <v>40187.5</v>
      </c>
      <c r="P112" s="207">
        <f>RICavMilestoneVal+CavityStatus[[#This Row],[Incentive Earned]]+CavityStatus[[#This Row],[Recipe Modification (Mod 9)]]+N112</f>
        <v>44960.68</v>
      </c>
      <c r="Q112" s="206"/>
    </row>
    <row r="113" spans="1:17" x14ac:dyDescent="0.25">
      <c r="A113" s="217"/>
      <c r="B113" s="202" t="s">
        <v>338</v>
      </c>
      <c r="C113" s="202" t="s">
        <v>401</v>
      </c>
      <c r="D113" s="204">
        <v>42844</v>
      </c>
      <c r="E113" s="204"/>
      <c r="F113" s="203"/>
      <c r="G113" s="203">
        <f>IF(CavityStatus[[#This Row],[Actual Ship Date]]&lt;&gt;0,($E113-$D113)/7,0)</f>
        <v>0</v>
      </c>
      <c r="H113" s="205"/>
      <c r="I113" s="205"/>
      <c r="J113" s="205">
        <v>1000</v>
      </c>
      <c r="K113" s="205"/>
      <c r="L113" s="206"/>
      <c r="M113" s="207">
        <v>4283.18</v>
      </c>
      <c r="N113" s="207">
        <v>490</v>
      </c>
      <c r="O113" s="207">
        <f>RICavMilestoneVal</f>
        <v>40187.5</v>
      </c>
      <c r="P113" s="207">
        <f>RICavMilestoneVal+CavityStatus[[#This Row],[Incentive Earned]]+CavityStatus[[#This Row],[Recipe Modification (Mod 9)]]+N113</f>
        <v>44960.68</v>
      </c>
      <c r="Q113" s="206"/>
    </row>
    <row r="114" spans="1:17" x14ac:dyDescent="0.25">
      <c r="A114" s="217"/>
      <c r="B114" s="202" t="s">
        <v>339</v>
      </c>
      <c r="C114" s="202" t="s">
        <v>401</v>
      </c>
      <c r="D114" s="204">
        <v>42872</v>
      </c>
      <c r="E114" s="204"/>
      <c r="F114" s="203"/>
      <c r="G114" s="203">
        <f>IF(CavityStatus[[#This Row],[Actual Ship Date]]&lt;&gt;0,($E114-$D114)/7,0)</f>
        <v>0</v>
      </c>
      <c r="H114" s="205"/>
      <c r="I114" s="205"/>
      <c r="J114" s="205">
        <v>1000</v>
      </c>
      <c r="K114" s="205"/>
      <c r="L114" s="206"/>
      <c r="M114" s="207">
        <v>4283.18</v>
      </c>
      <c r="N114" s="207">
        <v>490</v>
      </c>
      <c r="O114" s="207">
        <f>RICavMilestoneVal</f>
        <v>40187.5</v>
      </c>
      <c r="P114" s="207">
        <f>RICavMilestoneVal+CavityStatus[[#This Row],[Incentive Earned]]+CavityStatus[[#This Row],[Recipe Modification (Mod 9)]]+N114</f>
        <v>44960.68</v>
      </c>
      <c r="Q114" s="206"/>
    </row>
    <row r="115" spans="1:17" x14ac:dyDescent="0.25">
      <c r="A115" s="217"/>
      <c r="B115" s="202" t="s">
        <v>340</v>
      </c>
      <c r="C115" s="202" t="s">
        <v>401</v>
      </c>
      <c r="D115" s="204">
        <v>42872</v>
      </c>
      <c r="E115" s="204"/>
      <c r="F115" s="203"/>
      <c r="G115" s="203">
        <f>IF(CavityStatus[[#This Row],[Actual Ship Date]]&lt;&gt;0,($E115-$D115)/7,0)</f>
        <v>0</v>
      </c>
      <c r="H115" s="205"/>
      <c r="I115" s="205"/>
      <c r="J115" s="205">
        <v>1000</v>
      </c>
      <c r="K115" s="205"/>
      <c r="L115" s="206"/>
      <c r="M115" s="207">
        <v>4283.18</v>
      </c>
      <c r="N115" s="207">
        <v>490</v>
      </c>
      <c r="O115" s="207">
        <f>RICavMilestoneVal</f>
        <v>40187.5</v>
      </c>
      <c r="P115" s="207">
        <f>RICavMilestoneVal+CavityStatus[[#This Row],[Incentive Earned]]+CavityStatus[[#This Row],[Recipe Modification (Mod 9)]]+N115</f>
        <v>44960.68</v>
      </c>
      <c r="Q115" s="206"/>
    </row>
    <row r="116" spans="1:17" x14ac:dyDescent="0.25">
      <c r="A116" s="217"/>
      <c r="B116" s="202" t="s">
        <v>343</v>
      </c>
      <c r="C116" s="202" t="s">
        <v>401</v>
      </c>
      <c r="D116" s="204">
        <v>42872</v>
      </c>
      <c r="E116" s="204"/>
      <c r="F116" s="203"/>
      <c r="G116" s="203">
        <f>IF(CavityStatus[[#This Row],[Actual Ship Date]]&lt;&gt;0,($E116-$D116)/7,0)</f>
        <v>0</v>
      </c>
      <c r="H116" s="205"/>
      <c r="I116" s="205"/>
      <c r="J116" s="205">
        <v>1000</v>
      </c>
      <c r="K116" s="205"/>
      <c r="L116" s="206"/>
      <c r="M116" s="207">
        <v>4283.18</v>
      </c>
      <c r="N116" s="207">
        <v>490</v>
      </c>
      <c r="O116" s="207">
        <f>RICavMilestoneVal</f>
        <v>40187.5</v>
      </c>
      <c r="P116" s="207">
        <f>RICavMilestoneVal+CavityStatus[[#This Row],[Incentive Earned]]+CavityStatus[[#This Row],[Recipe Modification (Mod 9)]]+N116</f>
        <v>44960.68</v>
      </c>
      <c r="Q116" s="206"/>
    </row>
    <row r="117" spans="1:17" x14ac:dyDescent="0.25">
      <c r="A117" s="217"/>
      <c r="B117" s="202" t="s">
        <v>344</v>
      </c>
      <c r="C117" s="202" t="s">
        <v>401</v>
      </c>
      <c r="D117" s="204">
        <v>42872</v>
      </c>
      <c r="E117" s="204"/>
      <c r="F117" s="203"/>
      <c r="G117" s="203">
        <f>IF(CavityStatus[[#This Row],[Actual Ship Date]]&lt;&gt;0,($E117-$D117)/7,0)</f>
        <v>0</v>
      </c>
      <c r="H117" s="205"/>
      <c r="I117" s="205"/>
      <c r="J117" s="205">
        <v>1000</v>
      </c>
      <c r="K117" s="205"/>
      <c r="L117" s="206"/>
      <c r="M117" s="207">
        <v>4283.18</v>
      </c>
      <c r="N117" s="207">
        <v>490</v>
      </c>
      <c r="O117" s="207">
        <f>RICavMilestoneVal</f>
        <v>40187.5</v>
      </c>
      <c r="P117" s="207">
        <f>RICavMilestoneVal+CavityStatus[[#This Row],[Incentive Earned]]+CavityStatus[[#This Row],[Recipe Modification (Mod 9)]]+N117</f>
        <v>44960.68</v>
      </c>
      <c r="Q117" s="206"/>
    </row>
    <row r="118" spans="1:17" x14ac:dyDescent="0.25">
      <c r="A118" s="217"/>
      <c r="B118" s="202" t="s">
        <v>345</v>
      </c>
      <c r="C118" s="202" t="s">
        <v>401</v>
      </c>
      <c r="D118" s="204">
        <v>42872</v>
      </c>
      <c r="E118" s="204"/>
      <c r="F118" s="203"/>
      <c r="G118" s="203">
        <f>IF(CavityStatus[[#This Row],[Actual Ship Date]]&lt;&gt;0,($E118-$D118)/7,0)</f>
        <v>0</v>
      </c>
      <c r="H118" s="205"/>
      <c r="I118" s="205"/>
      <c r="J118" s="205">
        <v>1000</v>
      </c>
      <c r="K118" s="205"/>
      <c r="L118" s="206"/>
      <c r="M118" s="207">
        <v>4283.18</v>
      </c>
      <c r="N118" s="207">
        <v>490</v>
      </c>
      <c r="O118" s="207">
        <f>RICavMilestoneVal</f>
        <v>40187.5</v>
      </c>
      <c r="P118" s="207">
        <f>RICavMilestoneVal+CavityStatus[[#This Row],[Incentive Earned]]+CavityStatus[[#This Row],[Recipe Modification (Mod 9)]]+N118</f>
        <v>44960.68</v>
      </c>
      <c r="Q118" s="206"/>
    </row>
    <row r="119" spans="1:17" x14ac:dyDescent="0.25">
      <c r="A119" s="217"/>
      <c r="B119" s="202" t="s">
        <v>353</v>
      </c>
      <c r="C119" s="202" t="s">
        <v>401</v>
      </c>
      <c r="D119" s="204">
        <v>42900</v>
      </c>
      <c r="E119" s="204"/>
      <c r="F119" s="203"/>
      <c r="G119" s="203">
        <f>IF(CavityStatus[[#This Row],[Actual Ship Date]]&lt;&gt;0,($E119-$D119)/7,0)</f>
        <v>0</v>
      </c>
      <c r="H119" s="205"/>
      <c r="I119" s="205"/>
      <c r="J119" s="205">
        <v>1000</v>
      </c>
      <c r="K119" s="205"/>
      <c r="L119" s="206"/>
      <c r="M119" s="207">
        <v>4283.18</v>
      </c>
      <c r="N119" s="207">
        <v>490</v>
      </c>
      <c r="O119" s="207">
        <f>RICavMilestoneVal</f>
        <v>40187.5</v>
      </c>
      <c r="P119" s="207">
        <f>RICavMilestoneVal+CavityStatus[[#This Row],[Incentive Earned]]+CavityStatus[[#This Row],[Recipe Modification (Mod 9)]]+N119</f>
        <v>44960.68</v>
      </c>
      <c r="Q119" s="206"/>
    </row>
    <row r="120" spans="1:17" x14ac:dyDescent="0.25">
      <c r="A120" s="217"/>
      <c r="B120" s="202" t="s">
        <v>354</v>
      </c>
      <c r="C120" s="202" t="s">
        <v>401</v>
      </c>
      <c r="D120" s="204">
        <v>42900</v>
      </c>
      <c r="E120" s="204"/>
      <c r="F120" s="203"/>
      <c r="G120" s="203">
        <f>IF(CavityStatus[[#This Row],[Actual Ship Date]]&lt;&gt;0,($E120-$D120)/7,0)</f>
        <v>0</v>
      </c>
      <c r="H120" s="205"/>
      <c r="I120" s="205"/>
      <c r="J120" s="205">
        <v>1000</v>
      </c>
      <c r="K120" s="205"/>
      <c r="L120" s="206"/>
      <c r="M120" s="207">
        <v>4283.18</v>
      </c>
      <c r="N120" s="207">
        <v>490</v>
      </c>
      <c r="O120" s="207">
        <f>RICavMilestoneVal</f>
        <v>40187.5</v>
      </c>
      <c r="P120" s="207">
        <f>RICavMilestoneVal+CavityStatus[[#This Row],[Incentive Earned]]+CavityStatus[[#This Row],[Recipe Modification (Mod 9)]]+N120</f>
        <v>44960.68</v>
      </c>
      <c r="Q120" s="206"/>
    </row>
    <row r="121" spans="1:17" x14ac:dyDescent="0.25">
      <c r="A121" s="217"/>
      <c r="B121" s="202" t="s">
        <v>356</v>
      </c>
      <c r="C121" s="202" t="s">
        <v>401</v>
      </c>
      <c r="D121" s="204">
        <v>42900</v>
      </c>
      <c r="E121" s="204"/>
      <c r="F121" s="203"/>
      <c r="G121" s="203">
        <f>IF(CavityStatus[[#This Row],[Actual Ship Date]]&lt;&gt;0,($E121-$D121)/7,0)</f>
        <v>0</v>
      </c>
      <c r="H121" s="205"/>
      <c r="I121" s="205"/>
      <c r="J121" s="205">
        <v>1000</v>
      </c>
      <c r="K121" s="205"/>
      <c r="L121" s="206"/>
      <c r="M121" s="207">
        <v>4283.18</v>
      </c>
      <c r="N121" s="207">
        <v>490</v>
      </c>
      <c r="O121" s="207">
        <f>RICavMilestoneVal</f>
        <v>40187.5</v>
      </c>
      <c r="P121" s="207">
        <f>RICavMilestoneVal+CavityStatus[[#This Row],[Incentive Earned]]+CavityStatus[[#This Row],[Recipe Modification (Mod 9)]]+N121</f>
        <v>44960.68</v>
      </c>
      <c r="Q121" s="206"/>
    </row>
    <row r="122" spans="1:17" x14ac:dyDescent="0.25">
      <c r="A122" s="217"/>
      <c r="B122" s="202" t="s">
        <v>357</v>
      </c>
      <c r="C122" s="202" t="s">
        <v>401</v>
      </c>
      <c r="D122" s="204">
        <v>42900</v>
      </c>
      <c r="E122" s="204"/>
      <c r="F122" s="203"/>
      <c r="G122" s="203">
        <f>IF(CavityStatus[[#This Row],[Actual Ship Date]]&lt;&gt;0,($E122-$D122)/7,0)</f>
        <v>0</v>
      </c>
      <c r="H122" s="205"/>
      <c r="I122" s="205"/>
      <c r="J122" s="205">
        <v>1000</v>
      </c>
      <c r="K122" s="205"/>
      <c r="L122" s="206"/>
      <c r="M122" s="207">
        <v>4283.18</v>
      </c>
      <c r="N122" s="207">
        <v>490</v>
      </c>
      <c r="O122" s="207">
        <f>RICavMilestoneVal</f>
        <v>40187.5</v>
      </c>
      <c r="P122" s="207">
        <f>RICavMilestoneVal+CavityStatus[[#This Row],[Incentive Earned]]+CavityStatus[[#This Row],[Recipe Modification (Mod 9)]]+N122</f>
        <v>44960.68</v>
      </c>
      <c r="Q122" s="206"/>
    </row>
    <row r="123" spans="1:17" x14ac:dyDescent="0.25">
      <c r="A123" s="217"/>
      <c r="B123" s="202" t="s">
        <v>358</v>
      </c>
      <c r="C123" s="202" t="s">
        <v>401</v>
      </c>
      <c r="D123" s="204">
        <v>42900</v>
      </c>
      <c r="E123" s="204"/>
      <c r="F123" s="203"/>
      <c r="G123" s="203">
        <f>IF(CavityStatus[[#This Row],[Actual Ship Date]]&lt;&gt;0,($E123-$D123)/7,0)</f>
        <v>0</v>
      </c>
      <c r="H123" s="205"/>
      <c r="I123" s="205"/>
      <c r="J123" s="205">
        <v>1000</v>
      </c>
      <c r="K123" s="205"/>
      <c r="L123" s="206"/>
      <c r="M123" s="207">
        <v>4283.18</v>
      </c>
      <c r="N123" s="207">
        <v>490</v>
      </c>
      <c r="O123" s="207">
        <f>RICavMilestoneVal</f>
        <v>40187.5</v>
      </c>
      <c r="P123" s="207">
        <f>RICavMilestoneVal+CavityStatus[[#This Row],[Incentive Earned]]+CavityStatus[[#This Row],[Recipe Modification (Mod 9)]]+N123</f>
        <v>44960.68</v>
      </c>
      <c r="Q123" s="206"/>
    </row>
    <row r="124" spans="1:17" x14ac:dyDescent="0.25">
      <c r="A124" s="217"/>
      <c r="B124" s="202" t="s">
        <v>359</v>
      </c>
      <c r="C124" s="202" t="s">
        <v>401</v>
      </c>
      <c r="D124" s="204">
        <v>42900</v>
      </c>
      <c r="E124" s="204"/>
      <c r="F124" s="203"/>
      <c r="G124" s="203">
        <f>IF(CavityStatus[[#This Row],[Actual Ship Date]]&lt;&gt;0,($E124-$D124)/7,0)</f>
        <v>0</v>
      </c>
      <c r="H124" s="205"/>
      <c r="I124" s="205"/>
      <c r="J124" s="205">
        <v>1000</v>
      </c>
      <c r="K124" s="205"/>
      <c r="L124" s="206"/>
      <c r="M124" s="207">
        <v>4283.18</v>
      </c>
      <c r="N124" s="207">
        <v>490</v>
      </c>
      <c r="O124" s="207">
        <f>RICavMilestoneVal</f>
        <v>40187.5</v>
      </c>
      <c r="P124" s="207">
        <f>RICavMilestoneVal+CavityStatus[[#This Row],[Incentive Earned]]+CavityStatus[[#This Row],[Recipe Modification (Mod 9)]]+N124</f>
        <v>44960.68</v>
      </c>
      <c r="Q124" s="206"/>
    </row>
    <row r="125" spans="1:17" x14ac:dyDescent="0.25">
      <c r="A125" s="217"/>
      <c r="B125" s="202" t="s">
        <v>360</v>
      </c>
      <c r="C125" s="202" t="s">
        <v>401</v>
      </c>
      <c r="D125" s="204">
        <v>42900</v>
      </c>
      <c r="E125" s="204"/>
      <c r="F125" s="203"/>
      <c r="G125" s="203">
        <f>IF(CavityStatus[[#This Row],[Actual Ship Date]]&lt;&gt;0,($E125-$D125)/7,0)</f>
        <v>0</v>
      </c>
      <c r="H125" s="205"/>
      <c r="I125" s="205"/>
      <c r="J125" s="205">
        <v>1000</v>
      </c>
      <c r="K125" s="205"/>
      <c r="L125" s="206"/>
      <c r="M125" s="207">
        <v>4283.18</v>
      </c>
      <c r="N125" s="207">
        <v>490</v>
      </c>
      <c r="O125" s="207">
        <f>RICavMilestoneVal</f>
        <v>40187.5</v>
      </c>
      <c r="P125" s="207">
        <f>RICavMilestoneVal+CavityStatus[[#This Row],[Incentive Earned]]+CavityStatus[[#This Row],[Recipe Modification (Mod 9)]]+N125</f>
        <v>44960.68</v>
      </c>
      <c r="Q125" s="206"/>
    </row>
    <row r="126" spans="1:17" x14ac:dyDescent="0.25">
      <c r="A126" s="217"/>
      <c r="B126" s="202" t="s">
        <v>361</v>
      </c>
      <c r="C126" s="202" t="s">
        <v>401</v>
      </c>
      <c r="D126" s="204">
        <v>42900</v>
      </c>
      <c r="E126" s="204"/>
      <c r="F126" s="203"/>
      <c r="G126" s="203">
        <f>IF(CavityStatus[[#This Row],[Actual Ship Date]]&lt;&gt;0,($E126-$D126)/7,0)</f>
        <v>0</v>
      </c>
      <c r="H126" s="205"/>
      <c r="I126" s="205"/>
      <c r="J126" s="205">
        <v>1000</v>
      </c>
      <c r="K126" s="205"/>
      <c r="L126" s="206"/>
      <c r="M126" s="207">
        <v>4283.18</v>
      </c>
      <c r="N126" s="207">
        <v>490</v>
      </c>
      <c r="O126" s="207">
        <f>RICavMilestoneVal</f>
        <v>40187.5</v>
      </c>
      <c r="P126" s="207">
        <f>RICavMilestoneVal+CavityStatus[[#This Row],[Incentive Earned]]+CavityStatus[[#This Row],[Recipe Modification (Mod 9)]]+N126</f>
        <v>44960.68</v>
      </c>
      <c r="Q126" s="206"/>
    </row>
    <row r="127" spans="1:17" x14ac:dyDescent="0.25">
      <c r="A127" s="217"/>
      <c r="B127" s="202" t="s">
        <v>362</v>
      </c>
      <c r="C127" s="202" t="s">
        <v>401</v>
      </c>
      <c r="D127" s="204">
        <v>42900</v>
      </c>
      <c r="E127" s="204"/>
      <c r="F127" s="203"/>
      <c r="G127" s="203">
        <f>IF(CavityStatus[[#This Row],[Actual Ship Date]]&lt;&gt;0,($E127-$D127)/7,0)</f>
        <v>0</v>
      </c>
      <c r="H127" s="205"/>
      <c r="I127" s="205"/>
      <c r="J127" s="205">
        <v>1000</v>
      </c>
      <c r="K127" s="205"/>
      <c r="L127" s="206"/>
      <c r="M127" s="207">
        <v>4283.18</v>
      </c>
      <c r="N127" s="207">
        <v>490</v>
      </c>
      <c r="O127" s="207">
        <f>RICavMilestoneVal</f>
        <v>40187.5</v>
      </c>
      <c r="P127" s="207">
        <f>RICavMilestoneVal+CavityStatus[[#This Row],[Incentive Earned]]+CavityStatus[[#This Row],[Recipe Modification (Mod 9)]]+N127</f>
        <v>44960.68</v>
      </c>
      <c r="Q127" s="206"/>
    </row>
    <row r="128" spans="1:17" x14ac:dyDescent="0.25">
      <c r="A128" s="217"/>
      <c r="B128" s="202" t="s">
        <v>363</v>
      </c>
      <c r="C128" s="202" t="s">
        <v>401</v>
      </c>
      <c r="D128" s="204">
        <v>42928</v>
      </c>
      <c r="E128" s="204"/>
      <c r="F128" s="203"/>
      <c r="G128" s="203">
        <f>IF(CavityStatus[[#This Row],[Actual Ship Date]]&lt;&gt;0,($E128-$D128)/7,0)</f>
        <v>0</v>
      </c>
      <c r="H128" s="205"/>
      <c r="I128" s="205"/>
      <c r="J128" s="205">
        <v>1000</v>
      </c>
      <c r="K128" s="205"/>
      <c r="L128" s="206"/>
      <c r="M128" s="207">
        <v>4283.18</v>
      </c>
      <c r="N128" s="207">
        <v>490</v>
      </c>
      <c r="O128" s="207">
        <f>RICavMilestoneVal</f>
        <v>40187.5</v>
      </c>
      <c r="P128" s="207">
        <f>RICavMilestoneVal+CavityStatus[[#This Row],[Incentive Earned]]+CavityStatus[[#This Row],[Recipe Modification (Mod 9)]]+N128</f>
        <v>44960.68</v>
      </c>
      <c r="Q128" s="206"/>
    </row>
    <row r="129" spans="1:17" x14ac:dyDescent="0.25">
      <c r="A129" s="217"/>
      <c r="B129" s="202" t="s">
        <v>364</v>
      </c>
      <c r="C129" s="202" t="s">
        <v>401</v>
      </c>
      <c r="D129" s="204">
        <v>42928</v>
      </c>
      <c r="E129" s="204"/>
      <c r="F129" s="203"/>
      <c r="G129" s="203">
        <f>IF(CavityStatus[[#This Row],[Actual Ship Date]]&lt;&gt;0,($E129-$D129)/7,0)</f>
        <v>0</v>
      </c>
      <c r="H129" s="205"/>
      <c r="I129" s="205"/>
      <c r="J129" s="205">
        <v>1000</v>
      </c>
      <c r="K129" s="205"/>
      <c r="L129" s="206"/>
      <c r="M129" s="207">
        <v>4283.18</v>
      </c>
      <c r="N129" s="207">
        <v>490</v>
      </c>
      <c r="O129" s="207">
        <f>RICavMilestoneVal</f>
        <v>40187.5</v>
      </c>
      <c r="P129" s="207">
        <f>RICavMilestoneVal+CavityStatus[[#This Row],[Incentive Earned]]+CavityStatus[[#This Row],[Recipe Modification (Mod 9)]]+N129</f>
        <v>44960.68</v>
      </c>
      <c r="Q129" s="206"/>
    </row>
    <row r="130" spans="1:17" x14ac:dyDescent="0.25">
      <c r="A130" s="217"/>
      <c r="B130" s="202" t="s">
        <v>365</v>
      </c>
      <c r="C130" s="202" t="s">
        <v>401</v>
      </c>
      <c r="D130" s="204">
        <v>42928</v>
      </c>
      <c r="E130" s="204"/>
      <c r="F130" s="203"/>
      <c r="G130" s="203">
        <f>IF(CavityStatus[[#This Row],[Actual Ship Date]]&lt;&gt;0,($E130-$D130)/7,0)</f>
        <v>0</v>
      </c>
      <c r="H130" s="205"/>
      <c r="I130" s="205"/>
      <c r="J130" s="205">
        <v>1000</v>
      </c>
      <c r="K130" s="205"/>
      <c r="L130" s="206"/>
      <c r="M130" s="207">
        <v>4283.18</v>
      </c>
      <c r="N130" s="207">
        <v>490</v>
      </c>
      <c r="O130" s="207">
        <f>RICavMilestoneVal</f>
        <v>40187.5</v>
      </c>
      <c r="P130" s="207">
        <f>RICavMilestoneVal+CavityStatus[[#This Row],[Incentive Earned]]+CavityStatus[[#This Row],[Recipe Modification (Mod 9)]]+N130</f>
        <v>44960.68</v>
      </c>
      <c r="Q130" s="206"/>
    </row>
    <row r="131" spans="1:17" x14ac:dyDescent="0.25">
      <c r="A131" s="217"/>
      <c r="B131" s="202" t="s">
        <v>366</v>
      </c>
      <c r="C131" s="202" t="s">
        <v>401</v>
      </c>
      <c r="D131" s="204">
        <v>42928</v>
      </c>
      <c r="E131" s="204"/>
      <c r="F131" s="203"/>
      <c r="G131" s="203">
        <f>IF(CavityStatus[[#This Row],[Actual Ship Date]]&lt;&gt;0,($E131-$D131)/7,0)</f>
        <v>0</v>
      </c>
      <c r="H131" s="205"/>
      <c r="I131" s="205"/>
      <c r="J131" s="205">
        <v>1000</v>
      </c>
      <c r="K131" s="205"/>
      <c r="L131" s="206"/>
      <c r="M131" s="207">
        <v>4283.18</v>
      </c>
      <c r="N131" s="207">
        <v>490</v>
      </c>
      <c r="O131" s="207">
        <f>RICavMilestoneVal</f>
        <v>40187.5</v>
      </c>
      <c r="P131" s="207">
        <f>RICavMilestoneVal+CavityStatus[[#This Row],[Incentive Earned]]+CavityStatus[[#This Row],[Recipe Modification (Mod 9)]]+N131</f>
        <v>44960.68</v>
      </c>
      <c r="Q131" s="206"/>
    </row>
    <row r="132" spans="1:17" x14ac:dyDescent="0.25">
      <c r="A132" s="217"/>
      <c r="B132" s="202" t="s">
        <v>367</v>
      </c>
      <c r="C132" s="202" t="s">
        <v>401</v>
      </c>
      <c r="D132" s="204">
        <v>42928</v>
      </c>
      <c r="E132" s="204"/>
      <c r="F132" s="203"/>
      <c r="G132" s="203">
        <f>IF(CavityStatus[[#This Row],[Actual Ship Date]]&lt;&gt;0,($E132-$D132)/7,0)</f>
        <v>0</v>
      </c>
      <c r="H132" s="205"/>
      <c r="I132" s="205"/>
      <c r="J132" s="205">
        <v>1000</v>
      </c>
      <c r="K132" s="205"/>
      <c r="L132" s="206"/>
      <c r="M132" s="207">
        <v>4283.18</v>
      </c>
      <c r="N132" s="207">
        <v>490</v>
      </c>
      <c r="O132" s="207">
        <f>RICavMilestoneVal</f>
        <v>40187.5</v>
      </c>
      <c r="P132" s="207">
        <f>RICavMilestoneVal+CavityStatus[[#This Row],[Incentive Earned]]+CavityStatus[[#This Row],[Recipe Modification (Mod 9)]]+N132</f>
        <v>44960.68</v>
      </c>
      <c r="Q132" s="206"/>
    </row>
    <row r="133" spans="1:17" x14ac:dyDescent="0.25">
      <c r="A133" s="217"/>
      <c r="B133" s="202" t="s">
        <v>368</v>
      </c>
      <c r="C133" s="202" t="s">
        <v>401</v>
      </c>
      <c r="D133" s="204">
        <v>42928</v>
      </c>
      <c r="E133" s="204"/>
      <c r="F133" s="203"/>
      <c r="G133" s="203">
        <f>IF(CavityStatus[[#This Row],[Actual Ship Date]]&lt;&gt;0,($E133-$D133)/7,0)</f>
        <v>0</v>
      </c>
      <c r="H133" s="205"/>
      <c r="I133" s="205"/>
      <c r="J133" s="205">
        <v>1000</v>
      </c>
      <c r="K133" s="205"/>
      <c r="L133" s="206"/>
      <c r="M133" s="207">
        <v>4283.18</v>
      </c>
      <c r="N133" s="207">
        <v>490</v>
      </c>
      <c r="O133" s="207">
        <f>RICavMilestoneVal</f>
        <v>40187.5</v>
      </c>
      <c r="P133" s="207">
        <f>RICavMilestoneVal+CavityStatus[[#This Row],[Incentive Earned]]+CavityStatus[[#This Row],[Recipe Modification (Mod 9)]]+N133</f>
        <v>44960.68</v>
      </c>
      <c r="Q133" s="206"/>
    </row>
    <row r="134" spans="1:17" x14ac:dyDescent="0.25">
      <c r="A134" s="217"/>
      <c r="B134" s="202" t="s">
        <v>369</v>
      </c>
      <c r="C134" s="202" t="s">
        <v>401</v>
      </c>
      <c r="D134" s="204">
        <v>42928</v>
      </c>
      <c r="E134" s="204"/>
      <c r="F134" s="203"/>
      <c r="G134" s="203">
        <f>IF(CavityStatus[[#This Row],[Actual Ship Date]]&lt;&gt;0,($E134-$D134)/7,0)</f>
        <v>0</v>
      </c>
      <c r="H134" s="205"/>
      <c r="I134" s="205"/>
      <c r="J134" s="205">
        <v>1000</v>
      </c>
      <c r="K134" s="205"/>
      <c r="L134" s="206"/>
      <c r="M134" s="207">
        <v>4283.18</v>
      </c>
      <c r="N134" s="207">
        <v>490</v>
      </c>
      <c r="O134" s="207">
        <f>RICavMilestoneVal</f>
        <v>40187.5</v>
      </c>
      <c r="P134" s="207">
        <f>RICavMilestoneVal+CavityStatus[[#This Row],[Incentive Earned]]+CavityStatus[[#This Row],[Recipe Modification (Mod 9)]]+N134</f>
        <v>44960.68</v>
      </c>
      <c r="Q134" s="206"/>
    </row>
    <row r="135" spans="1:17" x14ac:dyDescent="0.25">
      <c r="A135" s="217"/>
      <c r="B135" s="202" t="s">
        <v>370</v>
      </c>
      <c r="C135" s="202" t="s">
        <v>401</v>
      </c>
      <c r="D135" s="204">
        <v>42928</v>
      </c>
      <c r="E135" s="204"/>
      <c r="F135" s="203"/>
      <c r="G135" s="203">
        <f>IF(CavityStatus[[#This Row],[Actual Ship Date]]&lt;&gt;0,($E135-$D135)/7,0)</f>
        <v>0</v>
      </c>
      <c r="H135" s="205"/>
      <c r="I135" s="205"/>
      <c r="J135" s="205">
        <v>1000</v>
      </c>
      <c r="K135" s="205"/>
      <c r="L135" s="206"/>
      <c r="M135" s="207">
        <v>4283.18</v>
      </c>
      <c r="N135" s="207">
        <v>490</v>
      </c>
      <c r="O135" s="207">
        <f>RICavMilestoneVal</f>
        <v>40187.5</v>
      </c>
      <c r="P135" s="207">
        <f>RICavMilestoneVal+CavityStatus[[#This Row],[Incentive Earned]]+CavityStatus[[#This Row],[Recipe Modification (Mod 9)]]+N135</f>
        <v>44960.68</v>
      </c>
      <c r="Q135" s="206"/>
    </row>
    <row r="136" spans="1:17" x14ac:dyDescent="0.25">
      <c r="A136" s="217"/>
      <c r="B136" s="202" t="s">
        <v>371</v>
      </c>
      <c r="C136" s="202" t="s">
        <v>401</v>
      </c>
      <c r="D136" s="204">
        <v>42928</v>
      </c>
      <c r="E136" s="204"/>
      <c r="F136" s="203"/>
      <c r="G136" s="203">
        <f>IF(CavityStatus[[#This Row],[Actual Ship Date]]&lt;&gt;0,($E136-$D136)/7,0)</f>
        <v>0</v>
      </c>
      <c r="H136" s="205"/>
      <c r="I136" s="205"/>
      <c r="J136" s="205">
        <v>1000</v>
      </c>
      <c r="K136" s="205"/>
      <c r="L136" s="206"/>
      <c r="M136" s="207">
        <v>4283.8400000006659</v>
      </c>
      <c r="N136" s="207">
        <v>470</v>
      </c>
      <c r="O136" s="207">
        <f>RICavMilestoneVal</f>
        <v>40187.5</v>
      </c>
      <c r="P136" s="207">
        <f>RICavMilestoneVal+CavityStatus[[#This Row],[Incentive Earned]]+CavityStatus[[#This Row],[Recipe Modification (Mod 9)]]+N136</f>
        <v>44941.340000000666</v>
      </c>
      <c r="Q136" s="206"/>
    </row>
    <row r="137" spans="1:17" x14ac:dyDescent="0.25">
      <c r="A137" s="217"/>
      <c r="B137" s="202" t="s">
        <v>402</v>
      </c>
      <c r="C137" s="202" t="s">
        <v>410</v>
      </c>
      <c r="D137" s="204"/>
      <c r="E137" s="204"/>
      <c r="F137" s="203"/>
      <c r="G137" s="203">
        <f>IF(CavityStatus[[#This Row],[Actual Ship Date]]&lt;&gt;0,($E137-$D137)/7,0)</f>
        <v>0</v>
      </c>
      <c r="H137" s="205"/>
      <c r="I137" s="205"/>
      <c r="J137" s="205"/>
      <c r="K137" s="205"/>
      <c r="L137" s="206"/>
      <c r="M137" s="207"/>
      <c r="N137" s="207"/>
      <c r="O137" s="207">
        <f>RICavMilestoneVal</f>
        <v>40187.5</v>
      </c>
      <c r="P137" s="207">
        <f>RICavMilestoneVal+CavityStatus[[#This Row],[Incentive Earned]]+CavityStatus[[#This Row],[Recipe Modification (Mod 9)]]+N137</f>
        <v>40187.5</v>
      </c>
      <c r="Q137" s="206"/>
    </row>
    <row r="138" spans="1:17" x14ac:dyDescent="0.25">
      <c r="A138" s="217"/>
      <c r="B138" s="202" t="s">
        <v>403</v>
      </c>
      <c r="C138" s="202" t="s">
        <v>410</v>
      </c>
      <c r="D138" s="204"/>
      <c r="E138" s="204"/>
      <c r="F138" s="203"/>
      <c r="G138" s="203">
        <f>IF(CavityStatus[[#This Row],[Actual Ship Date]]&lt;&gt;0,($E138-$D138)/7,0)</f>
        <v>0</v>
      </c>
      <c r="H138" s="205"/>
      <c r="I138" s="205"/>
      <c r="J138" s="205"/>
      <c r="K138" s="205"/>
      <c r="L138" s="206"/>
      <c r="M138" s="207"/>
      <c r="N138" s="207"/>
      <c r="O138" s="207">
        <f>RICavMilestoneVal</f>
        <v>40187.5</v>
      </c>
      <c r="P138" s="207">
        <f>RICavMilestoneVal+CavityStatus[[#This Row],[Incentive Earned]]+CavityStatus[[#This Row],[Recipe Modification (Mod 9)]]+N138</f>
        <v>40187.5</v>
      </c>
      <c r="Q138" s="206"/>
    </row>
    <row r="139" spans="1:17" x14ac:dyDescent="0.25">
      <c r="A139" s="217"/>
      <c r="B139" s="202" t="s">
        <v>404</v>
      </c>
      <c r="C139" s="202" t="s">
        <v>410</v>
      </c>
      <c r="D139" s="204"/>
      <c r="E139" s="204"/>
      <c r="F139" s="203"/>
      <c r="G139" s="203">
        <f>IF(CavityStatus[[#This Row],[Actual Ship Date]]&lt;&gt;0,($E139-$D139)/7,0)</f>
        <v>0</v>
      </c>
      <c r="H139" s="205"/>
      <c r="I139" s="205"/>
      <c r="J139" s="205"/>
      <c r="K139" s="205"/>
      <c r="L139" s="206"/>
      <c r="M139" s="207"/>
      <c r="N139" s="207"/>
      <c r="O139" s="207">
        <f>RICavMilestoneVal</f>
        <v>40187.5</v>
      </c>
      <c r="P139" s="207">
        <f>RICavMilestoneVal+CavityStatus[[#This Row],[Incentive Earned]]+CavityStatus[[#This Row],[Recipe Modification (Mod 9)]]+N139</f>
        <v>40187.5</v>
      </c>
      <c r="Q139" s="206"/>
    </row>
    <row r="140" spans="1:17" x14ac:dyDescent="0.25">
      <c r="A140" s="217"/>
      <c r="B140" s="202" t="s">
        <v>405</v>
      </c>
      <c r="C140" s="202" t="s">
        <v>410</v>
      </c>
      <c r="D140" s="204"/>
      <c r="E140" s="204"/>
      <c r="F140" s="203"/>
      <c r="G140" s="203">
        <f>IF(CavityStatus[[#This Row],[Actual Ship Date]]&lt;&gt;0,($E140-$D140)/7,0)</f>
        <v>0</v>
      </c>
      <c r="H140" s="205"/>
      <c r="I140" s="205"/>
      <c r="J140" s="205"/>
      <c r="K140" s="205"/>
      <c r="L140" s="206"/>
      <c r="M140" s="207"/>
      <c r="N140" s="207"/>
      <c r="O140" s="207">
        <f>RICavMilestoneVal</f>
        <v>40187.5</v>
      </c>
      <c r="P140" s="207">
        <f>RICavMilestoneVal+CavityStatus[[#This Row],[Incentive Earned]]+CavityStatus[[#This Row],[Recipe Modification (Mod 9)]]+N140</f>
        <v>40187.5</v>
      </c>
      <c r="Q140" s="206"/>
    </row>
    <row r="141" spans="1:17" x14ac:dyDescent="0.25">
      <c r="A141" s="217"/>
      <c r="B141" s="202" t="s">
        <v>406</v>
      </c>
      <c r="C141" s="202" t="s">
        <v>410</v>
      </c>
      <c r="D141" s="204"/>
      <c r="E141" s="204"/>
      <c r="F141" s="203"/>
      <c r="G141" s="203">
        <f>IF(CavityStatus[[#This Row],[Actual Ship Date]]&lt;&gt;0,($E141-$D141)/7,0)</f>
        <v>0</v>
      </c>
      <c r="H141" s="205"/>
      <c r="I141" s="205"/>
      <c r="J141" s="205"/>
      <c r="K141" s="205"/>
      <c r="L141" s="206"/>
      <c r="M141" s="207"/>
      <c r="N141" s="207"/>
      <c r="O141" s="207">
        <f>RICavMilestoneVal</f>
        <v>40187.5</v>
      </c>
      <c r="P141" s="207">
        <f>RICavMilestoneVal+CavityStatus[[#This Row],[Incentive Earned]]+CavityStatus[[#This Row],[Recipe Modification (Mod 9)]]+N141</f>
        <v>40187.5</v>
      </c>
      <c r="Q141" s="206"/>
    </row>
    <row r="142" spans="1:17" x14ac:dyDescent="0.25">
      <c r="A142" s="217"/>
      <c r="B142" s="202" t="s">
        <v>407</v>
      </c>
      <c r="C142" s="202" t="s">
        <v>410</v>
      </c>
      <c r="D142" s="204"/>
      <c r="E142" s="204"/>
      <c r="F142" s="203"/>
      <c r="G142" s="203">
        <f>IF(CavityStatus[[#This Row],[Actual Ship Date]]&lt;&gt;0,($E142-$D142)/7,0)</f>
        <v>0</v>
      </c>
      <c r="H142" s="205"/>
      <c r="I142" s="205"/>
      <c r="J142" s="205"/>
      <c r="K142" s="205"/>
      <c r="L142" s="206"/>
      <c r="M142" s="207"/>
      <c r="N142" s="207"/>
      <c r="O142" s="207">
        <f>RICavMilestoneVal</f>
        <v>40187.5</v>
      </c>
      <c r="P142" s="207">
        <f>RICavMilestoneVal+CavityStatus[[#This Row],[Incentive Earned]]+CavityStatus[[#This Row],[Recipe Modification (Mod 9)]]+N142</f>
        <v>40187.5</v>
      </c>
      <c r="Q142" s="206"/>
    </row>
    <row r="143" spans="1:17" x14ac:dyDescent="0.25">
      <c r="A143" s="217"/>
      <c r="B143" s="202" t="s">
        <v>408</v>
      </c>
      <c r="C143" s="202" t="s">
        <v>410</v>
      </c>
      <c r="D143" s="204"/>
      <c r="E143" s="204"/>
      <c r="F143" s="203"/>
      <c r="G143" s="203">
        <f>IF(CavityStatus[[#This Row],[Actual Ship Date]]&lt;&gt;0,($E143-$D143)/7,0)</f>
        <v>0</v>
      </c>
      <c r="H143" s="205"/>
      <c r="I143" s="205"/>
      <c r="J143" s="205"/>
      <c r="K143" s="205"/>
      <c r="L143" s="206"/>
      <c r="M143" s="207"/>
      <c r="N143" s="207"/>
      <c r="O143" s="207">
        <f>RICavMilestoneVal</f>
        <v>40187.5</v>
      </c>
      <c r="P143" s="207">
        <f>RICavMilestoneVal+CavityStatus[[#This Row],[Incentive Earned]]+CavityStatus[[#This Row],[Recipe Modification (Mod 9)]]+N143</f>
        <v>40187.5</v>
      </c>
      <c r="Q143" s="206"/>
    </row>
    <row r="144" spans="1:17" x14ac:dyDescent="0.25">
      <c r="A144" s="217"/>
      <c r="B144" s="202" t="s">
        <v>409</v>
      </c>
      <c r="C144" s="202" t="s">
        <v>410</v>
      </c>
      <c r="D144" s="204"/>
      <c r="E144" s="204"/>
      <c r="F144" s="203"/>
      <c r="G144" s="203">
        <f>IF(CavityStatus[[#This Row],[Actual Ship Date]]&lt;&gt;0,($E144-$D144)/7,0)</f>
        <v>0</v>
      </c>
      <c r="H144" s="205"/>
      <c r="I144" s="205"/>
      <c r="J144" s="205"/>
      <c r="K144" s="205"/>
      <c r="L144" s="206"/>
      <c r="M144" s="207"/>
      <c r="N144" s="207"/>
      <c r="O144" s="207">
        <f>RICavMilestoneVal</f>
        <v>40187.5</v>
      </c>
      <c r="P144" s="207">
        <f>RICavMilestoneVal+CavityStatus[[#This Row],[Incentive Earned]]+CavityStatus[[#This Row],[Recipe Modification (Mod 9)]]+N144</f>
        <v>40187.5</v>
      </c>
      <c r="Q144" s="206"/>
    </row>
    <row r="145" spans="1:20" x14ac:dyDescent="0.25">
      <c r="A145" s="217"/>
      <c r="B145" s="202" t="s">
        <v>411</v>
      </c>
      <c r="C145" s="202" t="s">
        <v>410</v>
      </c>
      <c r="D145" s="204"/>
      <c r="E145" s="204"/>
      <c r="F145" s="203"/>
      <c r="G145" s="203">
        <f>IF(CavityStatus[[#This Row],[Actual Ship Date]]&lt;&gt;0,($E145-$D145)/7,0)</f>
        <v>0</v>
      </c>
      <c r="H145" s="205"/>
      <c r="I145" s="205"/>
      <c r="J145" s="205"/>
      <c r="K145" s="205"/>
      <c r="L145" s="206"/>
      <c r="M145" s="207"/>
      <c r="N145" s="207"/>
      <c r="O145" s="207">
        <f>RICavMilestoneVal</f>
        <v>40187.5</v>
      </c>
      <c r="P145" s="207">
        <f>RICavMilestoneVal+CavityStatus[[#This Row],[Incentive Earned]]+CavityStatus[[#This Row],[Recipe Modification (Mod 9)]]+N145</f>
        <v>40187.5</v>
      </c>
      <c r="Q145" s="206"/>
    </row>
    <row r="146" spans="1:20" x14ac:dyDescent="0.25">
      <c r="A146" s="217"/>
      <c r="B146" s="202" t="s">
        <v>412</v>
      </c>
      <c r="C146" s="202" t="s">
        <v>410</v>
      </c>
      <c r="D146" s="204"/>
      <c r="E146" s="204"/>
      <c r="F146" s="203"/>
      <c r="G146" s="203">
        <f>IF(CavityStatus[[#This Row],[Actual Ship Date]]&lt;&gt;0,($E146-$D146)/7,0)</f>
        <v>0</v>
      </c>
      <c r="H146" s="205"/>
      <c r="I146" s="205"/>
      <c r="J146" s="205"/>
      <c r="K146" s="205"/>
      <c r="L146" s="206"/>
      <c r="M146" s="207"/>
      <c r="N146" s="209">
        <f>57800/113</f>
        <v>511.50442477876106</v>
      </c>
      <c r="O146" s="205">
        <f>RICavMilestoneVal</f>
        <v>40187.5</v>
      </c>
      <c r="P146" s="207">
        <f>RICavMilestoneVal+CavityStatus[[#This Row],[Incentive Earned]]+CavityStatus[[#This Row],[Recipe Modification (Mod 9)]]+N146</f>
        <v>40699.004424778759</v>
      </c>
      <c r="Q146" s="206"/>
    </row>
    <row r="147" spans="1:20" x14ac:dyDescent="0.25">
      <c r="A147" s="217"/>
      <c r="B147" s="202" t="s">
        <v>413</v>
      </c>
      <c r="C147" s="202" t="s">
        <v>410</v>
      </c>
      <c r="D147" s="204"/>
      <c r="E147" s="204"/>
      <c r="F147" s="203"/>
      <c r="G147" s="203">
        <f>IF(CavityStatus[[#This Row],[Actual Ship Date]]&lt;&gt;0,($E147-$D147)/7,0)</f>
        <v>0</v>
      </c>
      <c r="H147" s="205"/>
      <c r="I147" s="205"/>
      <c r="J147" s="205"/>
      <c r="K147" s="205"/>
      <c r="L147" s="206"/>
      <c r="M147" s="207"/>
      <c r="N147" s="209">
        <f>57800/113</f>
        <v>511.50442477876106</v>
      </c>
      <c r="O147" s="205">
        <f>RICavMilestoneVal</f>
        <v>40187.5</v>
      </c>
      <c r="P147" s="207">
        <f>RICavMilestoneVal+CavityStatus[[#This Row],[Incentive Earned]]+CavityStatus[[#This Row],[Recipe Modification (Mod 9)]]+N147</f>
        <v>40699.004424778759</v>
      </c>
      <c r="Q147" s="206"/>
    </row>
    <row r="148" spans="1:20" x14ac:dyDescent="0.25">
      <c r="A148" s="217"/>
      <c r="B148" s="202" t="s">
        <v>414</v>
      </c>
      <c r="C148" s="202" t="s">
        <v>410</v>
      </c>
      <c r="D148" s="204"/>
      <c r="E148" s="204"/>
      <c r="F148" s="203"/>
      <c r="G148" s="203">
        <f>IF(CavityStatus[[#This Row],[Actual Ship Date]]&lt;&gt;0,($E148-$D148)/7,0)</f>
        <v>0</v>
      </c>
      <c r="H148" s="205"/>
      <c r="I148" s="205"/>
      <c r="J148" s="205"/>
      <c r="K148" s="205"/>
      <c r="L148" s="206"/>
      <c r="M148" s="207"/>
      <c r="N148" s="209">
        <f>57800/113</f>
        <v>511.50442477876106</v>
      </c>
      <c r="O148" s="205">
        <f>RICavMilestoneVal</f>
        <v>40187.5</v>
      </c>
      <c r="P148" s="207">
        <f>RICavMilestoneVal+CavityStatus[[#This Row],[Incentive Earned]]+CavityStatus[[#This Row],[Recipe Modification (Mod 9)]]+N148</f>
        <v>40699.004424778759</v>
      </c>
      <c r="Q148" s="206"/>
    </row>
    <row r="149" spans="1:20" x14ac:dyDescent="0.25">
      <c r="A149" s="217"/>
      <c r="B149" s="202" t="s">
        <v>415</v>
      </c>
      <c r="C149" s="202" t="s">
        <v>410</v>
      </c>
      <c r="D149" s="204"/>
      <c r="E149" s="204"/>
      <c r="F149" s="203"/>
      <c r="G149" s="203">
        <f>IF(CavityStatus[[#This Row],[Actual Ship Date]]&lt;&gt;0,($E149-$D149)/7,0)</f>
        <v>0</v>
      </c>
      <c r="H149" s="205"/>
      <c r="I149" s="205"/>
      <c r="J149" s="205"/>
      <c r="K149" s="205"/>
      <c r="L149" s="206"/>
      <c r="M149" s="207"/>
      <c r="N149" s="209">
        <f>57800/113</f>
        <v>511.50442477876106</v>
      </c>
      <c r="O149" s="205">
        <f>RICavMilestoneVal</f>
        <v>40187.5</v>
      </c>
      <c r="P149" s="207">
        <f>RICavMilestoneVal+CavityStatus[[#This Row],[Incentive Earned]]+CavityStatus[[#This Row],[Recipe Modification (Mod 9)]]+N149</f>
        <v>40699.004424778759</v>
      </c>
      <c r="Q149" s="206"/>
      <c r="T149" s="201">
        <v>149</v>
      </c>
    </row>
    <row r="150" spans="1:20" x14ac:dyDescent="0.25">
      <c r="A150" s="217"/>
      <c r="B150" s="202" t="s">
        <v>416</v>
      </c>
      <c r="C150" s="202" t="s">
        <v>410</v>
      </c>
      <c r="D150" s="204"/>
      <c r="E150" s="204"/>
      <c r="F150" s="203"/>
      <c r="G150" s="203">
        <f>IF(CavityStatus[[#This Row],[Actual Ship Date]]&lt;&gt;0,($E150-$D150)/7,0)</f>
        <v>0</v>
      </c>
      <c r="H150" s="205"/>
      <c r="I150" s="205"/>
      <c r="J150" s="205"/>
      <c r="K150" s="205"/>
      <c r="L150" s="206"/>
      <c r="M150" s="207"/>
      <c r="N150" s="209">
        <f>57800/113</f>
        <v>511.50442477876106</v>
      </c>
      <c r="O150" s="205">
        <f>RICavMilestoneVal</f>
        <v>40187.5</v>
      </c>
      <c r="P150" s="207">
        <f>RICavMilestoneVal+CavityStatus[[#This Row],[Incentive Earned]]+CavityStatus[[#This Row],[Recipe Modification (Mod 9)]]+N150</f>
        <v>40699.004424778759</v>
      </c>
      <c r="Q150" s="206"/>
      <c r="T150" s="201">
        <v>18</v>
      </c>
    </row>
    <row r="151" spans="1:20" x14ac:dyDescent="0.25">
      <c r="A151" s="217"/>
      <c r="B151" s="202" t="s">
        <v>417</v>
      </c>
      <c r="C151" s="202" t="s">
        <v>410</v>
      </c>
      <c r="D151" s="204"/>
      <c r="E151" s="204"/>
      <c r="F151" s="203"/>
      <c r="G151" s="203">
        <f>IF(CavityStatus[[#This Row],[Actual Ship Date]]&lt;&gt;0,($E151-$D151)/7,0)</f>
        <v>0</v>
      </c>
      <c r="H151" s="205"/>
      <c r="I151" s="205"/>
      <c r="J151" s="205"/>
      <c r="K151" s="205"/>
      <c r="L151" s="206"/>
      <c r="M151" s="207"/>
      <c r="N151" s="209">
        <f>57800/113</f>
        <v>511.50442477876106</v>
      </c>
      <c r="O151" s="205">
        <f>RICavMilestoneVal</f>
        <v>40187.5</v>
      </c>
      <c r="P151" s="207">
        <f>RICavMilestoneVal+CavityStatus[[#This Row],[Incentive Earned]]+CavityStatus[[#This Row],[Recipe Modification (Mod 9)]]+N151</f>
        <v>40699.004424778759</v>
      </c>
      <c r="Q151" s="206"/>
      <c r="T151" s="201">
        <v>3</v>
      </c>
    </row>
    <row r="152" spans="1:20" x14ac:dyDescent="0.25">
      <c r="A152" s="217"/>
      <c r="B152" s="202" t="s">
        <v>418</v>
      </c>
      <c r="C152" s="202" t="s">
        <v>410</v>
      </c>
      <c r="D152" s="204"/>
      <c r="E152" s="204"/>
      <c r="F152" s="203"/>
      <c r="G152" s="203">
        <f>IF(CavityStatus[[#This Row],[Actual Ship Date]]&lt;&gt;0,($E152-$D152)/7,0)</f>
        <v>0</v>
      </c>
      <c r="H152" s="205"/>
      <c r="I152" s="205"/>
      <c r="J152" s="205"/>
      <c r="K152" s="205"/>
      <c r="L152" s="206"/>
      <c r="M152" s="207"/>
      <c r="N152" s="209">
        <f>57800/113</f>
        <v>511.50442477876106</v>
      </c>
      <c r="O152" s="205">
        <f>RICavMilestoneVal</f>
        <v>40187.5</v>
      </c>
      <c r="P152" s="207">
        <f>RICavMilestoneVal+CavityStatus[[#This Row],[Incentive Earned]]+CavityStatus[[#This Row],[Recipe Modification (Mod 9)]]+N152</f>
        <v>40699.004424778759</v>
      </c>
      <c r="Q152" s="206"/>
      <c r="T152" s="201">
        <v>32</v>
      </c>
    </row>
    <row r="153" spans="1:20" x14ac:dyDescent="0.25">
      <c r="A153" s="217"/>
      <c r="B153" s="202" t="s">
        <v>419</v>
      </c>
      <c r="C153" s="202" t="s">
        <v>451</v>
      </c>
      <c r="D153" s="204"/>
      <c r="E153" s="204"/>
      <c r="F153" s="203"/>
      <c r="G153" s="203">
        <f>IF(CavityStatus[[#This Row],[Actual Ship Date]]&lt;&gt;0,($E153-$D153)/7,0)</f>
        <v>0</v>
      </c>
      <c r="H153" s="205"/>
      <c r="I153" s="205"/>
      <c r="J153" s="205"/>
      <c r="K153" s="205"/>
      <c r="L153" s="206"/>
      <c r="M153" s="207"/>
      <c r="N153" s="209">
        <f>57800/113</f>
        <v>511.50442477876106</v>
      </c>
      <c r="O153" s="205">
        <f>RICavMilestoneVal</f>
        <v>40187.5</v>
      </c>
      <c r="P153" s="207">
        <f>RICavMilestoneVal+CavityStatus[[#This Row],[Incentive Earned]]+CavityStatus[[#This Row],[Recipe Modification (Mod 9)]]+N153</f>
        <v>40699.004424778759</v>
      </c>
      <c r="Q153" s="206"/>
    </row>
    <row r="154" spans="1:20" x14ac:dyDescent="0.25">
      <c r="A154" s="217"/>
      <c r="B154" s="202" t="s">
        <v>419</v>
      </c>
      <c r="C154" s="202" t="s">
        <v>453</v>
      </c>
      <c r="D154" s="204"/>
      <c r="E154" s="204"/>
      <c r="F154" s="203"/>
      <c r="G154" s="203">
        <f>IF(CavityStatus[[#This Row],[Actual Ship Date]]&lt;&gt;0,($E154-$D154)/7,0)</f>
        <v>0</v>
      </c>
      <c r="H154" s="205"/>
      <c r="I154" s="205"/>
      <c r="J154" s="205"/>
      <c r="K154" s="205"/>
      <c r="L154" s="206"/>
      <c r="M154" s="207"/>
      <c r="N154" s="209">
        <f>57800/113</f>
        <v>511.50442477876106</v>
      </c>
      <c r="O154" s="205">
        <f>RICavMilestoneVal</f>
        <v>40187.5</v>
      </c>
      <c r="P154" s="207">
        <f>RICavMilestoneVal+CavityStatus[[#This Row],[Incentive Earned]]+CavityStatus[[#This Row],[Recipe Modification (Mod 9)]]+N154</f>
        <v>40699.004424778759</v>
      </c>
      <c r="Q154" s="206"/>
    </row>
    <row r="155" spans="1:20" x14ac:dyDescent="0.25">
      <c r="A155" s="217"/>
      <c r="B155" s="202" t="s">
        <v>420</v>
      </c>
      <c r="C155" s="202" t="s">
        <v>451</v>
      </c>
      <c r="D155" s="204"/>
      <c r="E155" s="204"/>
      <c r="F155" s="203"/>
      <c r="G155" s="203">
        <f>IF(CavityStatus[[#This Row],[Actual Ship Date]]&lt;&gt;0,($E155-$D155)/7,0)</f>
        <v>0</v>
      </c>
      <c r="H155" s="205"/>
      <c r="I155" s="205"/>
      <c r="J155" s="205"/>
      <c r="K155" s="205"/>
      <c r="L155" s="206"/>
      <c r="M155" s="207"/>
      <c r="N155" s="209">
        <f>57800/113</f>
        <v>511.50442477876106</v>
      </c>
      <c r="O155" s="205">
        <f>RICavMilestoneVal</f>
        <v>40187.5</v>
      </c>
      <c r="P155" s="207">
        <f>RICavMilestoneVal+CavityStatus[[#This Row],[Incentive Earned]]+CavityStatus[[#This Row],[Recipe Modification (Mod 9)]]+N155</f>
        <v>40699.004424778759</v>
      </c>
      <c r="Q155" s="206"/>
    </row>
    <row r="156" spans="1:20" x14ac:dyDescent="0.25">
      <c r="A156" s="217"/>
      <c r="B156" s="202" t="s">
        <v>420</v>
      </c>
      <c r="C156" s="202" t="s">
        <v>453</v>
      </c>
      <c r="D156" s="204"/>
      <c r="E156" s="204"/>
      <c r="F156" s="203"/>
      <c r="G156" s="203">
        <f>IF(CavityStatus[[#This Row],[Actual Ship Date]]&lt;&gt;0,($E156-$D156)/7,0)</f>
        <v>0</v>
      </c>
      <c r="H156" s="205"/>
      <c r="I156" s="205"/>
      <c r="J156" s="205"/>
      <c r="K156" s="205"/>
      <c r="L156" s="206"/>
      <c r="M156" s="207"/>
      <c r="N156" s="209">
        <f>57800/113</f>
        <v>511.50442477876106</v>
      </c>
      <c r="O156" s="205">
        <f>RICavMilestoneVal</f>
        <v>40187.5</v>
      </c>
      <c r="P156" s="207">
        <f>RICavMilestoneVal+CavityStatus[[#This Row],[Incentive Earned]]+CavityStatus[[#This Row],[Recipe Modification (Mod 9)]]+N156</f>
        <v>40699.004424778759</v>
      </c>
      <c r="Q156" s="206"/>
    </row>
    <row r="157" spans="1:20" x14ac:dyDescent="0.25">
      <c r="A157" s="217"/>
      <c r="B157" s="202" t="s">
        <v>421</v>
      </c>
      <c r="C157" s="202" t="s">
        <v>451</v>
      </c>
      <c r="D157" s="204"/>
      <c r="E157" s="204"/>
      <c r="F157" s="203"/>
      <c r="G157" s="203">
        <f>IF(CavityStatus[[#This Row],[Actual Ship Date]]&lt;&gt;0,($E157-$D157)/7,0)</f>
        <v>0</v>
      </c>
      <c r="H157" s="205"/>
      <c r="I157" s="205"/>
      <c r="J157" s="205"/>
      <c r="K157" s="205"/>
      <c r="L157" s="206"/>
      <c r="M157" s="207"/>
      <c r="N157" s="209">
        <f>57800/113</f>
        <v>511.50442477876106</v>
      </c>
      <c r="O157" s="205">
        <f>RICavMilestoneVal</f>
        <v>40187.5</v>
      </c>
      <c r="P157" s="207">
        <f>RICavMilestoneVal+CavityStatus[[#This Row],[Incentive Earned]]+CavityStatus[[#This Row],[Recipe Modification (Mod 9)]]+N157</f>
        <v>40699.004424778759</v>
      </c>
      <c r="Q157" s="206"/>
    </row>
    <row r="158" spans="1:20" x14ac:dyDescent="0.25">
      <c r="A158" s="217"/>
      <c r="B158" s="202" t="s">
        <v>421</v>
      </c>
      <c r="C158" s="202" t="s">
        <v>453</v>
      </c>
      <c r="D158" s="204"/>
      <c r="E158" s="204"/>
      <c r="F158" s="203"/>
      <c r="G158" s="203">
        <f>IF(CavityStatus[[#This Row],[Actual Ship Date]]&lt;&gt;0,($E158-$D158)/7,0)</f>
        <v>0</v>
      </c>
      <c r="H158" s="205"/>
      <c r="I158" s="205"/>
      <c r="J158" s="205"/>
      <c r="K158" s="205"/>
      <c r="L158" s="206"/>
      <c r="M158" s="207"/>
      <c r="N158" s="209">
        <f>57800/113</f>
        <v>511.50442477876106</v>
      </c>
      <c r="O158" s="205">
        <f>RICavMilestoneVal</f>
        <v>40187.5</v>
      </c>
      <c r="P158" s="207">
        <f>RICavMilestoneVal+CavityStatus[[#This Row],[Incentive Earned]]+CavityStatus[[#This Row],[Recipe Modification (Mod 9)]]+N158</f>
        <v>40699.004424778759</v>
      </c>
      <c r="Q158" s="206"/>
    </row>
    <row r="159" spans="1:20" x14ac:dyDescent="0.25">
      <c r="A159" s="217"/>
      <c r="B159" s="202" t="s">
        <v>422</v>
      </c>
      <c r="C159" s="202" t="s">
        <v>451</v>
      </c>
      <c r="D159" s="204"/>
      <c r="E159" s="204"/>
      <c r="F159" s="203"/>
      <c r="G159" s="203">
        <f>IF(CavityStatus[[#This Row],[Actual Ship Date]]&lt;&gt;0,($E159-$D159)/7,0)</f>
        <v>0</v>
      </c>
      <c r="H159" s="205"/>
      <c r="I159" s="205"/>
      <c r="J159" s="205"/>
      <c r="K159" s="205"/>
      <c r="L159" s="206"/>
      <c r="M159" s="207"/>
      <c r="N159" s="209">
        <f>57800/113</f>
        <v>511.50442477876106</v>
      </c>
      <c r="O159" s="205">
        <f>RICavMilestoneVal</f>
        <v>40187.5</v>
      </c>
      <c r="P159" s="207">
        <f>RICavMilestoneVal+CavityStatus[[#This Row],[Incentive Earned]]+CavityStatus[[#This Row],[Recipe Modification (Mod 9)]]+N159</f>
        <v>40699.004424778759</v>
      </c>
      <c r="Q159" s="206"/>
    </row>
    <row r="160" spans="1:20" x14ac:dyDescent="0.25">
      <c r="A160" s="217"/>
      <c r="B160" s="202" t="s">
        <v>422</v>
      </c>
      <c r="C160" s="202" t="s">
        <v>453</v>
      </c>
      <c r="D160" s="204"/>
      <c r="E160" s="204"/>
      <c r="F160" s="203"/>
      <c r="G160" s="203">
        <f>IF(CavityStatus[[#This Row],[Actual Ship Date]]&lt;&gt;0,($E160-$D160)/7,0)</f>
        <v>0</v>
      </c>
      <c r="H160" s="205"/>
      <c r="I160" s="205"/>
      <c r="J160" s="205"/>
      <c r="K160" s="205"/>
      <c r="L160" s="206"/>
      <c r="M160" s="207"/>
      <c r="N160" s="209">
        <f>57800/113</f>
        <v>511.50442477876106</v>
      </c>
      <c r="O160" s="205">
        <f>RICavMilestoneVal</f>
        <v>40187.5</v>
      </c>
      <c r="P160" s="207">
        <f>RICavMilestoneVal+CavityStatus[[#This Row],[Incentive Earned]]+CavityStatus[[#This Row],[Recipe Modification (Mod 9)]]+N160</f>
        <v>40699.004424778759</v>
      </c>
      <c r="Q160" s="206"/>
    </row>
    <row r="161" spans="1:17" x14ac:dyDescent="0.25">
      <c r="A161" s="217"/>
      <c r="B161" s="202" t="s">
        <v>423</v>
      </c>
      <c r="C161" s="202" t="s">
        <v>451</v>
      </c>
      <c r="D161" s="204"/>
      <c r="E161" s="204"/>
      <c r="F161" s="203"/>
      <c r="G161" s="203">
        <f>IF(CavityStatus[[#This Row],[Actual Ship Date]]&lt;&gt;0,($E161-$D161)/7,0)</f>
        <v>0</v>
      </c>
      <c r="H161" s="205"/>
      <c r="I161" s="205"/>
      <c r="J161" s="205"/>
      <c r="K161" s="205"/>
      <c r="L161" s="206"/>
      <c r="M161" s="207"/>
      <c r="N161" s="209">
        <f>57800/113</f>
        <v>511.50442477876106</v>
      </c>
      <c r="O161" s="205">
        <f>RICavMilestoneVal</f>
        <v>40187.5</v>
      </c>
      <c r="P161" s="207">
        <f>RICavMilestoneVal+CavityStatus[[#This Row],[Incentive Earned]]+CavityStatus[[#This Row],[Recipe Modification (Mod 9)]]+N161</f>
        <v>40699.004424778759</v>
      </c>
      <c r="Q161" s="206"/>
    </row>
    <row r="162" spans="1:17" x14ac:dyDescent="0.25">
      <c r="A162" s="217"/>
      <c r="B162" s="202" t="s">
        <v>423</v>
      </c>
      <c r="C162" s="202" t="s">
        <v>453</v>
      </c>
      <c r="D162" s="204"/>
      <c r="E162" s="204"/>
      <c r="F162" s="203"/>
      <c r="G162" s="203">
        <f>IF(CavityStatus[[#This Row],[Actual Ship Date]]&lt;&gt;0,($E162-$D162)/7,0)</f>
        <v>0</v>
      </c>
      <c r="H162" s="205"/>
      <c r="I162" s="205"/>
      <c r="J162" s="205"/>
      <c r="K162" s="205"/>
      <c r="L162" s="206"/>
      <c r="M162" s="207"/>
      <c r="N162" s="209">
        <f>57800/113</f>
        <v>511.50442477876106</v>
      </c>
      <c r="O162" s="205">
        <f>RICavMilestoneVal</f>
        <v>40187.5</v>
      </c>
      <c r="P162" s="207">
        <f>RICavMilestoneVal+CavityStatus[[#This Row],[Incentive Earned]]+CavityStatus[[#This Row],[Recipe Modification (Mod 9)]]+N162</f>
        <v>40699.004424778759</v>
      </c>
      <c r="Q162" s="206"/>
    </row>
    <row r="163" spans="1:17" x14ac:dyDescent="0.25">
      <c r="A163" s="217"/>
      <c r="B163" s="202" t="s">
        <v>424</v>
      </c>
      <c r="C163" s="202" t="s">
        <v>451</v>
      </c>
      <c r="D163" s="204"/>
      <c r="E163" s="204"/>
      <c r="F163" s="203"/>
      <c r="G163" s="203">
        <f>IF(CavityStatus[[#This Row],[Actual Ship Date]]&lt;&gt;0,($E163-$D163)/7,0)</f>
        <v>0</v>
      </c>
      <c r="H163" s="205"/>
      <c r="I163" s="205"/>
      <c r="J163" s="205"/>
      <c r="K163" s="205"/>
      <c r="L163" s="206"/>
      <c r="M163" s="207"/>
      <c r="N163" s="209">
        <f>57800/113</f>
        <v>511.50442477876106</v>
      </c>
      <c r="O163" s="205">
        <f>RICavMilestoneVal</f>
        <v>40187.5</v>
      </c>
      <c r="P163" s="207">
        <f>RICavMilestoneVal+CavityStatus[[#This Row],[Incentive Earned]]+CavityStatus[[#This Row],[Recipe Modification (Mod 9)]]+N163</f>
        <v>40699.004424778759</v>
      </c>
      <c r="Q163" s="206"/>
    </row>
    <row r="164" spans="1:17" x14ac:dyDescent="0.25">
      <c r="A164" s="217"/>
      <c r="B164" s="202" t="s">
        <v>424</v>
      </c>
      <c r="C164" s="202" t="s">
        <v>453</v>
      </c>
      <c r="D164" s="204"/>
      <c r="E164" s="204"/>
      <c r="F164" s="203"/>
      <c r="G164" s="203">
        <f>IF(CavityStatus[[#This Row],[Actual Ship Date]]&lt;&gt;0,($E164-$D164)/7,0)</f>
        <v>0</v>
      </c>
      <c r="H164" s="205"/>
      <c r="I164" s="205"/>
      <c r="J164" s="205"/>
      <c r="K164" s="205"/>
      <c r="L164" s="206"/>
      <c r="M164" s="207"/>
      <c r="N164" s="209">
        <f>57800/113</f>
        <v>511.50442477876106</v>
      </c>
      <c r="O164" s="205">
        <f>RICavMilestoneVal</f>
        <v>40187.5</v>
      </c>
      <c r="P164" s="207">
        <f>RICavMilestoneVal+CavityStatus[[#This Row],[Incentive Earned]]+CavityStatus[[#This Row],[Recipe Modification (Mod 9)]]+N164</f>
        <v>40699.004424778759</v>
      </c>
      <c r="Q164" s="206"/>
    </row>
    <row r="165" spans="1:17" x14ac:dyDescent="0.25">
      <c r="A165" s="217"/>
      <c r="B165" s="202" t="s">
        <v>425</v>
      </c>
      <c r="C165" s="202" t="s">
        <v>451</v>
      </c>
      <c r="D165" s="204"/>
      <c r="E165" s="204"/>
      <c r="F165" s="203"/>
      <c r="G165" s="203">
        <f>IF(CavityStatus[[#This Row],[Actual Ship Date]]&lt;&gt;0,($E165-$D165)/7,0)</f>
        <v>0</v>
      </c>
      <c r="H165" s="205"/>
      <c r="I165" s="205"/>
      <c r="J165" s="205"/>
      <c r="K165" s="205"/>
      <c r="L165" s="206"/>
      <c r="M165" s="207"/>
      <c r="N165" s="209">
        <f>57800/113</f>
        <v>511.50442477876106</v>
      </c>
      <c r="O165" s="205">
        <f>RICavMilestoneVal</f>
        <v>40187.5</v>
      </c>
      <c r="P165" s="207">
        <f>RICavMilestoneVal+CavityStatus[[#This Row],[Incentive Earned]]+CavityStatus[[#This Row],[Recipe Modification (Mod 9)]]+N165</f>
        <v>40699.004424778759</v>
      </c>
      <c r="Q165" s="206"/>
    </row>
    <row r="166" spans="1:17" x14ac:dyDescent="0.25">
      <c r="A166" s="217"/>
      <c r="B166" s="202" t="s">
        <v>425</v>
      </c>
      <c r="C166" s="202" t="s">
        <v>453</v>
      </c>
      <c r="D166" s="204"/>
      <c r="E166" s="204"/>
      <c r="F166" s="203"/>
      <c r="G166" s="203">
        <f>IF(CavityStatus[[#This Row],[Actual Ship Date]]&lt;&gt;0,($E166-$D166)/7,0)</f>
        <v>0</v>
      </c>
      <c r="H166" s="205"/>
      <c r="I166" s="205"/>
      <c r="J166" s="205"/>
      <c r="K166" s="205"/>
      <c r="L166" s="206"/>
      <c r="M166" s="207"/>
      <c r="N166" s="209">
        <f>57800/113</f>
        <v>511.50442477876106</v>
      </c>
      <c r="O166" s="205">
        <f>RICavMilestoneVal</f>
        <v>40187.5</v>
      </c>
      <c r="P166" s="207">
        <f>RICavMilestoneVal+CavityStatus[[#This Row],[Incentive Earned]]+CavityStatus[[#This Row],[Recipe Modification (Mod 9)]]+N166</f>
        <v>40699.004424778759</v>
      </c>
      <c r="Q166" s="206"/>
    </row>
    <row r="167" spans="1:17" x14ac:dyDescent="0.25">
      <c r="A167" s="217"/>
      <c r="B167" s="202" t="s">
        <v>426</v>
      </c>
      <c r="C167" s="202" t="s">
        <v>451</v>
      </c>
      <c r="D167" s="204"/>
      <c r="E167" s="204"/>
      <c r="F167" s="203"/>
      <c r="G167" s="203">
        <f>IF(CavityStatus[[#This Row],[Actual Ship Date]]&lt;&gt;0,($E167-$D167)/7,0)</f>
        <v>0</v>
      </c>
      <c r="H167" s="205"/>
      <c r="I167" s="205"/>
      <c r="J167" s="205"/>
      <c r="K167" s="205"/>
      <c r="L167" s="206"/>
      <c r="M167" s="207"/>
      <c r="N167" s="209">
        <f>57800/113</f>
        <v>511.50442477876106</v>
      </c>
      <c r="O167" s="205">
        <f>RICavMilestoneVal</f>
        <v>40187.5</v>
      </c>
      <c r="P167" s="207">
        <f>RICavMilestoneVal+CavityStatus[[#This Row],[Incentive Earned]]+CavityStatus[[#This Row],[Recipe Modification (Mod 9)]]+N167</f>
        <v>40699.004424778759</v>
      </c>
      <c r="Q167" s="206"/>
    </row>
    <row r="168" spans="1:17" x14ac:dyDescent="0.25">
      <c r="A168" s="217"/>
      <c r="B168" s="202" t="s">
        <v>426</v>
      </c>
      <c r="C168" s="202" t="s">
        <v>453</v>
      </c>
      <c r="D168" s="204"/>
      <c r="E168" s="204"/>
      <c r="F168" s="203"/>
      <c r="G168" s="203">
        <f>IF(CavityStatus[[#This Row],[Actual Ship Date]]&lt;&gt;0,($E168-$D168)/7,0)</f>
        <v>0</v>
      </c>
      <c r="H168" s="205"/>
      <c r="I168" s="205"/>
      <c r="J168" s="205"/>
      <c r="K168" s="205"/>
      <c r="L168" s="206"/>
      <c r="M168" s="207"/>
      <c r="N168" s="209">
        <f>57800/113</f>
        <v>511.50442477876106</v>
      </c>
      <c r="O168" s="205">
        <f>RICavMilestoneVal</f>
        <v>40187.5</v>
      </c>
      <c r="P168" s="207">
        <f>RICavMilestoneVal+CavityStatus[[#This Row],[Incentive Earned]]+CavityStatus[[#This Row],[Recipe Modification (Mod 9)]]+N168</f>
        <v>40699.004424778759</v>
      </c>
      <c r="Q168" s="206"/>
    </row>
    <row r="169" spans="1:17" x14ac:dyDescent="0.25">
      <c r="A169" s="217"/>
      <c r="B169" s="202" t="s">
        <v>427</v>
      </c>
      <c r="C169" s="202" t="s">
        <v>451</v>
      </c>
      <c r="D169" s="204"/>
      <c r="E169" s="204"/>
      <c r="F169" s="203"/>
      <c r="G169" s="203">
        <f>IF(CavityStatus[[#This Row],[Actual Ship Date]]&lt;&gt;0,($E169-$D169)/7,0)</f>
        <v>0</v>
      </c>
      <c r="H169" s="205"/>
      <c r="I169" s="205"/>
      <c r="J169" s="205"/>
      <c r="K169" s="205"/>
      <c r="L169" s="206"/>
      <c r="M169" s="207"/>
      <c r="N169" s="209">
        <f>57800/113</f>
        <v>511.50442477876106</v>
      </c>
      <c r="O169" s="205">
        <f>RICavMilestoneVal</f>
        <v>40187.5</v>
      </c>
      <c r="P169" s="207">
        <f>RICavMilestoneVal+CavityStatus[[#This Row],[Incentive Earned]]+CavityStatus[[#This Row],[Recipe Modification (Mod 9)]]+N169</f>
        <v>40699.004424778759</v>
      </c>
      <c r="Q169" s="206"/>
    </row>
    <row r="170" spans="1:17" x14ac:dyDescent="0.25">
      <c r="A170" s="217"/>
      <c r="B170" s="202" t="s">
        <v>427</v>
      </c>
      <c r="C170" s="202" t="s">
        <v>453</v>
      </c>
      <c r="D170" s="204"/>
      <c r="E170" s="204"/>
      <c r="F170" s="203"/>
      <c r="G170" s="203">
        <f>IF(CavityStatus[[#This Row],[Actual Ship Date]]&lt;&gt;0,($E170-$D170)/7,0)</f>
        <v>0</v>
      </c>
      <c r="H170" s="205"/>
      <c r="I170" s="205"/>
      <c r="J170" s="205"/>
      <c r="K170" s="205"/>
      <c r="L170" s="206"/>
      <c r="M170" s="207"/>
      <c r="N170" s="209">
        <f>57800/113</f>
        <v>511.50442477876106</v>
      </c>
      <c r="O170" s="205">
        <f>RICavMilestoneVal</f>
        <v>40187.5</v>
      </c>
      <c r="P170" s="207">
        <f>RICavMilestoneVal+CavityStatus[[#This Row],[Incentive Earned]]+CavityStatus[[#This Row],[Recipe Modification (Mod 9)]]+N170</f>
        <v>40699.004424778759</v>
      </c>
      <c r="Q170" s="206"/>
    </row>
    <row r="171" spans="1:17" x14ac:dyDescent="0.25">
      <c r="A171" s="217"/>
      <c r="B171" s="202" t="s">
        <v>428</v>
      </c>
      <c r="C171" s="202" t="s">
        <v>451</v>
      </c>
      <c r="D171" s="204"/>
      <c r="E171" s="204"/>
      <c r="F171" s="203"/>
      <c r="G171" s="203">
        <f>IF(CavityStatus[[#This Row],[Actual Ship Date]]&lt;&gt;0,($E171-$D171)/7,0)</f>
        <v>0</v>
      </c>
      <c r="H171" s="205"/>
      <c r="I171" s="205"/>
      <c r="J171" s="205"/>
      <c r="K171" s="205"/>
      <c r="L171" s="206"/>
      <c r="M171" s="207"/>
      <c r="N171" s="209">
        <f>57800/113</f>
        <v>511.50442477876106</v>
      </c>
      <c r="O171" s="205">
        <f>RICavMilestoneVal</f>
        <v>40187.5</v>
      </c>
      <c r="P171" s="207">
        <f>RICavMilestoneVal+CavityStatus[[#This Row],[Incentive Earned]]+CavityStatus[[#This Row],[Recipe Modification (Mod 9)]]+N171</f>
        <v>40699.004424778759</v>
      </c>
      <c r="Q171" s="206"/>
    </row>
    <row r="172" spans="1:17" x14ac:dyDescent="0.25">
      <c r="A172" s="217"/>
      <c r="B172" s="202" t="s">
        <v>428</v>
      </c>
      <c r="C172" s="202" t="s">
        <v>453</v>
      </c>
      <c r="D172" s="204"/>
      <c r="E172" s="204"/>
      <c r="F172" s="203"/>
      <c r="G172" s="203">
        <f>IF(CavityStatus[[#This Row],[Actual Ship Date]]&lt;&gt;0,($E172-$D172)/7,0)</f>
        <v>0</v>
      </c>
      <c r="H172" s="205"/>
      <c r="I172" s="205"/>
      <c r="J172" s="205"/>
      <c r="K172" s="205"/>
      <c r="L172" s="206"/>
      <c r="M172" s="207"/>
      <c r="N172" s="209">
        <f>57800/113</f>
        <v>511.50442477876106</v>
      </c>
      <c r="O172" s="205">
        <f>RICavMilestoneVal</f>
        <v>40187.5</v>
      </c>
      <c r="P172" s="207">
        <f>RICavMilestoneVal+CavityStatus[[#This Row],[Incentive Earned]]+CavityStatus[[#This Row],[Recipe Modification (Mod 9)]]+N172</f>
        <v>40699.004424778759</v>
      </c>
      <c r="Q172" s="206"/>
    </row>
    <row r="173" spans="1:17" x14ac:dyDescent="0.25">
      <c r="A173" s="217"/>
      <c r="B173" s="202" t="s">
        <v>429</v>
      </c>
      <c r="C173" s="202" t="s">
        <v>451</v>
      </c>
      <c r="D173" s="204"/>
      <c r="E173" s="204"/>
      <c r="F173" s="203"/>
      <c r="G173" s="203">
        <f>IF(CavityStatus[[#This Row],[Actual Ship Date]]&lt;&gt;0,($E173-$D173)/7,0)</f>
        <v>0</v>
      </c>
      <c r="H173" s="205"/>
      <c r="I173" s="205"/>
      <c r="J173" s="205"/>
      <c r="K173" s="205"/>
      <c r="L173" s="206"/>
      <c r="M173" s="207"/>
      <c r="N173" s="209">
        <f>57800/113</f>
        <v>511.50442477876106</v>
      </c>
      <c r="O173" s="205">
        <f>RICavMilestoneVal</f>
        <v>40187.5</v>
      </c>
      <c r="P173" s="207">
        <f>RICavMilestoneVal+CavityStatus[[#This Row],[Incentive Earned]]+CavityStatus[[#This Row],[Recipe Modification (Mod 9)]]+N173</f>
        <v>40699.004424778759</v>
      </c>
      <c r="Q173" s="206"/>
    </row>
    <row r="174" spans="1:17" x14ac:dyDescent="0.25">
      <c r="A174" s="217"/>
      <c r="B174" s="202" t="s">
        <v>429</v>
      </c>
      <c r="C174" s="202" t="s">
        <v>453</v>
      </c>
      <c r="D174" s="204"/>
      <c r="E174" s="204"/>
      <c r="F174" s="203"/>
      <c r="G174" s="203">
        <f>IF(CavityStatus[[#This Row],[Actual Ship Date]]&lt;&gt;0,($E174-$D174)/7,0)</f>
        <v>0</v>
      </c>
      <c r="H174" s="205"/>
      <c r="I174" s="205"/>
      <c r="J174" s="205"/>
      <c r="K174" s="205"/>
      <c r="L174" s="206"/>
      <c r="M174" s="207"/>
      <c r="N174" s="209">
        <f>57800/113</f>
        <v>511.50442477876106</v>
      </c>
      <c r="O174" s="205">
        <f>RICavMilestoneVal</f>
        <v>40187.5</v>
      </c>
      <c r="P174" s="207">
        <f>RICavMilestoneVal+CavityStatus[[#This Row],[Incentive Earned]]+CavityStatus[[#This Row],[Recipe Modification (Mod 9)]]+N174</f>
        <v>40699.004424778759</v>
      </c>
      <c r="Q174" s="206"/>
    </row>
    <row r="175" spans="1:17" x14ac:dyDescent="0.25">
      <c r="A175" s="217"/>
      <c r="B175" s="202" t="s">
        <v>430</v>
      </c>
      <c r="C175" s="202" t="s">
        <v>451</v>
      </c>
      <c r="D175" s="204"/>
      <c r="E175" s="204"/>
      <c r="F175" s="203"/>
      <c r="G175" s="203">
        <f>IF(CavityStatus[[#This Row],[Actual Ship Date]]&lt;&gt;0,($E175-$D175)/7,0)</f>
        <v>0</v>
      </c>
      <c r="H175" s="205"/>
      <c r="I175" s="205"/>
      <c r="J175" s="205"/>
      <c r="K175" s="205"/>
      <c r="L175" s="206"/>
      <c r="M175" s="207"/>
      <c r="N175" s="209">
        <f>57800/113</f>
        <v>511.50442477876106</v>
      </c>
      <c r="O175" s="205">
        <f>RICavMilestoneVal</f>
        <v>40187.5</v>
      </c>
      <c r="P175" s="207">
        <f>RICavMilestoneVal+CavityStatus[[#This Row],[Incentive Earned]]+CavityStatus[[#This Row],[Recipe Modification (Mod 9)]]+N175</f>
        <v>40699.004424778759</v>
      </c>
      <c r="Q175" s="206"/>
    </row>
    <row r="176" spans="1:17" x14ac:dyDescent="0.25">
      <c r="A176" s="217"/>
      <c r="B176" s="202" t="s">
        <v>430</v>
      </c>
      <c r="C176" s="202" t="s">
        <v>453</v>
      </c>
      <c r="D176" s="204"/>
      <c r="E176" s="204"/>
      <c r="F176" s="203"/>
      <c r="G176" s="203">
        <f>IF(CavityStatus[[#This Row],[Actual Ship Date]]&lt;&gt;0,($E176-$D176)/7,0)</f>
        <v>0</v>
      </c>
      <c r="H176" s="205"/>
      <c r="I176" s="205"/>
      <c r="J176" s="205"/>
      <c r="K176" s="205"/>
      <c r="L176" s="206"/>
      <c r="M176" s="207"/>
      <c r="N176" s="209">
        <f>57800/113</f>
        <v>511.50442477876106</v>
      </c>
      <c r="O176" s="205">
        <f>RICavMilestoneVal</f>
        <v>40187.5</v>
      </c>
      <c r="P176" s="207">
        <f>RICavMilestoneVal+CavityStatus[[#This Row],[Incentive Earned]]+CavityStatus[[#This Row],[Recipe Modification (Mod 9)]]+N176</f>
        <v>40699.004424778759</v>
      </c>
      <c r="Q176" s="206"/>
    </row>
    <row r="177" spans="1:17" x14ac:dyDescent="0.25">
      <c r="A177" s="217"/>
      <c r="B177" s="202" t="s">
        <v>431</v>
      </c>
      <c r="C177" s="202" t="s">
        <v>451</v>
      </c>
      <c r="D177" s="204"/>
      <c r="E177" s="204"/>
      <c r="F177" s="203"/>
      <c r="G177" s="203">
        <f>IF(CavityStatus[[#This Row],[Actual Ship Date]]&lt;&gt;0,($E177-$D177)/7,0)</f>
        <v>0</v>
      </c>
      <c r="H177" s="205"/>
      <c r="I177" s="205"/>
      <c r="J177" s="205"/>
      <c r="K177" s="205"/>
      <c r="L177" s="206"/>
      <c r="M177" s="207"/>
      <c r="N177" s="209">
        <f>57800/113</f>
        <v>511.50442477876106</v>
      </c>
      <c r="O177" s="205">
        <f>RICavMilestoneVal</f>
        <v>40187.5</v>
      </c>
      <c r="P177" s="207">
        <f>RICavMilestoneVal+CavityStatus[[#This Row],[Incentive Earned]]+CavityStatus[[#This Row],[Recipe Modification (Mod 9)]]+N177</f>
        <v>40699.004424778759</v>
      </c>
      <c r="Q177" s="206"/>
    </row>
    <row r="178" spans="1:17" x14ac:dyDescent="0.25">
      <c r="A178" s="217"/>
      <c r="B178" s="202" t="s">
        <v>431</v>
      </c>
      <c r="C178" s="202" t="s">
        <v>453</v>
      </c>
      <c r="D178" s="204"/>
      <c r="E178" s="204"/>
      <c r="F178" s="203"/>
      <c r="G178" s="203">
        <f>IF(CavityStatus[[#This Row],[Actual Ship Date]]&lt;&gt;0,($E178-$D178)/7,0)</f>
        <v>0</v>
      </c>
      <c r="H178" s="205"/>
      <c r="I178" s="205"/>
      <c r="J178" s="205"/>
      <c r="K178" s="205"/>
      <c r="L178" s="206"/>
      <c r="M178" s="207"/>
      <c r="N178" s="209">
        <f>57800/113</f>
        <v>511.50442477876106</v>
      </c>
      <c r="O178" s="205">
        <f>RICavMilestoneVal</f>
        <v>40187.5</v>
      </c>
      <c r="P178" s="207">
        <f>RICavMilestoneVal+CavityStatus[[#This Row],[Incentive Earned]]+CavityStatus[[#This Row],[Recipe Modification (Mod 9)]]+N178</f>
        <v>40699.004424778759</v>
      </c>
      <c r="Q178" s="206"/>
    </row>
    <row r="179" spans="1:17" x14ac:dyDescent="0.25">
      <c r="A179" s="217"/>
      <c r="B179" s="202" t="s">
        <v>432</v>
      </c>
      <c r="C179" s="202" t="s">
        <v>451</v>
      </c>
      <c r="D179" s="204"/>
      <c r="E179" s="204"/>
      <c r="F179" s="203"/>
      <c r="G179" s="203">
        <f>IF(CavityStatus[[#This Row],[Actual Ship Date]]&lt;&gt;0,($E179-$D179)/7,0)</f>
        <v>0</v>
      </c>
      <c r="H179" s="205"/>
      <c r="I179" s="205"/>
      <c r="J179" s="205"/>
      <c r="K179" s="205"/>
      <c r="L179" s="206"/>
      <c r="M179" s="207"/>
      <c r="N179" s="209">
        <f>57800/113</f>
        <v>511.50442477876106</v>
      </c>
      <c r="O179" s="205">
        <f>RICavMilestoneVal</f>
        <v>40187.5</v>
      </c>
      <c r="P179" s="207">
        <f>RICavMilestoneVal+CavityStatus[[#This Row],[Incentive Earned]]+CavityStatus[[#This Row],[Recipe Modification (Mod 9)]]+N179</f>
        <v>40699.004424778759</v>
      </c>
      <c r="Q179" s="206"/>
    </row>
    <row r="180" spans="1:17" x14ac:dyDescent="0.25">
      <c r="A180" s="217"/>
      <c r="B180" s="202" t="s">
        <v>432</v>
      </c>
      <c r="C180" s="202" t="s">
        <v>453</v>
      </c>
      <c r="D180" s="204"/>
      <c r="E180" s="204"/>
      <c r="F180" s="203"/>
      <c r="G180" s="203">
        <f>IF(CavityStatus[[#This Row],[Actual Ship Date]]&lt;&gt;0,($E180-$D180)/7,0)</f>
        <v>0</v>
      </c>
      <c r="H180" s="205"/>
      <c r="I180" s="205"/>
      <c r="J180" s="205"/>
      <c r="K180" s="205"/>
      <c r="L180" s="206"/>
      <c r="M180" s="207"/>
      <c r="N180" s="209">
        <f>57800/113</f>
        <v>511.50442477876106</v>
      </c>
      <c r="O180" s="205">
        <f>RICavMilestoneVal</f>
        <v>40187.5</v>
      </c>
      <c r="P180" s="207">
        <f>RICavMilestoneVal+CavityStatus[[#This Row],[Incentive Earned]]+CavityStatus[[#This Row],[Recipe Modification (Mod 9)]]+N180</f>
        <v>40699.004424778759</v>
      </c>
      <c r="Q180" s="206"/>
    </row>
    <row r="181" spans="1:17" x14ac:dyDescent="0.25">
      <c r="A181" s="217"/>
      <c r="B181" s="202" t="s">
        <v>433</v>
      </c>
      <c r="C181" s="202" t="s">
        <v>451</v>
      </c>
      <c r="D181" s="204"/>
      <c r="E181" s="204"/>
      <c r="F181" s="203"/>
      <c r="G181" s="203">
        <f>IF(CavityStatus[[#This Row],[Actual Ship Date]]&lt;&gt;0,($E181-$D181)/7,0)</f>
        <v>0</v>
      </c>
      <c r="H181" s="205"/>
      <c r="I181" s="205"/>
      <c r="J181" s="205"/>
      <c r="K181" s="205"/>
      <c r="L181" s="206"/>
      <c r="M181" s="207"/>
      <c r="N181" s="209">
        <f>57800/113</f>
        <v>511.50442477876106</v>
      </c>
      <c r="O181" s="205">
        <f>RICavMilestoneVal</f>
        <v>40187.5</v>
      </c>
      <c r="P181" s="207">
        <f>RICavMilestoneVal+CavityStatus[[#This Row],[Incentive Earned]]+CavityStatus[[#This Row],[Recipe Modification (Mod 9)]]+N181</f>
        <v>40699.004424778759</v>
      </c>
      <c r="Q181" s="206"/>
    </row>
    <row r="182" spans="1:17" x14ac:dyDescent="0.25">
      <c r="A182" s="217"/>
      <c r="B182" s="202" t="s">
        <v>433</v>
      </c>
      <c r="C182" s="202" t="s">
        <v>453</v>
      </c>
      <c r="D182" s="204"/>
      <c r="E182" s="204"/>
      <c r="F182" s="203"/>
      <c r="G182" s="203">
        <f>IF(CavityStatus[[#This Row],[Actual Ship Date]]&lt;&gt;0,($E182-$D182)/7,0)</f>
        <v>0</v>
      </c>
      <c r="H182" s="205"/>
      <c r="I182" s="205"/>
      <c r="J182" s="205"/>
      <c r="K182" s="205"/>
      <c r="L182" s="206"/>
      <c r="M182" s="207"/>
      <c r="N182" s="209">
        <f>57800/113</f>
        <v>511.50442477876106</v>
      </c>
      <c r="O182" s="205">
        <f>RICavMilestoneVal</f>
        <v>40187.5</v>
      </c>
      <c r="P182" s="207">
        <f>RICavMilestoneVal+CavityStatus[[#This Row],[Incentive Earned]]+CavityStatus[[#This Row],[Recipe Modification (Mod 9)]]+N182</f>
        <v>40699.004424778759</v>
      </c>
      <c r="Q182" s="206"/>
    </row>
    <row r="183" spans="1:17" x14ac:dyDescent="0.25">
      <c r="A183" s="217"/>
      <c r="B183" s="202" t="s">
        <v>434</v>
      </c>
      <c r="C183" s="202" t="s">
        <v>451</v>
      </c>
      <c r="D183" s="204"/>
      <c r="E183" s="204"/>
      <c r="F183" s="203"/>
      <c r="G183" s="203">
        <f>IF(CavityStatus[[#This Row],[Actual Ship Date]]&lt;&gt;0,($E183-$D183)/7,0)</f>
        <v>0</v>
      </c>
      <c r="H183" s="205"/>
      <c r="I183" s="205"/>
      <c r="J183" s="205"/>
      <c r="K183" s="205"/>
      <c r="L183" s="206"/>
      <c r="M183" s="207"/>
      <c r="N183" s="209">
        <f>57800/113</f>
        <v>511.50442477876106</v>
      </c>
      <c r="O183" s="205">
        <f>RICavMilestoneVal</f>
        <v>40187.5</v>
      </c>
      <c r="P183" s="207">
        <f>RICavMilestoneVal+CavityStatus[[#This Row],[Incentive Earned]]+CavityStatus[[#This Row],[Recipe Modification (Mod 9)]]+N183</f>
        <v>40699.004424778759</v>
      </c>
      <c r="Q183" s="206"/>
    </row>
    <row r="184" spans="1:17" x14ac:dyDescent="0.25">
      <c r="A184" s="217"/>
      <c r="B184" s="202" t="s">
        <v>434</v>
      </c>
      <c r="C184" s="202" t="s">
        <v>453</v>
      </c>
      <c r="D184" s="204"/>
      <c r="E184" s="204"/>
      <c r="F184" s="203"/>
      <c r="G184" s="203">
        <f>IF(CavityStatus[[#This Row],[Actual Ship Date]]&lt;&gt;0,($E184-$D184)/7,0)</f>
        <v>0</v>
      </c>
      <c r="H184" s="205"/>
      <c r="I184" s="205"/>
      <c r="J184" s="205"/>
      <c r="K184" s="205"/>
      <c r="L184" s="206"/>
      <c r="M184" s="207"/>
      <c r="N184" s="209">
        <f>57800/113</f>
        <v>511.50442477876106</v>
      </c>
      <c r="O184" s="205">
        <f>RICavMilestoneVal</f>
        <v>40187.5</v>
      </c>
      <c r="P184" s="207">
        <f>RICavMilestoneVal+CavityStatus[[#This Row],[Incentive Earned]]+CavityStatus[[#This Row],[Recipe Modification (Mod 9)]]+N184</f>
        <v>40699.004424778759</v>
      </c>
      <c r="Q184" s="206"/>
    </row>
    <row r="185" spans="1:17" x14ac:dyDescent="0.25">
      <c r="A185" s="217"/>
      <c r="B185" s="202" t="s">
        <v>435</v>
      </c>
      <c r="C185" s="202" t="s">
        <v>451</v>
      </c>
      <c r="D185" s="204"/>
      <c r="E185" s="204"/>
      <c r="F185" s="203"/>
      <c r="G185" s="203">
        <f>IF(CavityStatus[[#This Row],[Actual Ship Date]]&lt;&gt;0,($E185-$D185)/7,0)</f>
        <v>0</v>
      </c>
      <c r="H185" s="205"/>
      <c r="I185" s="205"/>
      <c r="J185" s="205"/>
      <c r="K185" s="205"/>
      <c r="L185" s="206"/>
      <c r="M185" s="207"/>
      <c r="N185" s="209">
        <f>57800/113</f>
        <v>511.50442477876106</v>
      </c>
      <c r="O185" s="205">
        <f>RICavMilestoneVal</f>
        <v>40187.5</v>
      </c>
      <c r="P185" s="207">
        <f>RICavMilestoneVal+CavityStatus[[#This Row],[Incentive Earned]]+CavityStatus[[#This Row],[Recipe Modification (Mod 9)]]+N185</f>
        <v>40699.004424778759</v>
      </c>
      <c r="Q185" s="206"/>
    </row>
    <row r="186" spans="1:17" x14ac:dyDescent="0.25">
      <c r="A186" s="217"/>
      <c r="B186" s="202" t="s">
        <v>435</v>
      </c>
      <c r="C186" s="202" t="s">
        <v>453</v>
      </c>
      <c r="D186" s="204"/>
      <c r="E186" s="204"/>
      <c r="F186" s="203"/>
      <c r="G186" s="203">
        <f>IF(CavityStatus[[#This Row],[Actual Ship Date]]&lt;&gt;0,($E186-$D186)/7,0)</f>
        <v>0</v>
      </c>
      <c r="H186" s="205"/>
      <c r="I186" s="205"/>
      <c r="J186" s="205"/>
      <c r="K186" s="205"/>
      <c r="L186" s="206"/>
      <c r="M186" s="207"/>
      <c r="N186" s="209">
        <f>57800/113</f>
        <v>511.50442477876106</v>
      </c>
      <c r="O186" s="205">
        <f>RICavMilestoneVal</f>
        <v>40187.5</v>
      </c>
      <c r="P186" s="207">
        <f>RICavMilestoneVal+CavityStatus[[#This Row],[Incentive Earned]]+CavityStatus[[#This Row],[Recipe Modification (Mod 9)]]+N186</f>
        <v>40699.004424778759</v>
      </c>
      <c r="Q186" s="206"/>
    </row>
    <row r="187" spans="1:17" x14ac:dyDescent="0.25">
      <c r="A187" s="217"/>
      <c r="B187" s="202" t="s">
        <v>436</v>
      </c>
      <c r="C187" s="202" t="s">
        <v>451</v>
      </c>
      <c r="D187" s="204"/>
      <c r="E187" s="204"/>
      <c r="F187" s="203"/>
      <c r="G187" s="203">
        <f>IF(CavityStatus[[#This Row],[Actual Ship Date]]&lt;&gt;0,($E187-$D187)/7,0)</f>
        <v>0</v>
      </c>
      <c r="H187" s="205"/>
      <c r="I187" s="205"/>
      <c r="J187" s="205"/>
      <c r="K187" s="205"/>
      <c r="L187" s="206"/>
      <c r="M187" s="207"/>
      <c r="N187" s="209">
        <f>57800/113</f>
        <v>511.50442477876106</v>
      </c>
      <c r="O187" s="205">
        <f>RICavMilestoneVal</f>
        <v>40187.5</v>
      </c>
      <c r="P187" s="207">
        <f>RICavMilestoneVal+CavityStatus[[#This Row],[Incentive Earned]]+CavityStatus[[#This Row],[Recipe Modification (Mod 9)]]+N187</f>
        <v>40699.004424778759</v>
      </c>
      <c r="Q187" s="206"/>
    </row>
    <row r="188" spans="1:17" x14ac:dyDescent="0.25">
      <c r="A188" s="217"/>
      <c r="B188" s="202" t="s">
        <v>436</v>
      </c>
      <c r="C188" s="202" t="s">
        <v>453</v>
      </c>
      <c r="D188" s="204"/>
      <c r="E188" s="204"/>
      <c r="F188" s="203"/>
      <c r="G188" s="203">
        <f>IF(CavityStatus[[#This Row],[Actual Ship Date]]&lt;&gt;0,($E188-$D188)/7,0)</f>
        <v>0</v>
      </c>
      <c r="H188" s="205"/>
      <c r="I188" s="205"/>
      <c r="J188" s="205"/>
      <c r="K188" s="205"/>
      <c r="L188" s="206"/>
      <c r="M188" s="207"/>
      <c r="N188" s="209">
        <f>57800/113</f>
        <v>511.50442477876106</v>
      </c>
      <c r="O188" s="205">
        <f>RICavMilestoneVal</f>
        <v>40187.5</v>
      </c>
      <c r="P188" s="207">
        <f>RICavMilestoneVal+CavityStatus[[#This Row],[Incentive Earned]]+CavityStatus[[#This Row],[Recipe Modification (Mod 9)]]+N188</f>
        <v>40699.004424778759</v>
      </c>
      <c r="Q188" s="206"/>
    </row>
    <row r="189" spans="1:17" x14ac:dyDescent="0.25">
      <c r="A189" s="217"/>
      <c r="B189" s="202" t="s">
        <v>437</v>
      </c>
      <c r="C189" s="202" t="s">
        <v>452</v>
      </c>
      <c r="D189" s="204"/>
      <c r="E189" s="204"/>
      <c r="F189" s="203"/>
      <c r="G189" s="203">
        <f>IF(CavityStatus[[#This Row],[Actual Ship Date]]&lt;&gt;0,($E189-$D189)/7,0)</f>
        <v>0</v>
      </c>
      <c r="H189" s="205"/>
      <c r="I189" s="205"/>
      <c r="J189" s="205"/>
      <c r="K189" s="205"/>
      <c r="L189" s="206"/>
      <c r="M189" s="207"/>
      <c r="N189" s="209">
        <f>57800/113</f>
        <v>511.50442477876106</v>
      </c>
      <c r="O189" s="205">
        <f>RICavMilestoneVal</f>
        <v>40187.5</v>
      </c>
      <c r="P189" s="207">
        <f>RICavMilestoneVal+CavityStatus[[#This Row],[Incentive Earned]]+CavityStatus[[#This Row],[Recipe Modification (Mod 9)]]+N189</f>
        <v>40699.004424778759</v>
      </c>
      <c r="Q189" s="206"/>
    </row>
    <row r="190" spans="1:17" x14ac:dyDescent="0.25">
      <c r="A190" s="217"/>
      <c r="B190" s="202" t="s">
        <v>437</v>
      </c>
      <c r="C190" s="202" t="s">
        <v>453</v>
      </c>
      <c r="D190" s="204"/>
      <c r="E190" s="204"/>
      <c r="F190" s="203"/>
      <c r="G190" s="203">
        <f>IF(CavityStatus[[#This Row],[Actual Ship Date]]&lt;&gt;0,($E190-$D190)/7,0)</f>
        <v>0</v>
      </c>
      <c r="H190" s="205"/>
      <c r="I190" s="205"/>
      <c r="J190" s="205"/>
      <c r="K190" s="205"/>
      <c r="L190" s="206"/>
      <c r="M190" s="207"/>
      <c r="N190" s="209">
        <f>57800/113</f>
        <v>511.50442477876106</v>
      </c>
      <c r="O190" s="205">
        <f>RICavMilestoneVal</f>
        <v>40187.5</v>
      </c>
      <c r="P190" s="207">
        <f>RICavMilestoneVal+CavityStatus[[#This Row],[Incentive Earned]]+CavityStatus[[#This Row],[Recipe Modification (Mod 9)]]+N190</f>
        <v>40699.004424778759</v>
      </c>
      <c r="Q190" s="206"/>
    </row>
    <row r="191" spans="1:17" x14ac:dyDescent="0.25">
      <c r="A191" s="217"/>
      <c r="B191" s="202" t="s">
        <v>438</v>
      </c>
      <c r="C191" s="202" t="s">
        <v>452</v>
      </c>
      <c r="D191" s="204"/>
      <c r="E191" s="204"/>
      <c r="F191" s="203"/>
      <c r="G191" s="203">
        <f>IF(CavityStatus[[#This Row],[Actual Ship Date]]&lt;&gt;0,($E191-$D191)/7,0)</f>
        <v>0</v>
      </c>
      <c r="H191" s="205"/>
      <c r="I191" s="205"/>
      <c r="J191" s="205"/>
      <c r="K191" s="205"/>
      <c r="L191" s="206"/>
      <c r="M191" s="207"/>
      <c r="N191" s="209">
        <f>57800/113</f>
        <v>511.50442477876106</v>
      </c>
      <c r="O191" s="205">
        <f>RICavMilestoneVal</f>
        <v>40187.5</v>
      </c>
      <c r="P191" s="207">
        <f>RICavMilestoneVal+CavityStatus[[#This Row],[Incentive Earned]]+CavityStatus[[#This Row],[Recipe Modification (Mod 9)]]+N191</f>
        <v>40699.004424778759</v>
      </c>
      <c r="Q191" s="206"/>
    </row>
    <row r="192" spans="1:17" x14ac:dyDescent="0.25">
      <c r="A192" s="217"/>
      <c r="B192" s="202" t="s">
        <v>438</v>
      </c>
      <c r="C192" s="202" t="s">
        <v>453</v>
      </c>
      <c r="D192" s="204"/>
      <c r="E192" s="204"/>
      <c r="F192" s="203"/>
      <c r="G192" s="203">
        <f>IF(CavityStatus[[#This Row],[Actual Ship Date]]&lt;&gt;0,($E192-$D192)/7,0)</f>
        <v>0</v>
      </c>
      <c r="H192" s="205"/>
      <c r="I192" s="205"/>
      <c r="J192" s="205"/>
      <c r="K192" s="205"/>
      <c r="L192" s="206"/>
      <c r="M192" s="207"/>
      <c r="N192" s="209">
        <f>57800/113</f>
        <v>511.50442477876106</v>
      </c>
      <c r="O192" s="205">
        <f>RICavMilestoneVal</f>
        <v>40187.5</v>
      </c>
      <c r="P192" s="207">
        <f>RICavMilestoneVal+CavityStatus[[#This Row],[Incentive Earned]]+CavityStatus[[#This Row],[Recipe Modification (Mod 9)]]+N192</f>
        <v>40699.004424778759</v>
      </c>
      <c r="Q192" s="206"/>
    </row>
    <row r="193" spans="1:17" x14ac:dyDescent="0.25">
      <c r="A193" s="217"/>
      <c r="B193" s="202" t="s">
        <v>439</v>
      </c>
      <c r="C193" s="202" t="s">
        <v>452</v>
      </c>
      <c r="D193" s="204"/>
      <c r="E193" s="204"/>
      <c r="F193" s="203"/>
      <c r="G193" s="203">
        <f>IF(CavityStatus[[#This Row],[Actual Ship Date]]&lt;&gt;0,($E193-$D193)/7,0)</f>
        <v>0</v>
      </c>
      <c r="H193" s="205"/>
      <c r="I193" s="205"/>
      <c r="J193" s="205"/>
      <c r="K193" s="205"/>
      <c r="L193" s="206"/>
      <c r="M193" s="207"/>
      <c r="N193" s="209">
        <f>57800/113</f>
        <v>511.50442477876106</v>
      </c>
      <c r="O193" s="205">
        <f>RICavMilestoneVal</f>
        <v>40187.5</v>
      </c>
      <c r="P193" s="207">
        <f>RICavMilestoneVal+CavityStatus[[#This Row],[Incentive Earned]]+CavityStatus[[#This Row],[Recipe Modification (Mod 9)]]+N193</f>
        <v>40699.004424778759</v>
      </c>
      <c r="Q193" s="206"/>
    </row>
    <row r="194" spans="1:17" x14ac:dyDescent="0.25">
      <c r="A194" s="217"/>
      <c r="B194" s="202" t="s">
        <v>439</v>
      </c>
      <c r="C194" s="202" t="s">
        <v>453</v>
      </c>
      <c r="D194" s="204"/>
      <c r="E194" s="204"/>
      <c r="F194" s="203"/>
      <c r="G194" s="203">
        <f>IF(CavityStatus[[#This Row],[Actual Ship Date]]&lt;&gt;0,($E194-$D194)/7,0)</f>
        <v>0</v>
      </c>
      <c r="H194" s="205"/>
      <c r="I194" s="205"/>
      <c r="J194" s="205"/>
      <c r="K194" s="205"/>
      <c r="L194" s="206"/>
      <c r="M194" s="207"/>
      <c r="N194" s="209">
        <f>57800/113</f>
        <v>511.50442477876106</v>
      </c>
      <c r="O194" s="205">
        <f>RICavMilestoneVal</f>
        <v>40187.5</v>
      </c>
      <c r="P194" s="207">
        <f>RICavMilestoneVal+CavityStatus[[#This Row],[Incentive Earned]]+CavityStatus[[#This Row],[Recipe Modification (Mod 9)]]+N194</f>
        <v>40699.004424778759</v>
      </c>
      <c r="Q194" s="206"/>
    </row>
    <row r="195" spans="1:17" x14ac:dyDescent="0.25">
      <c r="A195" s="217"/>
      <c r="B195" s="202" t="s">
        <v>440</v>
      </c>
      <c r="C195" s="202" t="s">
        <v>453</v>
      </c>
      <c r="D195" s="204"/>
      <c r="E195" s="204"/>
      <c r="F195" s="203"/>
      <c r="G195" s="203">
        <f>IF(CavityStatus[[#This Row],[Actual Ship Date]]&lt;&gt;0,($E195-$D195)/7,0)</f>
        <v>0</v>
      </c>
      <c r="H195" s="205"/>
      <c r="I195" s="205"/>
      <c r="J195" s="205"/>
      <c r="K195" s="205"/>
      <c r="L195" s="206"/>
      <c r="M195" s="207"/>
      <c r="N195" s="209">
        <f>57800/113</f>
        <v>511.50442477876106</v>
      </c>
      <c r="O195" s="205">
        <f>RICavMilestoneVal</f>
        <v>40187.5</v>
      </c>
      <c r="P195" s="207">
        <f>RICavMilestoneVal+CavityStatus[[#This Row],[Incentive Earned]]+CavityStatus[[#This Row],[Recipe Modification (Mod 9)]]+N195</f>
        <v>40699.004424778759</v>
      </c>
      <c r="Q195" s="206"/>
    </row>
    <row r="196" spans="1:17" x14ac:dyDescent="0.25">
      <c r="A196" s="217"/>
      <c r="B196" s="202" t="s">
        <v>441</v>
      </c>
      <c r="C196" s="202" t="s">
        <v>453</v>
      </c>
      <c r="D196" s="204"/>
      <c r="E196" s="204"/>
      <c r="F196" s="203"/>
      <c r="G196" s="203">
        <f>IF(CavityStatus[[#This Row],[Actual Ship Date]]&lt;&gt;0,($E196-$D196)/7,0)</f>
        <v>0</v>
      </c>
      <c r="H196" s="205"/>
      <c r="I196" s="205"/>
      <c r="J196" s="205"/>
      <c r="K196" s="205"/>
      <c r="L196" s="206"/>
      <c r="M196" s="207"/>
      <c r="N196" s="209">
        <f>57800/113</f>
        <v>511.50442477876106</v>
      </c>
      <c r="O196" s="205">
        <f>RICavMilestoneVal</f>
        <v>40187.5</v>
      </c>
      <c r="P196" s="207">
        <f>RICavMilestoneVal+CavityStatus[[#This Row],[Incentive Earned]]+CavityStatus[[#This Row],[Recipe Modification (Mod 9)]]+N196</f>
        <v>40699.004424778759</v>
      </c>
      <c r="Q196" s="206"/>
    </row>
    <row r="197" spans="1:17" x14ac:dyDescent="0.25">
      <c r="A197" s="217"/>
      <c r="B197" s="202" t="s">
        <v>442</v>
      </c>
      <c r="C197" s="202" t="s">
        <v>453</v>
      </c>
      <c r="D197" s="204"/>
      <c r="E197" s="204"/>
      <c r="F197" s="203"/>
      <c r="G197" s="203">
        <f>IF(CavityStatus[[#This Row],[Actual Ship Date]]&lt;&gt;0,($E197-$D197)/7,0)</f>
        <v>0</v>
      </c>
      <c r="H197" s="205"/>
      <c r="I197" s="205"/>
      <c r="J197" s="205"/>
      <c r="K197" s="205"/>
      <c r="L197" s="206"/>
      <c r="M197" s="207"/>
      <c r="N197" s="209">
        <f>57800/113</f>
        <v>511.50442477876106</v>
      </c>
      <c r="O197" s="205">
        <f>RICavMilestoneVal</f>
        <v>40187.5</v>
      </c>
      <c r="P197" s="207">
        <f>RICavMilestoneVal+CavityStatus[[#This Row],[Incentive Earned]]+CavityStatus[[#This Row],[Recipe Modification (Mod 9)]]+N197</f>
        <v>40699.004424778759</v>
      </c>
      <c r="Q197" s="206"/>
    </row>
    <row r="198" spans="1:17" x14ac:dyDescent="0.25">
      <c r="A198" s="217"/>
      <c r="B198" s="202" t="s">
        <v>443</v>
      </c>
      <c r="C198" s="202" t="s">
        <v>453</v>
      </c>
      <c r="D198" s="204"/>
      <c r="E198" s="204"/>
      <c r="F198" s="203"/>
      <c r="G198" s="203">
        <f>IF(CavityStatus[[#This Row],[Actual Ship Date]]&lt;&gt;0,($E198-$D198)/7,0)</f>
        <v>0</v>
      </c>
      <c r="H198" s="205"/>
      <c r="I198" s="205"/>
      <c r="J198" s="205"/>
      <c r="K198" s="205"/>
      <c r="L198" s="206"/>
      <c r="M198" s="207"/>
      <c r="N198" s="207"/>
      <c r="O198" s="207">
        <f>RICavMilestoneVal</f>
        <v>40187.5</v>
      </c>
      <c r="P198" s="207">
        <f>RICavMilestoneVal+CavityStatus[[#This Row],[Incentive Earned]]+CavityStatus[[#This Row],[Recipe Modification (Mod 9)]]+N198</f>
        <v>40187.5</v>
      </c>
      <c r="Q198" s="206"/>
    </row>
    <row r="199" spans="1:17" x14ac:dyDescent="0.25">
      <c r="A199" s="217"/>
      <c r="B199" s="202" t="s">
        <v>444</v>
      </c>
      <c r="C199" s="202" t="s">
        <v>453</v>
      </c>
      <c r="D199" s="204"/>
      <c r="E199" s="204"/>
      <c r="F199" s="203"/>
      <c r="G199" s="203">
        <f>IF(CavityStatus[[#This Row],[Actual Ship Date]]&lt;&gt;0,($E199-$D199)/7,0)</f>
        <v>0</v>
      </c>
      <c r="H199" s="205"/>
      <c r="I199" s="205"/>
      <c r="J199" s="205"/>
      <c r="K199" s="205"/>
      <c r="L199" s="206"/>
      <c r="M199" s="207"/>
      <c r="N199" s="207"/>
      <c r="O199" s="207">
        <f>RICavMilestoneVal</f>
        <v>40187.5</v>
      </c>
      <c r="P199" s="207">
        <f>RICavMilestoneVal+CavityStatus[[#This Row],[Incentive Earned]]+CavityStatus[[#This Row],[Recipe Modification (Mod 9)]]+N199</f>
        <v>40187.5</v>
      </c>
      <c r="Q199" s="206"/>
    </row>
    <row r="200" spans="1:17" x14ac:dyDescent="0.25">
      <c r="A200" s="217"/>
      <c r="B200" s="202" t="s">
        <v>445</v>
      </c>
      <c r="C200" s="202" t="s">
        <v>453</v>
      </c>
      <c r="D200" s="204"/>
      <c r="E200" s="204"/>
      <c r="F200" s="203"/>
      <c r="G200" s="203">
        <f>IF(CavityStatus[[#This Row],[Actual Ship Date]]&lt;&gt;0,($E200-$D200)/7,0)</f>
        <v>0</v>
      </c>
      <c r="H200" s="205"/>
      <c r="I200" s="205"/>
      <c r="J200" s="205"/>
      <c r="K200" s="205"/>
      <c r="L200" s="206"/>
      <c r="M200" s="207"/>
      <c r="N200" s="207"/>
      <c r="O200" s="207">
        <f>RICavMilestoneVal</f>
        <v>40187.5</v>
      </c>
      <c r="P200" s="207">
        <f>RICavMilestoneVal+CavityStatus[[#This Row],[Incentive Earned]]+CavityStatus[[#This Row],[Recipe Modification (Mod 9)]]+N200</f>
        <v>40187.5</v>
      </c>
      <c r="Q200" s="206"/>
    </row>
    <row r="201" spans="1:17" x14ac:dyDescent="0.25">
      <c r="A201" s="217"/>
      <c r="B201" s="202" t="s">
        <v>446</v>
      </c>
      <c r="C201" s="202" t="s">
        <v>453</v>
      </c>
      <c r="D201" s="204"/>
      <c r="E201" s="204"/>
      <c r="F201" s="203"/>
      <c r="G201" s="203">
        <f>IF(CavityStatus[[#This Row],[Actual Ship Date]]&lt;&gt;0,($E201-$D201)/7,0)</f>
        <v>0</v>
      </c>
      <c r="H201" s="205"/>
      <c r="I201" s="205"/>
      <c r="J201" s="205"/>
      <c r="K201" s="205"/>
      <c r="L201" s="206"/>
      <c r="M201" s="207"/>
      <c r="N201" s="209">
        <f>57800/113</f>
        <v>511.50442477876106</v>
      </c>
      <c r="O201" s="205">
        <f>RICavMilestoneVal</f>
        <v>40187.5</v>
      </c>
      <c r="P201" s="207">
        <f>RICavMilestoneVal+CavityStatus[[#This Row],[Incentive Earned]]+CavityStatus[[#This Row],[Recipe Modification (Mod 9)]]+N201</f>
        <v>40699.004424778759</v>
      </c>
      <c r="Q201" s="206"/>
    </row>
    <row r="202" spans="1:17" x14ac:dyDescent="0.25">
      <c r="A202" s="217"/>
      <c r="B202" s="202" t="s">
        <v>447</v>
      </c>
      <c r="C202" s="202" t="s">
        <v>453</v>
      </c>
      <c r="D202" s="204"/>
      <c r="E202" s="204"/>
      <c r="F202" s="203"/>
      <c r="G202" s="203">
        <f>IF(CavityStatus[[#This Row],[Actual Ship Date]]&lt;&gt;0,($E202-$D202)/7,0)</f>
        <v>0</v>
      </c>
      <c r="H202" s="205"/>
      <c r="I202" s="205"/>
      <c r="J202" s="205"/>
      <c r="K202" s="205"/>
      <c r="L202" s="206"/>
      <c r="M202" s="207"/>
      <c r="N202" s="209">
        <f>57800/113</f>
        <v>511.50442477876106</v>
      </c>
      <c r="O202" s="205">
        <f>RICavMilestoneVal</f>
        <v>40187.5</v>
      </c>
      <c r="P202" s="207">
        <f>RICavMilestoneVal+CavityStatus[[#This Row],[Incentive Earned]]+CavityStatus[[#This Row],[Recipe Modification (Mod 9)]]+N202</f>
        <v>40699.004424778759</v>
      </c>
      <c r="Q202" s="206"/>
    </row>
    <row r="203" spans="1:17" x14ac:dyDescent="0.25">
      <c r="A203" s="217"/>
      <c r="B203" s="202" t="s">
        <v>448</v>
      </c>
      <c r="C203" s="202" t="s">
        <v>453</v>
      </c>
      <c r="D203" s="204"/>
      <c r="E203" s="204"/>
      <c r="F203" s="203"/>
      <c r="G203" s="203">
        <f>IF(CavityStatus[[#This Row],[Actual Ship Date]]&lt;&gt;0,($E203-$D203)/7,0)</f>
        <v>0</v>
      </c>
      <c r="H203" s="205"/>
      <c r="I203" s="205"/>
      <c r="J203" s="205"/>
      <c r="K203" s="205"/>
      <c r="L203" s="206"/>
      <c r="M203" s="207"/>
      <c r="N203" s="209">
        <f>57800/113</f>
        <v>511.50442477876106</v>
      </c>
      <c r="O203" s="205">
        <f>RICavMilestoneVal</f>
        <v>40187.5</v>
      </c>
      <c r="P203" s="207">
        <f>RICavMilestoneVal+CavityStatus[[#This Row],[Incentive Earned]]+CavityStatus[[#This Row],[Recipe Modification (Mod 9)]]+N203</f>
        <v>40699.004424778759</v>
      </c>
      <c r="Q203" s="206"/>
    </row>
    <row r="204" spans="1:17" x14ac:dyDescent="0.25">
      <c r="A204" s="217"/>
      <c r="B204" s="202" t="s">
        <v>449</v>
      </c>
      <c r="C204" s="202" t="s">
        <v>453</v>
      </c>
      <c r="D204" s="204"/>
      <c r="E204" s="204"/>
      <c r="F204" s="203"/>
      <c r="G204" s="203">
        <f>IF(CavityStatus[[#This Row],[Actual Ship Date]]&lt;&gt;0,($E204-$D204)/7,0)</f>
        <v>0</v>
      </c>
      <c r="H204" s="205"/>
      <c r="I204" s="205"/>
      <c r="J204" s="205"/>
      <c r="K204" s="205"/>
      <c r="L204" s="206"/>
      <c r="M204" s="207"/>
      <c r="N204" s="209">
        <f>57800/113</f>
        <v>511.50442477876106</v>
      </c>
      <c r="O204" s="205">
        <f>RICavMilestoneVal</f>
        <v>40187.5</v>
      </c>
      <c r="P204" s="207">
        <f>RICavMilestoneVal+CavityStatus[[#This Row],[Incentive Earned]]+CavityStatus[[#This Row],[Recipe Modification (Mod 9)]]+N204</f>
        <v>40699.004424778759</v>
      </c>
      <c r="Q204" s="206"/>
    </row>
    <row r="205" spans="1:17" x14ac:dyDescent="0.25">
      <c r="A205" s="217"/>
      <c r="B205" s="202" t="s">
        <v>450</v>
      </c>
      <c r="C205" s="202" t="s">
        <v>453</v>
      </c>
      <c r="D205" s="204"/>
      <c r="E205" s="204"/>
      <c r="F205" s="203"/>
      <c r="G205" s="203">
        <f>IF(CavityStatus[[#This Row],[Actual Ship Date]]&lt;&gt;0,($E205-$D205)/7,0)</f>
        <v>0</v>
      </c>
      <c r="H205" s="205"/>
      <c r="I205" s="205"/>
      <c r="J205" s="205"/>
      <c r="K205" s="205"/>
      <c r="L205" s="206"/>
      <c r="M205" s="207"/>
      <c r="N205" s="209">
        <f>57800/113</f>
        <v>511.50442477876106</v>
      </c>
      <c r="O205" s="205">
        <f>RICavMilestoneVal</f>
        <v>40187.5</v>
      </c>
      <c r="P205" s="207">
        <f>RICavMilestoneVal+CavityStatus[[#This Row],[Incentive Earned]]+CavityStatus[[#This Row],[Recipe Modification (Mod 9)]]+N205</f>
        <v>40699.004424778759</v>
      </c>
      <c r="Q205" s="206"/>
    </row>
    <row r="206" spans="1:17" x14ac:dyDescent="0.25">
      <c r="A206" s="217"/>
      <c r="B206" s="202" t="s">
        <v>454</v>
      </c>
      <c r="C206" s="202" t="s">
        <v>453</v>
      </c>
      <c r="D206" s="204"/>
      <c r="E206" s="204"/>
      <c r="F206" s="203"/>
      <c r="G206" s="203">
        <f>IF(CavityStatus[[#This Row],[Actual Ship Date]]&lt;&gt;0,($E206-$D206)/7,0)</f>
        <v>0</v>
      </c>
      <c r="H206" s="205"/>
      <c r="I206" s="205"/>
      <c r="J206" s="205"/>
      <c r="K206" s="205"/>
      <c r="L206" s="206"/>
      <c r="M206" s="207"/>
      <c r="N206" s="209">
        <f>57800/113</f>
        <v>511.50442477876106</v>
      </c>
      <c r="O206" s="205">
        <f>RICavMilestoneVal</f>
        <v>40187.5</v>
      </c>
      <c r="P206" s="207">
        <f>RICavMilestoneVal+CavityStatus[[#This Row],[Incentive Earned]]+CavityStatus[[#This Row],[Recipe Modification (Mod 9)]]+N206</f>
        <v>40699.004424778759</v>
      </c>
      <c r="Q206" s="206"/>
    </row>
    <row r="207" spans="1:17" x14ac:dyDescent="0.25">
      <c r="A207" s="217"/>
      <c r="B207" s="202" t="s">
        <v>455</v>
      </c>
      <c r="C207" s="202" t="s">
        <v>453</v>
      </c>
      <c r="D207" s="204"/>
      <c r="E207" s="204"/>
      <c r="F207" s="203"/>
      <c r="G207" s="203">
        <f>IF(CavityStatus[[#This Row],[Actual Ship Date]]&lt;&gt;0,($E207-$D207)/7,0)</f>
        <v>0</v>
      </c>
      <c r="H207" s="205"/>
      <c r="I207" s="205"/>
      <c r="J207" s="205"/>
      <c r="K207" s="205"/>
      <c r="L207" s="206"/>
      <c r="M207" s="207"/>
      <c r="N207" s="209">
        <f>57800/113</f>
        <v>511.50442477876106</v>
      </c>
      <c r="O207" s="205">
        <f>RICavMilestoneVal</f>
        <v>40187.5</v>
      </c>
      <c r="P207" s="207">
        <f>RICavMilestoneVal+CavityStatus[[#This Row],[Incentive Earned]]+CavityStatus[[#This Row],[Recipe Modification (Mod 9)]]+N207</f>
        <v>40699.004424778759</v>
      </c>
      <c r="Q207" s="206"/>
    </row>
    <row r="208" spans="1:17" x14ac:dyDescent="0.25">
      <c r="A208" s="217"/>
      <c r="B208" s="202" t="s">
        <v>456</v>
      </c>
      <c r="C208" s="202" t="s">
        <v>453</v>
      </c>
      <c r="D208" s="204"/>
      <c r="E208" s="204"/>
      <c r="F208" s="203"/>
      <c r="G208" s="203">
        <f>IF(CavityStatus[[#This Row],[Actual Ship Date]]&lt;&gt;0,($E208-$D208)/7,0)</f>
        <v>0</v>
      </c>
      <c r="H208" s="205"/>
      <c r="I208" s="205"/>
      <c r="J208" s="205"/>
      <c r="K208" s="205"/>
      <c r="L208" s="206"/>
      <c r="M208" s="207"/>
      <c r="N208" s="209">
        <f>57800/113</f>
        <v>511.50442477876106</v>
      </c>
      <c r="O208" s="205">
        <f>RICavMilestoneVal</f>
        <v>40187.5</v>
      </c>
      <c r="P208" s="207">
        <f>RICavMilestoneVal+CavityStatus[[#This Row],[Incentive Earned]]+CavityStatus[[#This Row],[Recipe Modification (Mod 9)]]+N208</f>
        <v>40699.004424778759</v>
      </c>
      <c r="Q208" s="206"/>
    </row>
    <row r="209" spans="1:17" x14ac:dyDescent="0.25">
      <c r="A209" s="217"/>
      <c r="B209" s="202" t="s">
        <v>457</v>
      </c>
      <c r="C209" s="202" t="s">
        <v>453</v>
      </c>
      <c r="D209" s="204"/>
      <c r="E209" s="204"/>
      <c r="F209" s="203"/>
      <c r="G209" s="203">
        <f>IF(CavityStatus[[#This Row],[Actual Ship Date]]&lt;&gt;0,($E209-$D209)/7,0)</f>
        <v>0</v>
      </c>
      <c r="H209" s="205"/>
      <c r="I209" s="205"/>
      <c r="J209" s="205"/>
      <c r="K209" s="205"/>
      <c r="L209" s="206"/>
      <c r="M209" s="207"/>
      <c r="N209" s="209">
        <f>57800/113</f>
        <v>511.50442477876106</v>
      </c>
      <c r="O209" s="205">
        <f>RICavMilestoneVal</f>
        <v>40187.5</v>
      </c>
      <c r="P209" s="207">
        <f>RICavMilestoneVal+CavityStatus[[#This Row],[Incentive Earned]]+CavityStatus[[#This Row],[Recipe Modification (Mod 9)]]+N209</f>
        <v>40699.004424778759</v>
      </c>
      <c r="Q209" s="206"/>
    </row>
    <row r="210" spans="1:17" x14ac:dyDescent="0.25">
      <c r="A210" s="217"/>
      <c r="B210" s="202" t="s">
        <v>458</v>
      </c>
      <c r="C210" s="202" t="s">
        <v>453</v>
      </c>
      <c r="D210" s="204"/>
      <c r="E210" s="204"/>
      <c r="F210" s="203"/>
      <c r="G210" s="203">
        <f>IF(CavityStatus[[#This Row],[Actual Ship Date]]&lt;&gt;0,($E210-$D210)/7,0)</f>
        <v>0</v>
      </c>
      <c r="H210" s="205"/>
      <c r="I210" s="205"/>
      <c r="J210" s="205"/>
      <c r="K210" s="205"/>
      <c r="L210" s="206"/>
      <c r="M210" s="207"/>
      <c r="N210" s="209">
        <f>57800/113</f>
        <v>511.50442477876106</v>
      </c>
      <c r="O210" s="205">
        <f>RICavMilestoneVal</f>
        <v>40187.5</v>
      </c>
      <c r="P210" s="207">
        <f>RICavMilestoneVal+CavityStatus[[#This Row],[Incentive Earned]]+CavityStatus[[#This Row],[Recipe Modification (Mod 9)]]+N210</f>
        <v>40699.004424778759</v>
      </c>
      <c r="Q210" s="206"/>
    </row>
    <row r="211" spans="1:17" x14ac:dyDescent="0.25">
      <c r="A211" s="217"/>
      <c r="B211" s="202" t="s">
        <v>459</v>
      </c>
      <c r="C211" s="202" t="s">
        <v>453</v>
      </c>
      <c r="D211" s="204"/>
      <c r="E211" s="204"/>
      <c r="F211" s="203"/>
      <c r="G211" s="203">
        <f>IF(CavityStatus[[#This Row],[Actual Ship Date]]&lt;&gt;0,($E211-$D211)/7,0)</f>
        <v>0</v>
      </c>
      <c r="H211" s="205"/>
      <c r="I211" s="205"/>
      <c r="J211" s="205"/>
      <c r="K211" s="205"/>
      <c r="L211" s="206"/>
      <c r="M211" s="207"/>
      <c r="N211" s="209">
        <f>57800/113</f>
        <v>511.50442477876106</v>
      </c>
      <c r="O211" s="205">
        <f>RICavMilestoneVal</f>
        <v>40187.5</v>
      </c>
      <c r="P211" s="207">
        <f>RICavMilestoneVal+CavityStatus[[#This Row],[Incentive Earned]]+CavityStatus[[#This Row],[Recipe Modification (Mod 9)]]+N211</f>
        <v>40699.004424778759</v>
      </c>
      <c r="Q211" s="206"/>
    </row>
    <row r="212" spans="1:17" x14ac:dyDescent="0.25">
      <c r="A212" s="217"/>
      <c r="B212" s="202" t="s">
        <v>460</v>
      </c>
      <c r="C212" s="202" t="s">
        <v>453</v>
      </c>
      <c r="D212" s="204"/>
      <c r="E212" s="204"/>
      <c r="F212" s="203"/>
      <c r="G212" s="203">
        <f>IF(CavityStatus[[#This Row],[Actual Ship Date]]&lt;&gt;0,($E212-$D212)/7,0)</f>
        <v>0</v>
      </c>
      <c r="H212" s="205"/>
      <c r="I212" s="205"/>
      <c r="J212" s="205"/>
      <c r="K212" s="205"/>
      <c r="L212" s="206"/>
      <c r="M212" s="207"/>
      <c r="N212" s="209">
        <f>57800/113</f>
        <v>511.50442477876106</v>
      </c>
      <c r="O212" s="205">
        <f>RICavMilestoneVal</f>
        <v>40187.5</v>
      </c>
      <c r="P212" s="207">
        <f>RICavMilestoneVal+CavityStatus[[#This Row],[Incentive Earned]]+CavityStatus[[#This Row],[Recipe Modification (Mod 9)]]+N212</f>
        <v>40699.004424778759</v>
      </c>
      <c r="Q212" s="206"/>
    </row>
    <row r="213" spans="1:17" x14ac:dyDescent="0.25">
      <c r="A213" s="217"/>
      <c r="B213" s="202" t="s">
        <v>461</v>
      </c>
      <c r="C213" s="202" t="s">
        <v>453</v>
      </c>
      <c r="D213" s="204"/>
      <c r="E213" s="204"/>
      <c r="F213" s="203"/>
      <c r="G213" s="203">
        <f>IF(CavityStatus[[#This Row],[Actual Ship Date]]&lt;&gt;0,($E213-$D213)/7,0)</f>
        <v>0</v>
      </c>
      <c r="H213" s="205"/>
      <c r="I213" s="205"/>
      <c r="J213" s="205"/>
      <c r="K213" s="205"/>
      <c r="L213" s="206"/>
      <c r="M213" s="207"/>
      <c r="N213" s="209">
        <f>57800/113</f>
        <v>511.50442477876106</v>
      </c>
      <c r="O213" s="205">
        <f>RICavMilestoneVal</f>
        <v>40187.5</v>
      </c>
      <c r="P213" s="207">
        <f>RICavMilestoneVal+CavityStatus[[#This Row],[Incentive Earned]]+CavityStatus[[#This Row],[Recipe Modification (Mod 9)]]+N213</f>
        <v>40699.004424778759</v>
      </c>
      <c r="Q213" s="206"/>
    </row>
    <row r="214" spans="1:17" x14ac:dyDescent="0.25">
      <c r="A214" s="217"/>
      <c r="B214" s="202" t="s">
        <v>462</v>
      </c>
      <c r="C214" s="202" t="s">
        <v>453</v>
      </c>
      <c r="D214" s="204"/>
      <c r="E214" s="204"/>
      <c r="F214" s="203"/>
      <c r="G214" s="203">
        <f>IF(CavityStatus[[#This Row],[Actual Ship Date]]&lt;&gt;0,($E214-$D214)/7,0)</f>
        <v>0</v>
      </c>
      <c r="H214" s="205"/>
      <c r="I214" s="205"/>
      <c r="J214" s="205"/>
      <c r="K214" s="205"/>
      <c r="L214" s="206"/>
      <c r="M214" s="207"/>
      <c r="N214" s="209">
        <f>57800/113</f>
        <v>511.50442477876106</v>
      </c>
      <c r="O214" s="205">
        <f>RICavMilestoneVal</f>
        <v>40187.5</v>
      </c>
      <c r="P214" s="207">
        <f>RICavMilestoneVal+CavityStatus[[#This Row],[Incentive Earned]]+CavityStatus[[#This Row],[Recipe Modification (Mod 9)]]+N214</f>
        <v>40699.004424778759</v>
      </c>
      <c r="Q214" s="206"/>
    </row>
    <row r="215" spans="1:17" x14ac:dyDescent="0.25">
      <c r="A215" s="217"/>
      <c r="B215" s="202" t="s">
        <v>463</v>
      </c>
      <c r="C215" s="202" t="s">
        <v>453</v>
      </c>
      <c r="D215" s="204"/>
      <c r="E215" s="204"/>
      <c r="F215" s="203"/>
      <c r="G215" s="203">
        <f>IF(CavityStatus[[#This Row],[Actual Ship Date]]&lt;&gt;0,($E215-$D215)/7,0)</f>
        <v>0</v>
      </c>
      <c r="H215" s="205"/>
      <c r="I215" s="205"/>
      <c r="J215" s="205"/>
      <c r="K215" s="205"/>
      <c r="L215" s="206"/>
      <c r="M215" s="207"/>
      <c r="N215" s="209">
        <f>57800/113</f>
        <v>511.50442477876106</v>
      </c>
      <c r="O215" s="205">
        <f>RICavMilestoneVal</f>
        <v>40187.5</v>
      </c>
      <c r="P215" s="207">
        <f>RICavMilestoneVal+CavityStatus[[#This Row],[Incentive Earned]]+CavityStatus[[#This Row],[Recipe Modification (Mod 9)]]+N215</f>
        <v>40699.004424778759</v>
      </c>
      <c r="Q215" s="206"/>
    </row>
    <row r="216" spans="1:17" x14ac:dyDescent="0.25">
      <c r="A216" s="217"/>
      <c r="B216" s="202" t="s">
        <v>464</v>
      </c>
      <c r="C216" s="202" t="s">
        <v>453</v>
      </c>
      <c r="D216" s="204"/>
      <c r="E216" s="204"/>
      <c r="F216" s="203"/>
      <c r="G216" s="203">
        <f>IF(CavityStatus[[#This Row],[Actual Ship Date]]&lt;&gt;0,($E216-$D216)/7,0)</f>
        <v>0</v>
      </c>
      <c r="H216" s="205"/>
      <c r="I216" s="205"/>
      <c r="J216" s="205"/>
      <c r="K216" s="205"/>
      <c r="L216" s="206"/>
      <c r="M216" s="207"/>
      <c r="N216" s="209">
        <f>57800/113</f>
        <v>511.50442477876106</v>
      </c>
      <c r="O216" s="205">
        <f>RICavMilestoneVal</f>
        <v>40187.5</v>
      </c>
      <c r="P216" s="207">
        <f>RICavMilestoneVal+CavityStatus[[#This Row],[Incentive Earned]]+CavityStatus[[#This Row],[Recipe Modification (Mod 9)]]+N216</f>
        <v>40699.004424778759</v>
      </c>
      <c r="Q216" s="206"/>
    </row>
    <row r="217" spans="1:17" x14ac:dyDescent="0.25">
      <c r="A217" s="217"/>
      <c r="B217" s="202" t="s">
        <v>465</v>
      </c>
      <c r="C217" s="202" t="s">
        <v>453</v>
      </c>
      <c r="D217" s="204"/>
      <c r="E217" s="204"/>
      <c r="F217" s="203"/>
      <c r="G217" s="203">
        <f>IF(CavityStatus[[#This Row],[Actual Ship Date]]&lt;&gt;0,($E217-$D217)/7,0)</f>
        <v>0</v>
      </c>
      <c r="H217" s="205"/>
      <c r="I217" s="205"/>
      <c r="J217" s="205"/>
      <c r="K217" s="205"/>
      <c r="L217" s="206"/>
      <c r="M217" s="207"/>
      <c r="N217" s="209">
        <f>57800/113</f>
        <v>511.50442477876106</v>
      </c>
      <c r="O217" s="205">
        <f>RICavMilestoneVal</f>
        <v>40187.5</v>
      </c>
      <c r="P217" s="207">
        <f>RICavMilestoneVal+CavityStatus[[#This Row],[Incentive Earned]]+CavityStatus[[#This Row],[Recipe Modification (Mod 9)]]+N217</f>
        <v>40699.004424778759</v>
      </c>
      <c r="Q217" s="206"/>
    </row>
    <row r="218" spans="1:17" x14ac:dyDescent="0.25">
      <c r="A218" s="217"/>
      <c r="B218" s="202" t="s">
        <v>466</v>
      </c>
      <c r="C218" s="202" t="s">
        <v>453</v>
      </c>
      <c r="D218" s="204"/>
      <c r="E218" s="204"/>
      <c r="F218" s="203"/>
      <c r="G218" s="203">
        <f>IF(CavityStatus[[#This Row],[Actual Ship Date]]&lt;&gt;0,($E218-$D218)/7,0)</f>
        <v>0</v>
      </c>
      <c r="H218" s="205"/>
      <c r="I218" s="205"/>
      <c r="J218" s="205"/>
      <c r="K218" s="205"/>
      <c r="L218" s="206"/>
      <c r="M218" s="207"/>
      <c r="N218" s="209">
        <f>57800/113</f>
        <v>511.50442477876106</v>
      </c>
      <c r="O218" s="205">
        <f>RICavMilestoneVal</f>
        <v>40187.5</v>
      </c>
      <c r="P218" s="207">
        <f>RICavMilestoneVal+CavityStatus[[#This Row],[Incentive Earned]]+CavityStatus[[#This Row],[Recipe Modification (Mod 9)]]+N218</f>
        <v>40699.004424778759</v>
      </c>
      <c r="Q218" s="206"/>
    </row>
    <row r="219" spans="1:17" x14ac:dyDescent="0.25">
      <c r="A219" s="217"/>
      <c r="B219" s="202" t="s">
        <v>467</v>
      </c>
      <c r="C219" s="202" t="s">
        <v>453</v>
      </c>
      <c r="D219" s="204"/>
      <c r="E219" s="204"/>
      <c r="F219" s="203"/>
      <c r="G219" s="203">
        <f>IF(CavityStatus[[#This Row],[Actual Ship Date]]&lt;&gt;0,($E219-$D219)/7,0)</f>
        <v>0</v>
      </c>
      <c r="H219" s="205"/>
      <c r="I219" s="205"/>
      <c r="J219" s="205"/>
      <c r="K219" s="205"/>
      <c r="L219" s="206"/>
      <c r="M219" s="207"/>
      <c r="N219" s="209">
        <f>57800/113</f>
        <v>511.50442477876106</v>
      </c>
      <c r="O219" s="205">
        <f>RICavMilestoneVal</f>
        <v>40187.5</v>
      </c>
      <c r="P219" s="207">
        <f>RICavMilestoneVal+CavityStatus[[#This Row],[Incentive Earned]]+CavityStatus[[#This Row],[Recipe Modification (Mod 9)]]+N219</f>
        <v>40699.004424778759</v>
      </c>
      <c r="Q219" s="206"/>
    </row>
    <row r="220" spans="1:17" x14ac:dyDescent="0.25">
      <c r="A220" s="217"/>
      <c r="B220" s="202" t="s">
        <v>468</v>
      </c>
      <c r="C220" s="202" t="s">
        <v>453</v>
      </c>
      <c r="D220" s="204"/>
      <c r="E220" s="204"/>
      <c r="F220" s="203"/>
      <c r="G220" s="203">
        <f>IF(CavityStatus[[#This Row],[Actual Ship Date]]&lt;&gt;0,($E220-$D220)/7,0)</f>
        <v>0</v>
      </c>
      <c r="H220" s="205"/>
      <c r="I220" s="205"/>
      <c r="J220" s="205"/>
      <c r="K220" s="205"/>
      <c r="L220" s="206"/>
      <c r="M220" s="207"/>
      <c r="N220" s="209">
        <f>57800/113</f>
        <v>511.50442477876106</v>
      </c>
      <c r="O220" s="205">
        <f>RICavMilestoneVal</f>
        <v>40187.5</v>
      </c>
      <c r="P220" s="207">
        <f>RICavMilestoneVal+CavityStatus[[#This Row],[Incentive Earned]]+CavityStatus[[#This Row],[Recipe Modification (Mod 9)]]+N220</f>
        <v>40699.004424778759</v>
      </c>
      <c r="Q220" s="206"/>
    </row>
    <row r="221" spans="1:17" x14ac:dyDescent="0.25">
      <c r="A221" s="217"/>
      <c r="B221" s="202" t="s">
        <v>469</v>
      </c>
      <c r="C221" s="202" t="s">
        <v>453</v>
      </c>
      <c r="D221" s="204"/>
      <c r="E221" s="204"/>
      <c r="F221" s="203"/>
      <c r="G221" s="203">
        <f>IF(CavityStatus[[#This Row],[Actual Ship Date]]&lt;&gt;0,($E221-$D221)/7,0)</f>
        <v>0</v>
      </c>
      <c r="H221" s="205"/>
      <c r="I221" s="205"/>
      <c r="J221" s="205"/>
      <c r="K221" s="205"/>
      <c r="L221" s="206"/>
      <c r="M221" s="207"/>
      <c r="N221" s="209">
        <f>57800/113</f>
        <v>511.50442477876106</v>
      </c>
      <c r="O221" s="205">
        <f>RICavMilestoneVal</f>
        <v>40187.5</v>
      </c>
      <c r="P221" s="207">
        <f>RICavMilestoneVal+CavityStatus[[#This Row],[Incentive Earned]]+CavityStatus[[#This Row],[Recipe Modification (Mod 9)]]+N221</f>
        <v>40699.004424778759</v>
      </c>
      <c r="Q221" s="206"/>
    </row>
    <row r="222" spans="1:17" x14ac:dyDescent="0.25">
      <c r="A222" s="217"/>
      <c r="B222" s="202" t="s">
        <v>470</v>
      </c>
      <c r="C222" s="202" t="s">
        <v>453</v>
      </c>
      <c r="D222" s="204"/>
      <c r="E222" s="204"/>
      <c r="F222" s="203"/>
      <c r="G222" s="203">
        <f>IF(CavityStatus[[#This Row],[Actual Ship Date]]&lt;&gt;0,($E222-$D222)/7,0)</f>
        <v>0</v>
      </c>
      <c r="H222" s="205"/>
      <c r="I222" s="205"/>
      <c r="J222" s="205"/>
      <c r="K222" s="205"/>
      <c r="L222" s="206"/>
      <c r="M222" s="207"/>
      <c r="N222" s="209">
        <f>57800/113</f>
        <v>511.50442477876106</v>
      </c>
      <c r="O222" s="205">
        <f>RICavMilestoneVal</f>
        <v>40187.5</v>
      </c>
      <c r="P222" s="207">
        <f>RICavMilestoneVal+CavityStatus[[#This Row],[Incentive Earned]]+CavityStatus[[#This Row],[Recipe Modification (Mod 9)]]+N222</f>
        <v>40699.004424778759</v>
      </c>
      <c r="Q222" s="206"/>
    </row>
    <row r="223" spans="1:17" x14ac:dyDescent="0.25">
      <c r="A223" s="217"/>
      <c r="B223" s="202" t="s">
        <v>471</v>
      </c>
      <c r="C223" s="202" t="s">
        <v>453</v>
      </c>
      <c r="D223" s="204"/>
      <c r="E223" s="204"/>
      <c r="F223" s="203"/>
      <c r="G223" s="203">
        <f>IF(CavityStatus[[#This Row],[Actual Ship Date]]&lt;&gt;0,($E223-$D223)/7,0)</f>
        <v>0</v>
      </c>
      <c r="H223" s="205"/>
      <c r="I223" s="205"/>
      <c r="J223" s="205"/>
      <c r="K223" s="205"/>
      <c r="L223" s="206"/>
      <c r="M223" s="207"/>
      <c r="N223" s="209">
        <f>57800/113</f>
        <v>511.50442477876106</v>
      </c>
      <c r="O223" s="205">
        <f>RICavMilestoneVal</f>
        <v>40187.5</v>
      </c>
      <c r="P223" s="207">
        <f>RICavMilestoneVal+CavityStatus[[#This Row],[Incentive Earned]]+CavityStatus[[#This Row],[Recipe Modification (Mod 9)]]+N223</f>
        <v>40699.004424778759</v>
      </c>
      <c r="Q223" s="206"/>
    </row>
    <row r="224" spans="1:17" x14ac:dyDescent="0.25">
      <c r="A224" s="217"/>
      <c r="B224" s="202" t="s">
        <v>472</v>
      </c>
      <c r="C224" s="202" t="s">
        <v>453</v>
      </c>
      <c r="D224" s="204"/>
      <c r="E224" s="204"/>
      <c r="F224" s="203"/>
      <c r="G224" s="203">
        <f>IF(CavityStatus[[#This Row],[Actual Ship Date]]&lt;&gt;0,($E224-$D224)/7,0)</f>
        <v>0</v>
      </c>
      <c r="H224" s="205"/>
      <c r="I224" s="205"/>
      <c r="J224" s="205"/>
      <c r="K224" s="205"/>
      <c r="L224" s="206"/>
      <c r="M224" s="207"/>
      <c r="N224" s="207"/>
      <c r="O224" s="207">
        <f>RICavMilestoneVal</f>
        <v>40187.5</v>
      </c>
      <c r="P224" s="207">
        <f>RICavMilestoneVal+CavityStatus[[#This Row],[Incentive Earned]]+CavityStatus[[#This Row],[Recipe Modification (Mod 9)]]+N224</f>
        <v>40187.5</v>
      </c>
      <c r="Q224" s="206"/>
    </row>
    <row r="225" spans="1:17" x14ac:dyDescent="0.25">
      <c r="A225" s="217"/>
      <c r="B225" s="202" t="s">
        <v>473</v>
      </c>
      <c r="C225" s="202" t="s">
        <v>453</v>
      </c>
      <c r="D225" s="204"/>
      <c r="E225" s="204"/>
      <c r="F225" s="203"/>
      <c r="G225" s="203">
        <f>IF(CavityStatus[[#This Row],[Actual Ship Date]]&lt;&gt;0,($E225-$D225)/7,0)</f>
        <v>0</v>
      </c>
      <c r="H225" s="205"/>
      <c r="I225" s="205"/>
      <c r="J225" s="205"/>
      <c r="K225" s="205"/>
      <c r="L225" s="206"/>
      <c r="M225" s="207"/>
      <c r="N225" s="207"/>
      <c r="O225" s="207">
        <f>RICavMilestoneVal</f>
        <v>40187.5</v>
      </c>
      <c r="P225" s="207">
        <f>RICavMilestoneVal+CavityStatus[[#This Row],[Incentive Earned]]+CavityStatus[[#This Row],[Recipe Modification (Mod 9)]]+N225</f>
        <v>40187.5</v>
      </c>
      <c r="Q225" s="206"/>
    </row>
    <row r="226" spans="1:17" x14ac:dyDescent="0.25">
      <c r="A226" s="217"/>
      <c r="B226" s="202" t="s">
        <v>474</v>
      </c>
      <c r="C226" s="202" t="s">
        <v>453</v>
      </c>
      <c r="D226" s="204"/>
      <c r="E226" s="204"/>
      <c r="F226" s="203"/>
      <c r="G226" s="203">
        <f>IF(CavityStatus[[#This Row],[Actual Ship Date]]&lt;&gt;0,($E226-$D226)/7,0)</f>
        <v>0</v>
      </c>
      <c r="H226" s="205"/>
      <c r="I226" s="205"/>
      <c r="J226" s="205"/>
      <c r="K226" s="205"/>
      <c r="L226" s="206"/>
      <c r="M226" s="207"/>
      <c r="N226" s="207"/>
      <c r="O226" s="207">
        <f>RICavMilestoneVal</f>
        <v>40187.5</v>
      </c>
      <c r="P226" s="207">
        <f>RICavMilestoneVal+CavityStatus[[#This Row],[Incentive Earned]]+CavityStatus[[#This Row],[Recipe Modification (Mod 9)]]+N226</f>
        <v>40187.5</v>
      </c>
      <c r="Q226" s="206"/>
    </row>
    <row r="227" spans="1:17" ht="18.600000000000001" thickBot="1" x14ac:dyDescent="0.3">
      <c r="A227" s="218"/>
      <c r="B227" s="219"/>
      <c r="C227" s="219"/>
      <c r="D227" s="220"/>
      <c r="E227" s="220"/>
      <c r="F227" s="221"/>
      <c r="G227" s="221">
        <f>IF(CavityStatus[[#This Row],[Actual Ship Date]]&lt;&gt;0,($E227-$D227)/7,0)</f>
        <v>0</v>
      </c>
      <c r="H227" s="222"/>
      <c r="I227" s="222"/>
      <c r="J227" s="222"/>
      <c r="K227" s="222"/>
      <c r="L227" s="223"/>
      <c r="M227" s="224"/>
      <c r="N227" s="224"/>
      <c r="O227" s="224">
        <f>RICavMilestoneVal</f>
        <v>40187.5</v>
      </c>
      <c r="P227" s="224">
        <f>RICavMilestoneVal+CavityStatus[[#This Row],[Incentive Earned]]+CavityStatus[[#This Row],[Recipe Modification (Mod 9)]]+N227</f>
        <v>40187.5</v>
      </c>
      <c r="Q227" s="223"/>
    </row>
    <row r="228" spans="1:17" x14ac:dyDescent="0.25">
      <c r="A228" s="202" t="s">
        <v>108</v>
      </c>
      <c r="B228" s="202">
        <f>SUBTOTAL(103,CavityStatus[Serial '#])</f>
        <v>223</v>
      </c>
      <c r="C228" s="321"/>
      <c r="D228" s="202"/>
      <c r="E228" s="202"/>
      <c r="F228" s="203"/>
      <c r="G228" s="202"/>
      <c r="H228" s="322">
        <f>SUBTOTAL(109,CavityStatus[FA Incentive Avail])</f>
        <v>323136</v>
      </c>
      <c r="I228" s="322"/>
      <c r="J228" s="322">
        <f>SUBTOTAL(109,CavityStatus[Prod Incentive Avail])</f>
        <v>246240</v>
      </c>
      <c r="K228" s="322">
        <f>SUBTOTAL(109,CavityStatus[Incentive Earned])</f>
        <v>219240</v>
      </c>
      <c r="L228" s="324">
        <f>SUBTOTAL(103,CavityStatus[Receipt Date])</f>
        <v>106</v>
      </c>
      <c r="M228" s="323">
        <f>SUBTOTAL(109,CavityStatus[Recipe Modification (Mod 9)])</f>
        <v>484000</v>
      </c>
      <c r="N228" s="322">
        <f>SUBTOTAL(109,CavityStatus[Caps            
 (Mod 10)])</f>
        <v>95672.831858406935</v>
      </c>
      <c r="O228" s="323">
        <f>SUBTOTAL(109,CavityStatus[Delivery &amp; Acceptance])</f>
        <v>9002000</v>
      </c>
      <c r="P228" s="323">
        <f>SUBTOTAL(109,CavityStatus[Total])</f>
        <v>9800912.8318584003</v>
      </c>
      <c r="Q228" s="323"/>
    </row>
    <row r="230" spans="1:17" x14ac:dyDescent="0.25">
      <c r="K230" s="313">
        <f>CavityStatus[[#Totals],[Incentive Earned]]/CavityStatus[[#Totals],[Prod Incentive Avail]]</f>
        <v>0.89035087719298245</v>
      </c>
    </row>
  </sheetData>
  <mergeCells count="1">
    <mergeCell ref="A1:Q1"/>
  </mergeCells>
  <dataValidations count="1">
    <dataValidation allowBlank="1" sqref="M4:P227 G4:G55 H4:K136"/>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4">
        <x14:dataValidation type="list" allowBlank="1">
          <x14:formula1>
            <xm:f>List!$M$3:$M$23</xm:f>
          </x14:formula1>
          <xm:sqref>H137:K227 G56:G227 L4:L227 E4:F61 E76:F227</xm:sqref>
        </x14:dataValidation>
        <x14:dataValidation type="list" allowBlank="1">
          <x14:formula1>
            <xm:f>List!$O$3:$O$4</xm:f>
          </x14:formula1>
          <xm:sqref>E62:F75 D5:D227</xm:sqref>
        </x14:dataValidation>
        <x14:dataValidation type="list" allowBlank="1">
          <x14:formula1>
            <xm:f>List!$W$2:$W$24</xm:f>
          </x14:formula1>
          <xm:sqref>Q4:Q227</xm:sqref>
        </x14:dataValidation>
        <x14:dataValidation type="list" allowBlank="1">
          <x14:formula1>
            <xm:f>List!$S$3:$S$10</xm:f>
          </x14:formula1>
          <xm:sqref>M229:Q1048576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9"/>
  <sheetViews>
    <sheetView showGridLines="0" topLeftCell="B1" workbookViewId="0">
      <selection activeCell="D232" sqref="D232"/>
    </sheetView>
  </sheetViews>
  <sheetFormatPr defaultRowHeight="13.2" x14ac:dyDescent="0.25"/>
  <cols>
    <col min="1" max="1" width="0" hidden="1" customWidth="1"/>
    <col min="2" max="2" width="7" customWidth="1"/>
    <col min="3" max="3" width="9" bestFit="1" customWidth="1"/>
    <col min="4" max="4" width="10.77734375" bestFit="1" customWidth="1"/>
    <col min="5" max="5" width="11.33203125" style="160" customWidth="1"/>
    <col min="6" max="6" width="11" bestFit="1" customWidth="1"/>
    <col min="7" max="7" width="13.44140625" customWidth="1"/>
    <col min="8" max="8" width="11.33203125" customWidth="1"/>
    <col min="9" max="9" width="13.44140625" customWidth="1"/>
    <col min="10" max="10" width="14.88671875" customWidth="1"/>
    <col min="11" max="11" width="11" hidden="1" customWidth="1"/>
    <col min="12" max="12" width="9" bestFit="1" customWidth="1"/>
  </cols>
  <sheetData>
    <row r="1" spans="1:11" ht="23.4" thickBot="1" x14ac:dyDescent="0.45">
      <c r="B1" s="349" t="s">
        <v>475</v>
      </c>
      <c r="C1" s="350"/>
      <c r="D1" s="350"/>
      <c r="E1" s="350"/>
      <c r="F1" s="350"/>
      <c r="G1" s="350"/>
      <c r="H1" s="350"/>
      <c r="I1" s="350"/>
      <c r="J1" s="350"/>
      <c r="K1" s="351"/>
    </row>
    <row r="2" spans="1:11" ht="3.6" customHeight="1" thickBot="1" x14ac:dyDescent="0.3">
      <c r="E2"/>
    </row>
    <row r="3" spans="1:11" s="250" customFormat="1" ht="30" thickTop="1" thickBot="1" x14ac:dyDescent="0.3">
      <c r="A3"/>
      <c r="B3" s="251" t="s">
        <v>214</v>
      </c>
      <c r="C3" s="252" t="s">
        <v>217</v>
      </c>
      <c r="D3" s="253" t="s">
        <v>218</v>
      </c>
      <c r="E3" s="253" t="s">
        <v>216</v>
      </c>
      <c r="F3" s="253" t="s">
        <v>117</v>
      </c>
      <c r="G3" s="254" t="s">
        <v>488</v>
      </c>
      <c r="H3" s="254" t="s">
        <v>224</v>
      </c>
      <c r="I3" s="254" t="s">
        <v>476</v>
      </c>
      <c r="J3" s="254" t="s">
        <v>108</v>
      </c>
      <c r="K3" s="255" t="s">
        <v>223</v>
      </c>
    </row>
    <row r="4" spans="1:11" ht="14.4" hidden="1" thickTop="1" x14ac:dyDescent="0.25">
      <c r="B4" s="236">
        <f>IF(CavityStatus[[#This Row],[Unit '#]]&lt;&gt;0,CavityStatus[[#This Row],[Unit '#]],"")</f>
        <v>1</v>
      </c>
      <c r="C4" s="237" t="str">
        <f>CavityStatus[[#This Row],[Serial '#]]</f>
        <v>CAV001</v>
      </c>
      <c r="D4" s="238">
        <f>IF(CavityStatus[[#This Row],[Actual Ship Date]]&lt;&gt;0,CavityStatus[[#This Row],[Actual Ship Date]],"")</f>
        <v>42552</v>
      </c>
      <c r="E4" s="239">
        <f>CavityStatus[[#This Row],[Incentive Earned]]</f>
        <v>0</v>
      </c>
      <c r="F4" s="238">
        <f>IF(CavityStatus[[#This Row],[Receipt Date]]&lt;&gt;0,CavityStatus[[#This Row],[Receipt Date]],"")</f>
        <v>42528</v>
      </c>
      <c r="G4" s="239">
        <f>CavityStatus[[#This Row],[Recipe Modification (Mod 9)]]</f>
        <v>0</v>
      </c>
      <c r="H4" s="239">
        <f>CavityStatus[[#This Row],[Caps            
 (Mod 10)]]</f>
        <v>0</v>
      </c>
      <c r="I4" s="239">
        <f>CavityStatus[[#This Row],[Delivery &amp; Acceptance]]</f>
        <v>40187.5</v>
      </c>
      <c r="J4" s="239">
        <f>CavityStatus[[#This Row],[Total]]</f>
        <v>40187.5</v>
      </c>
      <c r="K4" s="240">
        <f>IF(CavityStatus[[#This Row],[Accept Date]]&lt;&gt;0,CavityStatus[[#This Row],[Accept Date]],"")</f>
        <v>42587</v>
      </c>
    </row>
    <row r="5" spans="1:11" ht="14.4" hidden="1" thickTop="1" x14ac:dyDescent="0.25">
      <c r="B5" s="229">
        <f>IF(CavityStatus[[#This Row],[Unit '#]]&lt;&gt;0,CavityStatus[[#This Row],[Unit '#]],"")</f>
        <v>2</v>
      </c>
      <c r="C5" s="226" t="str">
        <f>CavityStatus[[#This Row],[Serial '#]]</f>
        <v>CAV002</v>
      </c>
      <c r="D5" s="227">
        <f>IF(CavityStatus[[#This Row],[Actual Ship Date]]&lt;&gt;0,CavityStatus[[#This Row],[Actual Ship Date]],"")</f>
        <v>42552</v>
      </c>
      <c r="E5" s="228">
        <f>CavityStatus[[#This Row],[Incentive Earned]]</f>
        <v>0</v>
      </c>
      <c r="F5" s="227">
        <f>IF(CavityStatus[[#This Row],[Receipt Date]]&lt;&gt;0,CavityStatus[[#This Row],[Receipt Date]],"")</f>
        <v>42528</v>
      </c>
      <c r="G5" s="228">
        <f>CavityStatus[[#This Row],[Recipe Modification (Mod 9)]]</f>
        <v>0</v>
      </c>
      <c r="H5" s="228">
        <f>CavityStatus[[#This Row],[Caps            
 (Mod 10)]]</f>
        <v>0</v>
      </c>
      <c r="I5" s="228">
        <f>CavityStatus[[#This Row],[Delivery &amp; Acceptance]]</f>
        <v>40187.5</v>
      </c>
      <c r="J5" s="228">
        <f>CavityStatus[[#This Row],[Total]]</f>
        <v>40187.5</v>
      </c>
      <c r="K5" s="230">
        <f>IF(CavityStatus[[#This Row],[Accept Date]]&lt;&gt;0,CavityStatus[[#This Row],[Accept Date]],"")</f>
        <v>42587</v>
      </c>
    </row>
    <row r="6" spans="1:11" ht="14.4" hidden="1" thickTop="1" x14ac:dyDescent="0.25">
      <c r="B6" s="229">
        <f>IF(CavityStatus[[#This Row],[Unit '#]]&lt;&gt;0,CavityStatus[[#This Row],[Unit '#]],"")</f>
        <v>5</v>
      </c>
      <c r="C6" s="226" t="str">
        <f>CavityStatus[[#This Row],[Serial '#]]</f>
        <v>CAV003</v>
      </c>
      <c r="D6" s="227">
        <f>IF(CavityStatus[[#This Row],[Actual Ship Date]]&lt;&gt;0,CavityStatus[[#This Row],[Actual Ship Date]],"")</f>
        <v>42552</v>
      </c>
      <c r="E6" s="228">
        <f>CavityStatus[[#This Row],[Incentive Earned]]</f>
        <v>0</v>
      </c>
      <c r="F6" s="227">
        <f>IF(CavityStatus[[#This Row],[Receipt Date]]&lt;&gt;0,CavityStatus[[#This Row],[Receipt Date]],"")</f>
        <v>42528</v>
      </c>
      <c r="G6" s="228">
        <f>CavityStatus[[#This Row],[Recipe Modification (Mod 9)]]</f>
        <v>0</v>
      </c>
      <c r="H6" s="228">
        <f>CavityStatus[[#This Row],[Caps            
 (Mod 10)]]</f>
        <v>0</v>
      </c>
      <c r="I6" s="228">
        <f>CavityStatus[[#This Row],[Delivery &amp; Acceptance]]</f>
        <v>40187.5</v>
      </c>
      <c r="J6" s="228">
        <f>CavityStatus[[#This Row],[Total]]</f>
        <v>40187.5</v>
      </c>
      <c r="K6" s="230">
        <f>IF(CavityStatus[[#This Row],[Accept Date]]&lt;&gt;0,CavityStatus[[#This Row],[Accept Date]],"")</f>
        <v>42587</v>
      </c>
    </row>
    <row r="7" spans="1:11" ht="14.4" hidden="1" thickTop="1" x14ac:dyDescent="0.25">
      <c r="B7" s="229">
        <f>IF(CavityStatus[[#This Row],[Unit '#]]&lt;&gt;0,CavityStatus[[#This Row],[Unit '#]],"")</f>
        <v>3</v>
      </c>
      <c r="C7" s="226" t="str">
        <f>CavityStatus[[#This Row],[Serial '#]]</f>
        <v>CAV004</v>
      </c>
      <c r="D7" s="227">
        <f>IF(CavityStatus[[#This Row],[Actual Ship Date]]&lt;&gt;0,CavityStatus[[#This Row],[Actual Ship Date]],"")</f>
        <v>42552</v>
      </c>
      <c r="E7" s="228">
        <f>CavityStatus[[#This Row],[Incentive Earned]]</f>
        <v>0</v>
      </c>
      <c r="F7" s="227">
        <f>IF(CavityStatus[[#This Row],[Receipt Date]]&lt;&gt;0,CavityStatus[[#This Row],[Receipt Date]],"")</f>
        <v>42528</v>
      </c>
      <c r="G7" s="228">
        <f>CavityStatus[[#This Row],[Recipe Modification (Mod 9)]]</f>
        <v>0</v>
      </c>
      <c r="H7" s="228">
        <f>CavityStatus[[#This Row],[Caps            
 (Mod 10)]]</f>
        <v>0</v>
      </c>
      <c r="I7" s="228">
        <f>CavityStatus[[#This Row],[Delivery &amp; Acceptance]]</f>
        <v>40187.5</v>
      </c>
      <c r="J7" s="228">
        <f>CavityStatus[[#This Row],[Total]]</f>
        <v>40187.5</v>
      </c>
      <c r="K7" s="230">
        <f>IF(CavityStatus[[#This Row],[Accept Date]]&lt;&gt;0,CavityStatus[[#This Row],[Accept Date]],"")</f>
        <v>42587</v>
      </c>
    </row>
    <row r="8" spans="1:11" ht="14.4" hidden="1" thickTop="1" x14ac:dyDescent="0.25">
      <c r="B8" s="229">
        <f>IF(CavityStatus[[#This Row],[Unit '#]]&lt;&gt;0,CavityStatus[[#This Row],[Unit '#]],"")</f>
        <v>4</v>
      </c>
      <c r="C8" s="226" t="str">
        <f>CavityStatus[[#This Row],[Serial '#]]</f>
        <v>CAV005</v>
      </c>
      <c r="D8" s="227">
        <f>IF(CavityStatus[[#This Row],[Actual Ship Date]]&lt;&gt;0,CavityStatus[[#This Row],[Actual Ship Date]],"")</f>
        <v>42552</v>
      </c>
      <c r="E8" s="228">
        <f>CavityStatus[[#This Row],[Incentive Earned]]</f>
        <v>0</v>
      </c>
      <c r="F8" s="227">
        <f>IF(CavityStatus[[#This Row],[Receipt Date]]&lt;&gt;0,CavityStatus[[#This Row],[Receipt Date]],"")</f>
        <v>42528</v>
      </c>
      <c r="G8" s="228">
        <f>CavityStatus[[#This Row],[Recipe Modification (Mod 9)]]</f>
        <v>0</v>
      </c>
      <c r="H8" s="228">
        <f>CavityStatus[[#This Row],[Caps            
 (Mod 10)]]</f>
        <v>0</v>
      </c>
      <c r="I8" s="228">
        <f>CavityStatus[[#This Row],[Delivery &amp; Acceptance]]</f>
        <v>40187.5</v>
      </c>
      <c r="J8" s="228">
        <f>CavityStatus[[#This Row],[Total]]</f>
        <v>40187.5</v>
      </c>
      <c r="K8" s="230">
        <f>IF(CavityStatus[[#This Row],[Accept Date]]&lt;&gt;0,CavityStatus[[#This Row],[Accept Date]],"")</f>
        <v>42587</v>
      </c>
    </row>
    <row r="9" spans="1:11" ht="14.4" hidden="1" thickTop="1" x14ac:dyDescent="0.25">
      <c r="B9" s="229">
        <f>IF(CavityStatus[[#This Row],[Unit '#]]&lt;&gt;0,CavityStatus[[#This Row],[Unit '#]],"")</f>
        <v>6</v>
      </c>
      <c r="C9" s="226" t="str">
        <f>CavityStatus[[#This Row],[Serial '#]]</f>
        <v>CAV006</v>
      </c>
      <c r="D9" s="227">
        <f>IF(CavityStatus[[#This Row],[Actual Ship Date]]&lt;&gt;0,CavityStatus[[#This Row],[Actual Ship Date]],"")</f>
        <v>42552</v>
      </c>
      <c r="E9" s="228">
        <f>CavityStatus[[#This Row],[Incentive Earned]]</f>
        <v>0</v>
      </c>
      <c r="F9" s="227">
        <f>IF(CavityStatus[[#This Row],[Receipt Date]]&lt;&gt;0,CavityStatus[[#This Row],[Receipt Date]],"")</f>
        <v>42528</v>
      </c>
      <c r="G9" s="228">
        <f>CavityStatus[[#This Row],[Recipe Modification (Mod 9)]]</f>
        <v>0</v>
      </c>
      <c r="H9" s="228">
        <f>CavityStatus[[#This Row],[Caps            
 (Mod 10)]]</f>
        <v>0</v>
      </c>
      <c r="I9" s="228">
        <f>CavityStatus[[#This Row],[Delivery &amp; Acceptance]]</f>
        <v>40187.5</v>
      </c>
      <c r="J9" s="228">
        <f>CavityStatus[[#This Row],[Total]]</f>
        <v>40187.5</v>
      </c>
      <c r="K9" s="230">
        <f>IF(CavityStatus[[#This Row],[Accept Date]]&lt;&gt;0,CavityStatus[[#This Row],[Accept Date]],"")</f>
        <v>42587</v>
      </c>
    </row>
    <row r="10" spans="1:11" ht="14.4" hidden="1" thickTop="1" x14ac:dyDescent="0.25">
      <c r="B10" s="229">
        <f>IF(CavityStatus[[#This Row],[Unit '#]]&lt;&gt;0,CavityStatus[[#This Row],[Unit '#]],"")</f>
        <v>7</v>
      </c>
      <c r="C10" s="226" t="str">
        <f>CavityStatus[[#This Row],[Serial '#]]</f>
        <v>CAV007</v>
      </c>
      <c r="D10" s="227">
        <f>IF(CavityStatus[[#This Row],[Actual Ship Date]]&lt;&gt;0,CavityStatus[[#This Row],[Actual Ship Date]],"")</f>
        <v>42552</v>
      </c>
      <c r="E10" s="228">
        <f>CavityStatus[[#This Row],[Incentive Earned]]</f>
        <v>0</v>
      </c>
      <c r="F10" s="227">
        <f>IF(CavityStatus[[#This Row],[Receipt Date]]&lt;&gt;0,CavityStatus[[#This Row],[Receipt Date]],"")</f>
        <v>42528</v>
      </c>
      <c r="G10" s="228">
        <f>CavityStatus[[#This Row],[Recipe Modification (Mod 9)]]</f>
        <v>0</v>
      </c>
      <c r="H10" s="228">
        <f>CavityStatus[[#This Row],[Caps            
 (Mod 10)]]</f>
        <v>0</v>
      </c>
      <c r="I10" s="228">
        <f>CavityStatus[[#This Row],[Delivery &amp; Acceptance]]</f>
        <v>40187.5</v>
      </c>
      <c r="J10" s="228">
        <f>CavityStatus[[#This Row],[Total]]</f>
        <v>40187.5</v>
      </c>
      <c r="K10" s="230">
        <f>IF(CavityStatus[[#This Row],[Accept Date]]&lt;&gt;0,CavityStatus[[#This Row],[Accept Date]],"")</f>
        <v>42587</v>
      </c>
    </row>
    <row r="11" spans="1:11" ht="14.4" hidden="1" thickTop="1" x14ac:dyDescent="0.25">
      <c r="B11" s="229">
        <f>IF(CavityStatus[[#This Row],[Unit '#]]&lt;&gt;0,CavityStatus[[#This Row],[Unit '#]],"")</f>
        <v>8</v>
      </c>
      <c r="C11" s="226" t="str">
        <f>CavityStatus[[#This Row],[Serial '#]]</f>
        <v>CAV008</v>
      </c>
      <c r="D11" s="227">
        <f>IF(CavityStatus[[#This Row],[Actual Ship Date]]&lt;&gt;0,CavityStatus[[#This Row],[Actual Ship Date]],"")</f>
        <v>42552</v>
      </c>
      <c r="E11" s="228">
        <f>CavityStatus[[#This Row],[Incentive Earned]]</f>
        <v>0</v>
      </c>
      <c r="F11" s="227">
        <f>IF(CavityStatus[[#This Row],[Receipt Date]]&lt;&gt;0,CavityStatus[[#This Row],[Receipt Date]],"")</f>
        <v>42528</v>
      </c>
      <c r="G11" s="228">
        <f>CavityStatus[[#This Row],[Recipe Modification (Mod 9)]]</f>
        <v>0</v>
      </c>
      <c r="H11" s="228">
        <f>CavityStatus[[#This Row],[Caps            
 (Mod 10)]]</f>
        <v>0</v>
      </c>
      <c r="I11" s="228">
        <f>CavityStatus[[#This Row],[Delivery &amp; Acceptance]]</f>
        <v>40187.5</v>
      </c>
      <c r="J11" s="228">
        <f>CavityStatus[[#This Row],[Total]]</f>
        <v>40187.5</v>
      </c>
      <c r="K11" s="230">
        <f>IF(CavityStatus[[#This Row],[Accept Date]]&lt;&gt;0,CavityStatus[[#This Row],[Accept Date]],"")</f>
        <v>42587</v>
      </c>
    </row>
    <row r="12" spans="1:11" ht="14.4" hidden="1" thickTop="1" x14ac:dyDescent="0.25">
      <c r="B12" s="229">
        <f>IF(CavityStatus[[#This Row],[Unit '#]]&lt;&gt;0,CavityStatus[[#This Row],[Unit '#]],"")</f>
        <v>9</v>
      </c>
      <c r="C12" s="226" t="str">
        <f>CavityStatus[[#This Row],[Serial '#]]</f>
        <v>CAV009</v>
      </c>
      <c r="D12" s="227">
        <f>IF(CavityStatus[[#This Row],[Actual Ship Date]]&lt;&gt;0,CavityStatus[[#This Row],[Actual Ship Date]],"")</f>
        <v>42583</v>
      </c>
      <c r="E12" s="228">
        <f>CavityStatus[[#This Row],[Incentive Earned]]</f>
        <v>0</v>
      </c>
      <c r="F12" s="227">
        <f>IF(CavityStatus[[#This Row],[Receipt Date]]&lt;&gt;0,CavityStatus[[#This Row],[Receipt Date]],"")</f>
        <v>42589</v>
      </c>
      <c r="G12" s="228">
        <f>CavityStatus[[#This Row],[Recipe Modification (Mod 9)]]</f>
        <v>0</v>
      </c>
      <c r="H12" s="228">
        <f>CavityStatus[[#This Row],[Caps            
 (Mod 10)]]</f>
        <v>0</v>
      </c>
      <c r="I12" s="228">
        <f>CavityStatus[[#This Row],[Delivery &amp; Acceptance]]</f>
        <v>40187.5</v>
      </c>
      <c r="J12" s="228">
        <f>CavityStatus[[#This Row],[Total]]</f>
        <v>40187.5</v>
      </c>
      <c r="K12" s="230">
        <f>IF(CavityStatus[[#This Row],[Accept Date]]&lt;&gt;0,CavityStatus[[#This Row],[Accept Date]],"")</f>
        <v>42587</v>
      </c>
    </row>
    <row r="13" spans="1:11" ht="14.4" hidden="1" thickTop="1" x14ac:dyDescent="0.25">
      <c r="B13" s="229">
        <f>IF(CavityStatus[[#This Row],[Unit '#]]&lt;&gt;0,CavityStatus[[#This Row],[Unit '#]],"")</f>
        <v>10</v>
      </c>
      <c r="C13" s="226" t="str">
        <f>CavityStatus[[#This Row],[Serial '#]]</f>
        <v>CAV010</v>
      </c>
      <c r="D13" s="227">
        <f>IF(CavityStatus[[#This Row],[Actual Ship Date]]&lt;&gt;0,CavityStatus[[#This Row],[Actual Ship Date]],"")</f>
        <v>42583</v>
      </c>
      <c r="E13" s="228">
        <f>CavityStatus[[#This Row],[Incentive Earned]]</f>
        <v>0</v>
      </c>
      <c r="F13" s="227">
        <f>IF(CavityStatus[[#This Row],[Receipt Date]]&lt;&gt;0,CavityStatus[[#This Row],[Receipt Date]],"")</f>
        <v>42589</v>
      </c>
      <c r="G13" s="228">
        <f>CavityStatus[[#This Row],[Recipe Modification (Mod 9)]]</f>
        <v>0</v>
      </c>
      <c r="H13" s="228">
        <f>CavityStatus[[#This Row],[Caps            
 (Mod 10)]]</f>
        <v>0</v>
      </c>
      <c r="I13" s="228">
        <f>CavityStatus[[#This Row],[Delivery &amp; Acceptance]]</f>
        <v>40187.5</v>
      </c>
      <c r="J13" s="228">
        <f>CavityStatus[[#This Row],[Total]]</f>
        <v>40187.5</v>
      </c>
      <c r="K13" s="230">
        <f>IF(CavityStatus[[#This Row],[Accept Date]]&lt;&gt;0,CavityStatus[[#This Row],[Accept Date]],"")</f>
        <v>42587</v>
      </c>
    </row>
    <row r="14" spans="1:11" ht="14.4" hidden="1" thickTop="1" x14ac:dyDescent="0.25">
      <c r="B14" s="229">
        <f>IF(CavityStatus[[#This Row],[Unit '#]]&lt;&gt;0,CavityStatus[[#This Row],[Unit '#]],"")</f>
        <v>13</v>
      </c>
      <c r="C14" s="226" t="str">
        <f>CavityStatus[[#This Row],[Serial '#]]</f>
        <v>CAV011</v>
      </c>
      <c r="D14" s="227">
        <f>IF(CavityStatus[[#This Row],[Actual Ship Date]]&lt;&gt;0,CavityStatus[[#This Row],[Actual Ship Date]],"")</f>
        <v>42583</v>
      </c>
      <c r="E14" s="228">
        <f>CavityStatus[[#This Row],[Incentive Earned]]</f>
        <v>0</v>
      </c>
      <c r="F14" s="227">
        <f>IF(CavityStatus[[#This Row],[Receipt Date]]&lt;&gt;0,CavityStatus[[#This Row],[Receipt Date]],"")</f>
        <v>42589</v>
      </c>
      <c r="G14" s="228">
        <f>CavityStatus[[#This Row],[Recipe Modification (Mod 9)]]</f>
        <v>0</v>
      </c>
      <c r="H14" s="228">
        <f>CavityStatus[[#This Row],[Caps            
 (Mod 10)]]</f>
        <v>0</v>
      </c>
      <c r="I14" s="228">
        <f>CavityStatus[[#This Row],[Delivery &amp; Acceptance]]</f>
        <v>40187.5</v>
      </c>
      <c r="J14" s="228">
        <f>CavityStatus[[#This Row],[Total]]</f>
        <v>40187.5</v>
      </c>
      <c r="K14" s="230">
        <f>IF(CavityStatus[[#This Row],[Accept Date]]&lt;&gt;0,CavityStatus[[#This Row],[Accept Date]],"")</f>
        <v>42587</v>
      </c>
    </row>
    <row r="15" spans="1:11" ht="14.4" hidden="1" thickTop="1" x14ac:dyDescent="0.25">
      <c r="B15" s="229">
        <f>IF(CavityStatus[[#This Row],[Unit '#]]&lt;&gt;0,CavityStatus[[#This Row],[Unit '#]],"")</f>
        <v>11</v>
      </c>
      <c r="C15" s="226" t="str">
        <f>CavityStatus[[#This Row],[Serial '#]]</f>
        <v>CAV012</v>
      </c>
      <c r="D15" s="227">
        <f>IF(CavityStatus[[#This Row],[Actual Ship Date]]&lt;&gt;0,CavityStatus[[#This Row],[Actual Ship Date]],"")</f>
        <v>42583</v>
      </c>
      <c r="E15" s="228">
        <f>CavityStatus[[#This Row],[Incentive Earned]]</f>
        <v>0</v>
      </c>
      <c r="F15" s="227">
        <f>IF(CavityStatus[[#This Row],[Receipt Date]]&lt;&gt;0,CavityStatus[[#This Row],[Receipt Date]],"")</f>
        <v>42589</v>
      </c>
      <c r="G15" s="228">
        <f>CavityStatus[[#This Row],[Recipe Modification (Mod 9)]]</f>
        <v>0</v>
      </c>
      <c r="H15" s="228">
        <f>CavityStatus[[#This Row],[Caps            
 (Mod 10)]]</f>
        <v>0</v>
      </c>
      <c r="I15" s="228">
        <f>CavityStatus[[#This Row],[Delivery &amp; Acceptance]]</f>
        <v>40187.5</v>
      </c>
      <c r="J15" s="228">
        <f>CavityStatus[[#This Row],[Total]]</f>
        <v>40187.5</v>
      </c>
      <c r="K15" s="230">
        <f>IF(CavityStatus[[#This Row],[Accept Date]]&lt;&gt;0,CavityStatus[[#This Row],[Accept Date]],"")</f>
        <v>42587</v>
      </c>
    </row>
    <row r="16" spans="1:11" ht="14.4" hidden="1" thickTop="1" x14ac:dyDescent="0.25">
      <c r="B16" s="229">
        <f>IF(CavityStatus[[#This Row],[Unit '#]]&lt;&gt;0,CavityStatus[[#This Row],[Unit '#]],"")</f>
        <v>14</v>
      </c>
      <c r="C16" s="226" t="str">
        <f>CavityStatus[[#This Row],[Serial '#]]</f>
        <v>CAV013</v>
      </c>
      <c r="D16" s="227">
        <f>IF(CavityStatus[[#This Row],[Actual Ship Date]]&lt;&gt;0,CavityStatus[[#This Row],[Actual Ship Date]],"")</f>
        <v>42583</v>
      </c>
      <c r="E16" s="228">
        <f>CavityStatus[[#This Row],[Incentive Earned]]</f>
        <v>0</v>
      </c>
      <c r="F16" s="227">
        <f>IF(CavityStatus[[#This Row],[Receipt Date]]&lt;&gt;0,CavityStatus[[#This Row],[Receipt Date]],"")</f>
        <v>42589</v>
      </c>
      <c r="G16" s="228">
        <f>CavityStatus[[#This Row],[Recipe Modification (Mod 9)]]</f>
        <v>0</v>
      </c>
      <c r="H16" s="228">
        <f>CavityStatus[[#This Row],[Caps            
 (Mod 10)]]</f>
        <v>0</v>
      </c>
      <c r="I16" s="228">
        <f>CavityStatus[[#This Row],[Delivery &amp; Acceptance]]</f>
        <v>40187.5</v>
      </c>
      <c r="J16" s="228">
        <f>CavityStatus[[#This Row],[Total]]</f>
        <v>40187.5</v>
      </c>
      <c r="K16" s="230">
        <f>IF(CavityStatus[[#This Row],[Accept Date]]&lt;&gt;0,CavityStatus[[#This Row],[Accept Date]],"")</f>
        <v>42587</v>
      </c>
    </row>
    <row r="17" spans="2:11" ht="14.4" hidden="1" thickTop="1" x14ac:dyDescent="0.25">
      <c r="B17" s="229">
        <f>IF(CavityStatus[[#This Row],[Unit '#]]&lt;&gt;0,CavityStatus[[#This Row],[Unit '#]],"")</f>
        <v>12</v>
      </c>
      <c r="C17" s="226" t="str">
        <f>CavityStatus[[#This Row],[Serial '#]]</f>
        <v>CAV014</v>
      </c>
      <c r="D17" s="227">
        <f>IF(CavityStatus[[#This Row],[Actual Ship Date]]&lt;&gt;0,CavityStatus[[#This Row],[Actual Ship Date]],"")</f>
        <v>42583</v>
      </c>
      <c r="E17" s="228">
        <f>CavityStatus[[#This Row],[Incentive Earned]]</f>
        <v>0</v>
      </c>
      <c r="F17" s="227">
        <f>IF(CavityStatus[[#This Row],[Receipt Date]]&lt;&gt;0,CavityStatus[[#This Row],[Receipt Date]],"")</f>
        <v>42589</v>
      </c>
      <c r="G17" s="228">
        <f>CavityStatus[[#This Row],[Recipe Modification (Mod 9)]]</f>
        <v>0</v>
      </c>
      <c r="H17" s="228">
        <f>CavityStatus[[#This Row],[Caps            
 (Mod 10)]]</f>
        <v>0</v>
      </c>
      <c r="I17" s="228">
        <f>CavityStatus[[#This Row],[Delivery &amp; Acceptance]]</f>
        <v>40187.5</v>
      </c>
      <c r="J17" s="228">
        <f>CavityStatus[[#This Row],[Total]]</f>
        <v>40187.5</v>
      </c>
      <c r="K17" s="230">
        <f>IF(CavityStatus[[#This Row],[Accept Date]]&lt;&gt;0,CavityStatus[[#This Row],[Accept Date]],"")</f>
        <v>42587</v>
      </c>
    </row>
    <row r="18" spans="2:11" ht="14.4" hidden="1" thickTop="1" x14ac:dyDescent="0.25">
      <c r="B18" s="229">
        <f>IF(CavityStatus[[#This Row],[Unit '#]]&lt;&gt;0,CavityStatus[[#This Row],[Unit '#]],"")</f>
        <v>15</v>
      </c>
      <c r="C18" s="226" t="str">
        <f>CavityStatus[[#This Row],[Serial '#]]</f>
        <v>CAV015</v>
      </c>
      <c r="D18" s="227">
        <f>IF(CavityStatus[[#This Row],[Actual Ship Date]]&lt;&gt;0,CavityStatus[[#This Row],[Actual Ship Date]],"")</f>
        <v>42583</v>
      </c>
      <c r="E18" s="228">
        <f>CavityStatus[[#This Row],[Incentive Earned]]</f>
        <v>0</v>
      </c>
      <c r="F18" s="227">
        <f>IF(CavityStatus[[#This Row],[Receipt Date]]&lt;&gt;0,CavityStatus[[#This Row],[Receipt Date]],"")</f>
        <v>42589</v>
      </c>
      <c r="G18" s="228">
        <f>CavityStatus[[#This Row],[Recipe Modification (Mod 9)]]</f>
        <v>0</v>
      </c>
      <c r="H18" s="228">
        <f>CavityStatus[[#This Row],[Caps            
 (Mod 10)]]</f>
        <v>0</v>
      </c>
      <c r="I18" s="228">
        <f>CavityStatus[[#This Row],[Delivery &amp; Acceptance]]</f>
        <v>40187.5</v>
      </c>
      <c r="J18" s="228">
        <f>CavityStatus[[#This Row],[Total]]</f>
        <v>40187.5</v>
      </c>
      <c r="K18" s="230">
        <f>IF(CavityStatus[[#This Row],[Accept Date]]&lt;&gt;0,CavityStatus[[#This Row],[Accept Date]],"")</f>
        <v>42587</v>
      </c>
    </row>
    <row r="19" spans="2:11" ht="14.4" hidden="1" thickTop="1" x14ac:dyDescent="0.25">
      <c r="B19" s="229">
        <f>IF(CavityStatus[[#This Row],[Unit '#]]&lt;&gt;0,CavityStatus[[#This Row],[Unit '#]],"")</f>
        <v>16</v>
      </c>
      <c r="C19" s="226" t="str">
        <f>CavityStatus[[#This Row],[Serial '#]]</f>
        <v>CAV016</v>
      </c>
      <c r="D19" s="227">
        <f>IF(CavityStatus[[#This Row],[Actual Ship Date]]&lt;&gt;0,CavityStatus[[#This Row],[Actual Ship Date]],"")</f>
        <v>42583</v>
      </c>
      <c r="E19" s="228">
        <f>CavityStatus[[#This Row],[Incentive Earned]]</f>
        <v>0</v>
      </c>
      <c r="F19" s="227">
        <f>IF(CavityStatus[[#This Row],[Receipt Date]]&lt;&gt;0,CavityStatus[[#This Row],[Receipt Date]],"")</f>
        <v>42589</v>
      </c>
      <c r="G19" s="228">
        <f>CavityStatus[[#This Row],[Recipe Modification (Mod 9)]]</f>
        <v>0</v>
      </c>
      <c r="H19" s="228">
        <f>CavityStatus[[#This Row],[Caps            
 (Mod 10)]]</f>
        <v>0</v>
      </c>
      <c r="I19" s="228">
        <f>CavityStatus[[#This Row],[Delivery &amp; Acceptance]]</f>
        <v>40187.5</v>
      </c>
      <c r="J19" s="228">
        <f>CavityStatus[[#This Row],[Total]]</f>
        <v>40187.5</v>
      </c>
      <c r="K19" s="230">
        <f>IF(CavityStatus[[#This Row],[Accept Date]]&lt;&gt;0,CavityStatus[[#This Row],[Accept Date]],"")</f>
        <v>42587</v>
      </c>
    </row>
    <row r="20" spans="2:11" ht="14.4" hidden="1" thickTop="1" x14ac:dyDescent="0.25">
      <c r="B20" s="229">
        <f>IF(CavityStatus[[#This Row],[Unit '#]]&lt;&gt;0,CavityStatus[[#This Row],[Unit '#]],"")</f>
        <v>17</v>
      </c>
      <c r="C20" s="226" t="str">
        <f>CavityStatus[[#This Row],[Serial '#]]</f>
        <v>CAV017</v>
      </c>
      <c r="D20" s="227">
        <f>IF(CavityStatus[[#This Row],[Actual Ship Date]]&lt;&gt;0,CavityStatus[[#This Row],[Actual Ship Date]],"")</f>
        <v>42650</v>
      </c>
      <c r="E20" s="228">
        <f>CavityStatus[[#This Row],[Incentive Earned]]</f>
        <v>5750</v>
      </c>
      <c r="F20" s="227">
        <f>IF(CavityStatus[[#This Row],[Receipt Date]]&lt;&gt;0,CavityStatus[[#This Row],[Receipt Date]],"")</f>
        <v>42669</v>
      </c>
      <c r="G20" s="228">
        <f>CavityStatus[[#This Row],[Recipe Modification (Mod 9)]]</f>
        <v>0</v>
      </c>
      <c r="H20" s="228">
        <f>CavityStatus[[#This Row],[Caps            
 (Mod 10)]]</f>
        <v>490</v>
      </c>
      <c r="I20" s="228">
        <f>CavityStatus[[#This Row],[Delivery &amp; Acceptance]]</f>
        <v>40187.5</v>
      </c>
      <c r="J20" s="228">
        <f>CavityStatus[[#This Row],[Total]]</f>
        <v>46427.5</v>
      </c>
      <c r="K20" s="230">
        <f>IF(CavityStatus[[#This Row],[Accept Date]]&lt;&gt;0,CavityStatus[[#This Row],[Accept Date]],"")</f>
        <v>42705</v>
      </c>
    </row>
    <row r="21" spans="2:11" ht="14.4" hidden="1" thickTop="1" x14ac:dyDescent="0.25">
      <c r="B21" s="229">
        <f>IF(CavityStatus[[#This Row],[Unit '#]]&lt;&gt;0,CavityStatus[[#This Row],[Unit '#]],"")</f>
        <v>18</v>
      </c>
      <c r="C21" s="226" t="str">
        <f>CavityStatus[[#This Row],[Serial '#]]</f>
        <v>CAV018</v>
      </c>
      <c r="D21" s="227">
        <f>IF(CavityStatus[[#This Row],[Actual Ship Date]]&lt;&gt;0,CavityStatus[[#This Row],[Actual Ship Date]],"")</f>
        <v>42650</v>
      </c>
      <c r="E21" s="228">
        <f>CavityStatus[[#This Row],[Incentive Earned]]</f>
        <v>5750</v>
      </c>
      <c r="F21" s="227">
        <f>IF(CavityStatus[[#This Row],[Receipt Date]]&lt;&gt;0,CavityStatus[[#This Row],[Receipt Date]],"")</f>
        <v>42669</v>
      </c>
      <c r="G21" s="228">
        <f>CavityStatus[[#This Row],[Recipe Modification (Mod 9)]]</f>
        <v>0</v>
      </c>
      <c r="H21" s="228">
        <f>CavityStatus[[#This Row],[Caps            
 (Mod 10)]]</f>
        <v>490</v>
      </c>
      <c r="I21" s="228">
        <f>CavityStatus[[#This Row],[Delivery &amp; Acceptance]]</f>
        <v>40187.5</v>
      </c>
      <c r="J21" s="228">
        <f>CavityStatus[[#This Row],[Total]]</f>
        <v>46427.5</v>
      </c>
      <c r="K21" s="230">
        <f>IF(CavityStatus[[#This Row],[Accept Date]]&lt;&gt;0,CavityStatus[[#This Row],[Accept Date]],"")</f>
        <v>42675</v>
      </c>
    </row>
    <row r="22" spans="2:11" ht="14.4" hidden="1" thickTop="1" x14ac:dyDescent="0.25">
      <c r="B22" s="229">
        <f>IF(CavityStatus[[#This Row],[Unit '#]]&lt;&gt;0,CavityStatus[[#This Row],[Unit '#]],"")</f>
        <v>19</v>
      </c>
      <c r="C22" s="226" t="str">
        <f>CavityStatus[[#This Row],[Serial '#]]</f>
        <v>CAV019</v>
      </c>
      <c r="D22" s="227">
        <f>IF(CavityStatus[[#This Row],[Actual Ship Date]]&lt;&gt;0,CavityStatus[[#This Row],[Actual Ship Date]],"")</f>
        <v>42662</v>
      </c>
      <c r="E22" s="228">
        <f>CavityStatus[[#This Row],[Incentive Earned]]</f>
        <v>5750</v>
      </c>
      <c r="F22" s="227">
        <f>IF(CavityStatus[[#This Row],[Receipt Date]]&lt;&gt;0,CavityStatus[[#This Row],[Receipt Date]],"")</f>
        <v>42669</v>
      </c>
      <c r="G22" s="228">
        <f>CavityStatus[[#This Row],[Recipe Modification (Mod 9)]]</f>
        <v>0</v>
      </c>
      <c r="H22" s="228">
        <f>CavityStatus[[#This Row],[Caps            
 (Mod 10)]]</f>
        <v>490</v>
      </c>
      <c r="I22" s="228">
        <f>CavityStatus[[#This Row],[Delivery &amp; Acceptance]]</f>
        <v>40187.5</v>
      </c>
      <c r="J22" s="228">
        <f>CavityStatus[[#This Row],[Total]]</f>
        <v>46427.5</v>
      </c>
      <c r="K22" s="230">
        <f>IF(CavityStatus[[#This Row],[Accept Date]]&lt;&gt;0,CavityStatus[[#This Row],[Accept Date]],"")</f>
        <v>42675</v>
      </c>
    </row>
    <row r="23" spans="2:11" ht="14.4" hidden="1" thickTop="1" x14ac:dyDescent="0.25">
      <c r="B23" s="229">
        <f>IF(CavityStatus[[#This Row],[Unit '#]]&lt;&gt;0,CavityStatus[[#This Row],[Unit '#]],"")</f>
        <v>20</v>
      </c>
      <c r="C23" s="226" t="str">
        <f>CavityStatus[[#This Row],[Serial '#]]</f>
        <v>CAV020</v>
      </c>
      <c r="D23" s="227">
        <f>IF(CavityStatus[[#This Row],[Actual Ship Date]]&lt;&gt;0,CavityStatus[[#This Row],[Actual Ship Date]],"")</f>
        <v>42662</v>
      </c>
      <c r="E23" s="228">
        <f>CavityStatus[[#This Row],[Incentive Earned]]</f>
        <v>5750</v>
      </c>
      <c r="F23" s="227">
        <f>IF(CavityStatus[[#This Row],[Receipt Date]]&lt;&gt;0,CavityStatus[[#This Row],[Receipt Date]],"")</f>
        <v>42669</v>
      </c>
      <c r="G23" s="228">
        <f>CavityStatus[[#This Row],[Recipe Modification (Mod 9)]]</f>
        <v>0</v>
      </c>
      <c r="H23" s="228">
        <f>CavityStatus[[#This Row],[Caps            
 (Mod 10)]]</f>
        <v>490</v>
      </c>
      <c r="I23" s="228">
        <f>CavityStatus[[#This Row],[Delivery &amp; Acceptance]]</f>
        <v>40187.5</v>
      </c>
      <c r="J23" s="228">
        <f>CavityStatus[[#This Row],[Total]]</f>
        <v>46427.5</v>
      </c>
      <c r="K23" s="230">
        <f>IF(CavityStatus[[#This Row],[Accept Date]]&lt;&gt;0,CavityStatus[[#This Row],[Accept Date]],"")</f>
        <v>42675</v>
      </c>
    </row>
    <row r="24" spans="2:11" ht="14.4" hidden="1" thickTop="1" x14ac:dyDescent="0.25">
      <c r="B24" s="229">
        <f>IF(CavityStatus[[#This Row],[Unit '#]]&lt;&gt;0,CavityStatus[[#This Row],[Unit '#]],"")</f>
        <v>21</v>
      </c>
      <c r="C24" s="226" t="str">
        <f>CavityStatus[[#This Row],[Serial '#]]</f>
        <v>CAV021</v>
      </c>
      <c r="D24" s="227">
        <f>IF(CavityStatus[[#This Row],[Actual Ship Date]]&lt;&gt;0,CavityStatus[[#This Row],[Actual Ship Date]],"")</f>
        <v>42676</v>
      </c>
      <c r="E24" s="228">
        <f>CavityStatus[[#This Row],[Incentive Earned]]</f>
        <v>5750</v>
      </c>
      <c r="F24" s="227">
        <f>IF(CavityStatus[[#This Row],[Receipt Date]]&lt;&gt;0,CavityStatus[[#This Row],[Receipt Date]],"")</f>
        <v>42685</v>
      </c>
      <c r="G24" s="228">
        <f>CavityStatus[[#This Row],[Recipe Modification (Mod 9)]]</f>
        <v>4283.18</v>
      </c>
      <c r="H24" s="228">
        <f>CavityStatus[[#This Row],[Caps            
 (Mod 10)]]</f>
        <v>490</v>
      </c>
      <c r="I24" s="228">
        <f>CavityStatus[[#This Row],[Delivery &amp; Acceptance]]</f>
        <v>40187.5</v>
      </c>
      <c r="J24" s="228">
        <f>CavityStatus[[#This Row],[Total]]</f>
        <v>50710.68</v>
      </c>
      <c r="K24" s="230">
        <f>IF(CavityStatus[[#This Row],[Accept Date]]&lt;&gt;0,CavityStatus[[#This Row],[Accept Date]],"")</f>
        <v>42675</v>
      </c>
    </row>
    <row r="25" spans="2:11" ht="14.4" hidden="1" thickTop="1" x14ac:dyDescent="0.25">
      <c r="B25" s="229">
        <f>IF(CavityStatus[[#This Row],[Unit '#]]&lt;&gt;0,CavityStatus[[#This Row],[Unit '#]],"")</f>
        <v>22</v>
      </c>
      <c r="C25" s="226" t="str">
        <f>CavityStatus[[#This Row],[Serial '#]]</f>
        <v>CAV023</v>
      </c>
      <c r="D25" s="227">
        <f>IF(CavityStatus[[#This Row],[Actual Ship Date]]&lt;&gt;0,CavityStatus[[#This Row],[Actual Ship Date]],"")</f>
        <v>42676</v>
      </c>
      <c r="E25" s="228">
        <f>CavityStatus[[#This Row],[Incentive Earned]]</f>
        <v>5750</v>
      </c>
      <c r="F25" s="227">
        <f>IF(CavityStatus[[#This Row],[Receipt Date]]&lt;&gt;0,CavityStatus[[#This Row],[Receipt Date]],"")</f>
        <v>42685</v>
      </c>
      <c r="G25" s="228">
        <f>CavityStatus[[#This Row],[Recipe Modification (Mod 9)]]</f>
        <v>4283.18</v>
      </c>
      <c r="H25" s="228">
        <f>CavityStatus[[#This Row],[Caps            
 (Mod 10)]]</f>
        <v>490</v>
      </c>
      <c r="I25" s="228">
        <f>CavityStatus[[#This Row],[Delivery &amp; Acceptance]]</f>
        <v>40187.5</v>
      </c>
      <c r="J25" s="228">
        <f>CavityStatus[[#This Row],[Total]]</f>
        <v>50710.68</v>
      </c>
      <c r="K25" s="230">
        <f>IF(CavityStatus[[#This Row],[Accept Date]]&lt;&gt;0,CavityStatus[[#This Row],[Accept Date]],"")</f>
        <v>42675</v>
      </c>
    </row>
    <row r="26" spans="2:11" ht="14.4" hidden="1" thickTop="1" x14ac:dyDescent="0.25">
      <c r="B26" s="229">
        <f>IF(CavityStatus[[#This Row],[Unit '#]]&lt;&gt;0,CavityStatus[[#This Row],[Unit '#]],"")</f>
        <v>23</v>
      </c>
      <c r="C26" s="226" t="str">
        <f>CavityStatus[[#This Row],[Serial '#]]</f>
        <v>CAV024</v>
      </c>
      <c r="D26" s="227">
        <f>IF(CavityStatus[[#This Row],[Actual Ship Date]]&lt;&gt;0,CavityStatus[[#This Row],[Actual Ship Date]],"")</f>
        <v>42676</v>
      </c>
      <c r="E26" s="228">
        <f>CavityStatus[[#This Row],[Incentive Earned]]</f>
        <v>5750</v>
      </c>
      <c r="F26" s="227">
        <f>IF(CavityStatus[[#This Row],[Receipt Date]]&lt;&gt;0,CavityStatus[[#This Row],[Receipt Date]],"")</f>
        <v>42685</v>
      </c>
      <c r="G26" s="228">
        <f>CavityStatus[[#This Row],[Recipe Modification (Mod 9)]]</f>
        <v>4283.18</v>
      </c>
      <c r="H26" s="228">
        <f>CavityStatus[[#This Row],[Caps            
 (Mod 10)]]</f>
        <v>490</v>
      </c>
      <c r="I26" s="228">
        <f>CavityStatus[[#This Row],[Delivery &amp; Acceptance]]</f>
        <v>40187.5</v>
      </c>
      <c r="J26" s="228">
        <f>CavityStatus[[#This Row],[Total]]</f>
        <v>50710.68</v>
      </c>
      <c r="K26" s="230">
        <f>IF(CavityStatus[[#This Row],[Accept Date]]&lt;&gt;0,CavityStatus[[#This Row],[Accept Date]],"")</f>
        <v>42675</v>
      </c>
    </row>
    <row r="27" spans="2:11" ht="14.4" hidden="1" thickTop="1" x14ac:dyDescent="0.25">
      <c r="B27" s="229">
        <f>IF(CavityStatus[[#This Row],[Unit '#]]&lt;&gt;0,CavityStatus[[#This Row],[Unit '#]],"")</f>
        <v>24</v>
      </c>
      <c r="C27" s="226" t="str">
        <f>CavityStatus[[#This Row],[Serial '#]]</f>
        <v>CAV028</v>
      </c>
      <c r="D27" s="227">
        <f>IF(CavityStatus[[#This Row],[Actual Ship Date]]&lt;&gt;0,CavityStatus[[#This Row],[Actual Ship Date]],"")</f>
        <v>42676</v>
      </c>
      <c r="E27" s="228">
        <f>CavityStatus[[#This Row],[Incentive Earned]]</f>
        <v>5750</v>
      </c>
      <c r="F27" s="227">
        <f>IF(CavityStatus[[#This Row],[Receipt Date]]&lt;&gt;0,CavityStatus[[#This Row],[Receipt Date]],"")</f>
        <v>42685</v>
      </c>
      <c r="G27" s="228">
        <f>CavityStatus[[#This Row],[Recipe Modification (Mod 9)]]</f>
        <v>4283.18</v>
      </c>
      <c r="H27" s="228">
        <f>CavityStatus[[#This Row],[Caps            
 (Mod 10)]]</f>
        <v>490</v>
      </c>
      <c r="I27" s="228">
        <f>CavityStatus[[#This Row],[Delivery &amp; Acceptance]]</f>
        <v>40187.5</v>
      </c>
      <c r="J27" s="228">
        <f>CavityStatus[[#This Row],[Total]]</f>
        <v>50710.68</v>
      </c>
      <c r="K27" s="230">
        <f>IF(CavityStatus[[#This Row],[Accept Date]]&lt;&gt;0,CavityStatus[[#This Row],[Accept Date]],"")</f>
        <v>42675</v>
      </c>
    </row>
    <row r="28" spans="2:11" ht="14.4" hidden="1" thickTop="1" x14ac:dyDescent="0.25">
      <c r="B28" s="229">
        <f>IF(CavityStatus[[#This Row],[Unit '#]]&lt;&gt;0,CavityStatus[[#This Row],[Unit '#]],"")</f>
        <v>25</v>
      </c>
      <c r="C28" s="226" t="str">
        <f>CavityStatus[[#This Row],[Serial '#]]</f>
        <v>CAV026</v>
      </c>
      <c r="D28" s="227">
        <f>IF(CavityStatus[[#This Row],[Actual Ship Date]]&lt;&gt;0,CavityStatus[[#This Row],[Actual Ship Date]],"")</f>
        <v>42688</v>
      </c>
      <c r="E28" s="228">
        <f>CavityStatus[[#This Row],[Incentive Earned]]</f>
        <v>5750</v>
      </c>
      <c r="F28" s="227">
        <f>IF(CavityStatus[[#This Row],[Receipt Date]]&lt;&gt;0,CavityStatus[[#This Row],[Receipt Date]],"")</f>
        <v>42695</v>
      </c>
      <c r="G28" s="228">
        <f>CavityStatus[[#This Row],[Recipe Modification (Mod 9)]]</f>
        <v>4283.18</v>
      </c>
      <c r="H28" s="228">
        <f>CavityStatus[[#This Row],[Caps            
 (Mod 10)]]</f>
        <v>490</v>
      </c>
      <c r="I28" s="228">
        <f>CavityStatus[[#This Row],[Delivery &amp; Acceptance]]</f>
        <v>40187.5</v>
      </c>
      <c r="J28" s="228">
        <f>CavityStatus[[#This Row],[Total]]</f>
        <v>50710.68</v>
      </c>
      <c r="K28" s="230">
        <f>IF(CavityStatus[[#This Row],[Accept Date]]&lt;&gt;0,CavityStatus[[#This Row],[Accept Date]],"")</f>
        <v>42705</v>
      </c>
    </row>
    <row r="29" spans="2:11" ht="14.4" hidden="1" thickTop="1" x14ac:dyDescent="0.25">
      <c r="B29" s="229">
        <f>IF(CavityStatus[[#This Row],[Unit '#]]&lt;&gt;0,CavityStatus[[#This Row],[Unit '#]],"")</f>
        <v>26</v>
      </c>
      <c r="C29" s="226" t="str">
        <f>CavityStatus[[#This Row],[Serial '#]]</f>
        <v>CAV027</v>
      </c>
      <c r="D29" s="227">
        <f>IF(CavityStatus[[#This Row],[Actual Ship Date]]&lt;&gt;0,CavityStatus[[#This Row],[Actual Ship Date]],"")</f>
        <v>42688</v>
      </c>
      <c r="E29" s="228">
        <f>CavityStatus[[#This Row],[Incentive Earned]]</f>
        <v>5750</v>
      </c>
      <c r="F29" s="227">
        <f>IF(CavityStatus[[#This Row],[Receipt Date]]&lt;&gt;0,CavityStatus[[#This Row],[Receipt Date]],"")</f>
        <v>42695</v>
      </c>
      <c r="G29" s="228">
        <f>CavityStatus[[#This Row],[Recipe Modification (Mod 9)]]</f>
        <v>4283.18</v>
      </c>
      <c r="H29" s="228">
        <f>CavityStatus[[#This Row],[Caps            
 (Mod 10)]]</f>
        <v>490</v>
      </c>
      <c r="I29" s="228">
        <f>CavityStatus[[#This Row],[Delivery &amp; Acceptance]]</f>
        <v>40187.5</v>
      </c>
      <c r="J29" s="228">
        <f>CavityStatus[[#This Row],[Total]]</f>
        <v>50710.68</v>
      </c>
      <c r="K29" s="230">
        <f>IF(CavityStatus[[#This Row],[Accept Date]]&lt;&gt;0,CavityStatus[[#This Row],[Accept Date]],"")</f>
        <v>42705</v>
      </c>
    </row>
    <row r="30" spans="2:11" ht="14.4" hidden="1" thickTop="1" x14ac:dyDescent="0.25">
      <c r="B30" s="229">
        <f>IF(CavityStatus[[#This Row],[Unit '#]]&lt;&gt;0,CavityStatus[[#This Row],[Unit '#]],"")</f>
        <v>27</v>
      </c>
      <c r="C30" s="226" t="str">
        <f>CavityStatus[[#This Row],[Serial '#]]</f>
        <v>CAV029</v>
      </c>
      <c r="D30" s="227">
        <f>IF(CavityStatus[[#This Row],[Actual Ship Date]]&lt;&gt;0,CavityStatus[[#This Row],[Actual Ship Date]],"")</f>
        <v>42688</v>
      </c>
      <c r="E30" s="228">
        <f>CavityStatus[[#This Row],[Incentive Earned]]</f>
        <v>5750</v>
      </c>
      <c r="F30" s="227">
        <f>IF(CavityStatus[[#This Row],[Receipt Date]]&lt;&gt;0,CavityStatus[[#This Row],[Receipt Date]],"")</f>
        <v>42695</v>
      </c>
      <c r="G30" s="228">
        <f>CavityStatus[[#This Row],[Recipe Modification (Mod 9)]]</f>
        <v>4283.18</v>
      </c>
      <c r="H30" s="228">
        <f>CavityStatus[[#This Row],[Caps            
 (Mod 10)]]</f>
        <v>490</v>
      </c>
      <c r="I30" s="228">
        <f>CavityStatus[[#This Row],[Delivery &amp; Acceptance]]</f>
        <v>40187.5</v>
      </c>
      <c r="J30" s="228">
        <f>CavityStatus[[#This Row],[Total]]</f>
        <v>50710.68</v>
      </c>
      <c r="K30" s="230">
        <f>IF(CavityStatus[[#This Row],[Accept Date]]&lt;&gt;0,CavityStatus[[#This Row],[Accept Date]],"")</f>
        <v>42705</v>
      </c>
    </row>
    <row r="31" spans="2:11" ht="14.4" hidden="1" thickTop="1" x14ac:dyDescent="0.25">
      <c r="B31" s="229">
        <f>IF(CavityStatus[[#This Row],[Unit '#]]&lt;&gt;0,CavityStatus[[#This Row],[Unit '#]],"")</f>
        <v>28</v>
      </c>
      <c r="C31" s="226" t="str">
        <f>CavityStatus[[#This Row],[Serial '#]]</f>
        <v>CAV032</v>
      </c>
      <c r="D31" s="227">
        <f>IF(CavityStatus[[#This Row],[Actual Ship Date]]&lt;&gt;0,CavityStatus[[#This Row],[Actual Ship Date]],"")</f>
        <v>42688</v>
      </c>
      <c r="E31" s="228">
        <f>CavityStatus[[#This Row],[Incentive Earned]]</f>
        <v>5750</v>
      </c>
      <c r="F31" s="227">
        <f>IF(CavityStatus[[#This Row],[Receipt Date]]&lt;&gt;0,CavityStatus[[#This Row],[Receipt Date]],"")</f>
        <v>42695</v>
      </c>
      <c r="G31" s="228">
        <f>CavityStatus[[#This Row],[Recipe Modification (Mod 9)]]</f>
        <v>4283.18</v>
      </c>
      <c r="H31" s="228">
        <f>CavityStatus[[#This Row],[Caps            
 (Mod 10)]]</f>
        <v>490</v>
      </c>
      <c r="I31" s="228">
        <f>CavityStatus[[#This Row],[Delivery &amp; Acceptance]]</f>
        <v>40187.5</v>
      </c>
      <c r="J31" s="228">
        <f>CavityStatus[[#This Row],[Total]]</f>
        <v>50710.68</v>
      </c>
      <c r="K31" s="230">
        <f>IF(CavityStatus[[#This Row],[Accept Date]]&lt;&gt;0,CavityStatus[[#This Row],[Accept Date]],"")</f>
        <v>42705</v>
      </c>
    </row>
    <row r="32" spans="2:11" ht="14.4" hidden="1" thickTop="1" x14ac:dyDescent="0.25">
      <c r="B32" s="229">
        <f>IF(CavityStatus[[#This Row],[Unit '#]]&lt;&gt;0,CavityStatus[[#This Row],[Unit '#]],"")</f>
        <v>29</v>
      </c>
      <c r="C32" s="226" t="str">
        <f>CavityStatus[[#This Row],[Serial '#]]</f>
        <v>CAV022</v>
      </c>
      <c r="D32" s="227">
        <f>IF(CavityStatus[[#This Row],[Actual Ship Date]]&lt;&gt;0,CavityStatus[[#This Row],[Actual Ship Date]],"")</f>
        <v>42690</v>
      </c>
      <c r="E32" s="228">
        <f>CavityStatus[[#This Row],[Incentive Earned]]</f>
        <v>5750</v>
      </c>
      <c r="F32" s="227">
        <f>IF(CavityStatus[[#This Row],[Receipt Date]]&lt;&gt;0,CavityStatus[[#This Row],[Receipt Date]],"")</f>
        <v>42702</v>
      </c>
      <c r="G32" s="228">
        <f>CavityStatus[[#This Row],[Recipe Modification (Mod 9)]]</f>
        <v>4283.18</v>
      </c>
      <c r="H32" s="228">
        <f>CavityStatus[[#This Row],[Caps            
 (Mod 10)]]</f>
        <v>490</v>
      </c>
      <c r="I32" s="228">
        <f>CavityStatus[[#This Row],[Delivery &amp; Acceptance]]</f>
        <v>40187.5</v>
      </c>
      <c r="J32" s="228">
        <f>CavityStatus[[#This Row],[Total]]</f>
        <v>50710.68</v>
      </c>
      <c r="K32" s="230">
        <f>IF(CavityStatus[[#This Row],[Accept Date]]&lt;&gt;0,CavityStatus[[#This Row],[Accept Date]],"")</f>
        <v>42705</v>
      </c>
    </row>
    <row r="33" spans="2:11" ht="14.4" hidden="1" thickTop="1" x14ac:dyDescent="0.25">
      <c r="B33" s="229">
        <f>IF(CavityStatus[[#This Row],[Unit '#]]&lt;&gt;0,CavityStatus[[#This Row],[Unit '#]],"")</f>
        <v>30</v>
      </c>
      <c r="C33" s="226" t="str">
        <f>CavityStatus[[#This Row],[Serial '#]]</f>
        <v>CAV031</v>
      </c>
      <c r="D33" s="227">
        <f>IF(CavityStatus[[#This Row],[Actual Ship Date]]&lt;&gt;0,CavityStatus[[#This Row],[Actual Ship Date]],"")</f>
        <v>42690</v>
      </c>
      <c r="E33" s="228">
        <f>CavityStatus[[#This Row],[Incentive Earned]]</f>
        <v>5750</v>
      </c>
      <c r="F33" s="227">
        <f>IF(CavityStatus[[#This Row],[Receipt Date]]&lt;&gt;0,CavityStatus[[#This Row],[Receipt Date]],"")</f>
        <v>42702</v>
      </c>
      <c r="G33" s="228">
        <f>CavityStatus[[#This Row],[Recipe Modification (Mod 9)]]</f>
        <v>4283.18</v>
      </c>
      <c r="H33" s="228">
        <f>CavityStatus[[#This Row],[Caps            
 (Mod 10)]]</f>
        <v>490</v>
      </c>
      <c r="I33" s="228">
        <f>CavityStatus[[#This Row],[Delivery &amp; Acceptance]]</f>
        <v>40187.5</v>
      </c>
      <c r="J33" s="228">
        <f>CavityStatus[[#This Row],[Total]]</f>
        <v>50710.68</v>
      </c>
      <c r="K33" s="230">
        <f>IF(CavityStatus[[#This Row],[Accept Date]]&lt;&gt;0,CavityStatus[[#This Row],[Accept Date]],"")</f>
        <v>42705</v>
      </c>
    </row>
    <row r="34" spans="2:11" ht="14.4" hidden="1" thickTop="1" x14ac:dyDescent="0.25">
      <c r="B34" s="229">
        <f>IF(CavityStatus[[#This Row],[Unit '#]]&lt;&gt;0,CavityStatus[[#This Row],[Unit '#]],"")</f>
        <v>31</v>
      </c>
      <c r="C34" s="226" t="str">
        <f>CavityStatus[[#This Row],[Serial '#]]</f>
        <v>CAV033</v>
      </c>
      <c r="D34" s="227">
        <f>IF(CavityStatus[[#This Row],[Actual Ship Date]]&lt;&gt;0,CavityStatus[[#This Row],[Actual Ship Date]],"")</f>
        <v>42690</v>
      </c>
      <c r="E34" s="228">
        <f>CavityStatus[[#This Row],[Incentive Earned]]</f>
        <v>5750</v>
      </c>
      <c r="F34" s="227">
        <f>IF(CavityStatus[[#This Row],[Receipt Date]]&lt;&gt;0,CavityStatus[[#This Row],[Receipt Date]],"")</f>
        <v>42702</v>
      </c>
      <c r="G34" s="228">
        <f>CavityStatus[[#This Row],[Recipe Modification (Mod 9)]]</f>
        <v>4283.18</v>
      </c>
      <c r="H34" s="228">
        <f>CavityStatus[[#This Row],[Caps            
 (Mod 10)]]</f>
        <v>490</v>
      </c>
      <c r="I34" s="228">
        <f>CavityStatus[[#This Row],[Delivery &amp; Acceptance]]</f>
        <v>40187.5</v>
      </c>
      <c r="J34" s="228">
        <f>CavityStatus[[#This Row],[Total]]</f>
        <v>50710.68</v>
      </c>
      <c r="K34" s="230">
        <f>IF(CavityStatus[[#This Row],[Accept Date]]&lt;&gt;0,CavityStatus[[#This Row],[Accept Date]],"")</f>
        <v>42705</v>
      </c>
    </row>
    <row r="35" spans="2:11" ht="14.4" hidden="1" thickTop="1" x14ac:dyDescent="0.25">
      <c r="B35" s="229">
        <f>IF(CavityStatus[[#This Row],[Unit '#]]&lt;&gt;0,CavityStatus[[#This Row],[Unit '#]],"")</f>
        <v>32</v>
      </c>
      <c r="C35" s="226" t="str">
        <f>CavityStatus[[#This Row],[Serial '#]]</f>
        <v>CAV035</v>
      </c>
      <c r="D35" s="227">
        <f>IF(CavityStatus[[#This Row],[Actual Ship Date]]&lt;&gt;0,CavityStatus[[#This Row],[Actual Ship Date]],"")</f>
        <v>42690</v>
      </c>
      <c r="E35" s="228">
        <f>CavityStatus[[#This Row],[Incentive Earned]]</f>
        <v>5750</v>
      </c>
      <c r="F35" s="227">
        <f>IF(CavityStatus[[#This Row],[Receipt Date]]&lt;&gt;0,CavityStatus[[#This Row],[Receipt Date]],"")</f>
        <v>42702</v>
      </c>
      <c r="G35" s="228">
        <f>CavityStatus[[#This Row],[Recipe Modification (Mod 9)]]</f>
        <v>4283.18</v>
      </c>
      <c r="H35" s="228">
        <f>CavityStatus[[#This Row],[Caps            
 (Mod 10)]]</f>
        <v>490</v>
      </c>
      <c r="I35" s="228">
        <f>CavityStatus[[#This Row],[Delivery &amp; Acceptance]]</f>
        <v>40187.5</v>
      </c>
      <c r="J35" s="228">
        <f>CavityStatus[[#This Row],[Total]]</f>
        <v>50710.68</v>
      </c>
      <c r="K35" s="230">
        <f>IF(CavityStatus[[#This Row],[Accept Date]]&lt;&gt;0,CavityStatus[[#This Row],[Accept Date]],"")</f>
        <v>42705</v>
      </c>
    </row>
    <row r="36" spans="2:11" ht="14.4" hidden="1" thickTop="1" x14ac:dyDescent="0.25">
      <c r="B36" s="229">
        <f>IF(CavityStatus[[#This Row],[Unit '#]]&lt;&gt;0,CavityStatus[[#This Row],[Unit '#]],"")</f>
        <v>33</v>
      </c>
      <c r="C36" s="226" t="str">
        <f>CavityStatus[[#This Row],[Serial '#]]</f>
        <v>CAV025</v>
      </c>
      <c r="D36" s="227">
        <f>IF(CavityStatus[[#This Row],[Actual Ship Date]]&lt;&gt;0,CavityStatus[[#This Row],[Actual Ship Date]],"")</f>
        <v>42698</v>
      </c>
      <c r="E36" s="228">
        <f>CavityStatus[[#This Row],[Incentive Earned]]</f>
        <v>5750</v>
      </c>
      <c r="F36" s="227">
        <f>IF(CavityStatus[[#This Row],[Receipt Date]]&lt;&gt;0,CavityStatus[[#This Row],[Receipt Date]],"")</f>
        <v>42705</v>
      </c>
      <c r="G36" s="228">
        <f>CavityStatus[[#This Row],[Recipe Modification (Mod 9)]]</f>
        <v>4283.18</v>
      </c>
      <c r="H36" s="228">
        <f>CavityStatus[[#This Row],[Caps            
 (Mod 10)]]</f>
        <v>490</v>
      </c>
      <c r="I36" s="228">
        <f>CavityStatus[[#This Row],[Delivery &amp; Acceptance]]</f>
        <v>40187.5</v>
      </c>
      <c r="J36" s="228">
        <f>CavityStatus[[#This Row],[Total]]</f>
        <v>50710.68</v>
      </c>
      <c r="K36" s="230">
        <f>IF(CavityStatus[[#This Row],[Accept Date]]&lt;&gt;0,CavityStatus[[#This Row],[Accept Date]],"")</f>
        <v>42705</v>
      </c>
    </row>
    <row r="37" spans="2:11" ht="14.4" hidden="1" thickTop="1" x14ac:dyDescent="0.25">
      <c r="B37" s="229">
        <f>IF(CavityStatus[[#This Row],[Unit '#]]&lt;&gt;0,CavityStatus[[#This Row],[Unit '#]],"")</f>
        <v>34</v>
      </c>
      <c r="C37" s="226" t="str">
        <f>CavityStatus[[#This Row],[Serial '#]]</f>
        <v>CAV030</v>
      </c>
      <c r="D37" s="227">
        <f>IF(CavityStatus[[#This Row],[Actual Ship Date]]&lt;&gt;0,CavityStatus[[#This Row],[Actual Ship Date]],"")</f>
        <v>42698</v>
      </c>
      <c r="E37" s="228">
        <f>CavityStatus[[#This Row],[Incentive Earned]]</f>
        <v>5750</v>
      </c>
      <c r="F37" s="227">
        <f>IF(CavityStatus[[#This Row],[Receipt Date]]&lt;&gt;0,CavityStatus[[#This Row],[Receipt Date]],"")</f>
        <v>42705</v>
      </c>
      <c r="G37" s="228">
        <f>CavityStatus[[#This Row],[Recipe Modification (Mod 9)]]</f>
        <v>4283.18</v>
      </c>
      <c r="H37" s="228">
        <f>CavityStatus[[#This Row],[Caps            
 (Mod 10)]]</f>
        <v>490</v>
      </c>
      <c r="I37" s="228">
        <f>CavityStatus[[#This Row],[Delivery &amp; Acceptance]]</f>
        <v>40187.5</v>
      </c>
      <c r="J37" s="228">
        <f>CavityStatus[[#This Row],[Total]]</f>
        <v>50710.68</v>
      </c>
      <c r="K37" s="230">
        <f>IF(CavityStatus[[#This Row],[Accept Date]]&lt;&gt;0,CavityStatus[[#This Row],[Accept Date]],"")</f>
        <v>42705</v>
      </c>
    </row>
    <row r="38" spans="2:11" ht="14.4" hidden="1" thickTop="1" x14ac:dyDescent="0.25">
      <c r="B38" s="229">
        <f>IF(CavityStatus[[#This Row],[Unit '#]]&lt;&gt;0,CavityStatus[[#This Row],[Unit '#]],"")</f>
        <v>35</v>
      </c>
      <c r="C38" s="226" t="str">
        <f>CavityStatus[[#This Row],[Serial '#]]</f>
        <v>CAV034</v>
      </c>
      <c r="D38" s="227">
        <f>IF(CavityStatus[[#This Row],[Actual Ship Date]]&lt;&gt;0,CavityStatus[[#This Row],[Actual Ship Date]],"")</f>
        <v>42698</v>
      </c>
      <c r="E38" s="228">
        <f>CavityStatus[[#This Row],[Incentive Earned]]</f>
        <v>5750</v>
      </c>
      <c r="F38" s="227">
        <f>IF(CavityStatus[[#This Row],[Receipt Date]]&lt;&gt;0,CavityStatus[[#This Row],[Receipt Date]],"")</f>
        <v>42705</v>
      </c>
      <c r="G38" s="228">
        <f>CavityStatus[[#This Row],[Recipe Modification (Mod 9)]]</f>
        <v>4283.18</v>
      </c>
      <c r="H38" s="228">
        <f>CavityStatus[[#This Row],[Caps            
 (Mod 10)]]</f>
        <v>490</v>
      </c>
      <c r="I38" s="228">
        <f>CavityStatus[[#This Row],[Delivery &amp; Acceptance]]</f>
        <v>40187.5</v>
      </c>
      <c r="J38" s="228">
        <f>CavityStatus[[#This Row],[Total]]</f>
        <v>50710.68</v>
      </c>
      <c r="K38" s="230">
        <f>IF(CavityStatus[[#This Row],[Accept Date]]&lt;&gt;0,CavityStatus[[#This Row],[Accept Date]],"")</f>
        <v>42705</v>
      </c>
    </row>
    <row r="39" spans="2:11" ht="14.4" hidden="1" thickTop="1" x14ac:dyDescent="0.25">
      <c r="B39" s="229">
        <f>IF(CavityStatus[[#This Row],[Unit '#]]&lt;&gt;0,CavityStatus[[#This Row],[Unit '#]],"")</f>
        <v>36</v>
      </c>
      <c r="C39" s="226" t="str">
        <f>CavityStatus[[#This Row],[Serial '#]]</f>
        <v>CAV036</v>
      </c>
      <c r="D39" s="227">
        <f>IF(CavityStatus[[#This Row],[Actual Ship Date]]&lt;&gt;0,CavityStatus[[#This Row],[Actual Ship Date]],"")</f>
        <v>42698</v>
      </c>
      <c r="E39" s="228">
        <f>CavityStatus[[#This Row],[Incentive Earned]]</f>
        <v>5750</v>
      </c>
      <c r="F39" s="227">
        <f>IF(CavityStatus[[#This Row],[Receipt Date]]&lt;&gt;0,CavityStatus[[#This Row],[Receipt Date]],"")</f>
        <v>42705</v>
      </c>
      <c r="G39" s="228">
        <f>CavityStatus[[#This Row],[Recipe Modification (Mod 9)]]</f>
        <v>4283.18</v>
      </c>
      <c r="H39" s="228">
        <f>CavityStatus[[#This Row],[Caps            
 (Mod 10)]]</f>
        <v>490</v>
      </c>
      <c r="I39" s="228">
        <f>CavityStatus[[#This Row],[Delivery &amp; Acceptance]]</f>
        <v>40187.5</v>
      </c>
      <c r="J39" s="228">
        <f>CavityStatus[[#This Row],[Total]]</f>
        <v>50710.68</v>
      </c>
      <c r="K39" s="230">
        <f>IF(CavityStatus[[#This Row],[Accept Date]]&lt;&gt;0,CavityStatus[[#This Row],[Accept Date]],"")</f>
        <v>42705</v>
      </c>
    </row>
    <row r="40" spans="2:11" ht="14.4" hidden="1" thickTop="1" x14ac:dyDescent="0.25">
      <c r="B40" s="229">
        <f>IF(CavityStatus[[#This Row],[Unit '#]]&lt;&gt;0,CavityStatus[[#This Row],[Unit '#]],"")</f>
        <v>37</v>
      </c>
      <c r="C40" s="226" t="str">
        <f>CavityStatus[[#This Row],[Serial '#]]</f>
        <v>CAV037</v>
      </c>
      <c r="D40" s="227">
        <f>IF(CavityStatus[[#This Row],[Actual Ship Date]]&lt;&gt;0,CavityStatus[[#This Row],[Actual Ship Date]],"")</f>
        <v>42702</v>
      </c>
      <c r="E40" s="228">
        <f>CavityStatus[[#This Row],[Incentive Earned]]</f>
        <v>5750</v>
      </c>
      <c r="F40" s="227">
        <f>IF(CavityStatus[[#This Row],[Receipt Date]]&lt;&gt;0,CavityStatus[[#This Row],[Receipt Date]],"")</f>
        <v>42709</v>
      </c>
      <c r="G40" s="228">
        <f>CavityStatus[[#This Row],[Recipe Modification (Mod 9)]]</f>
        <v>4283.18</v>
      </c>
      <c r="H40" s="228">
        <f>CavityStatus[[#This Row],[Caps            
 (Mod 10)]]</f>
        <v>490</v>
      </c>
      <c r="I40" s="228">
        <f>CavityStatus[[#This Row],[Delivery &amp; Acceptance]]</f>
        <v>40187.5</v>
      </c>
      <c r="J40" s="228">
        <f>CavityStatus[[#This Row],[Total]]</f>
        <v>50710.68</v>
      </c>
      <c r="K40" s="230">
        <f>IF(CavityStatus[[#This Row],[Accept Date]]&lt;&gt;0,CavityStatus[[#This Row],[Accept Date]],"")</f>
        <v>42705</v>
      </c>
    </row>
    <row r="41" spans="2:11" ht="14.4" hidden="1" thickTop="1" x14ac:dyDescent="0.25">
      <c r="B41" s="229">
        <f>IF(CavityStatus[[#This Row],[Unit '#]]&lt;&gt;0,CavityStatus[[#This Row],[Unit '#]],"")</f>
        <v>38</v>
      </c>
      <c r="C41" s="226" t="str">
        <f>CavityStatus[[#This Row],[Serial '#]]</f>
        <v>CAV038</v>
      </c>
      <c r="D41" s="227">
        <f>IF(CavityStatus[[#This Row],[Actual Ship Date]]&lt;&gt;0,CavityStatus[[#This Row],[Actual Ship Date]],"")</f>
        <v>42702</v>
      </c>
      <c r="E41" s="228">
        <f>CavityStatus[[#This Row],[Incentive Earned]]</f>
        <v>5750</v>
      </c>
      <c r="F41" s="227">
        <f>IF(CavityStatus[[#This Row],[Receipt Date]]&lt;&gt;0,CavityStatus[[#This Row],[Receipt Date]],"")</f>
        <v>42709</v>
      </c>
      <c r="G41" s="228">
        <f>CavityStatus[[#This Row],[Recipe Modification (Mod 9)]]</f>
        <v>4283.18</v>
      </c>
      <c r="H41" s="228">
        <f>CavityStatus[[#This Row],[Caps            
 (Mod 10)]]</f>
        <v>490</v>
      </c>
      <c r="I41" s="228">
        <f>CavityStatus[[#This Row],[Delivery &amp; Acceptance]]</f>
        <v>40187.5</v>
      </c>
      <c r="J41" s="228">
        <f>CavityStatus[[#This Row],[Total]]</f>
        <v>50710.68</v>
      </c>
      <c r="K41" s="230">
        <f>IF(CavityStatus[[#This Row],[Accept Date]]&lt;&gt;0,CavityStatus[[#This Row],[Accept Date]],"")</f>
        <v>42705</v>
      </c>
    </row>
    <row r="42" spans="2:11" ht="14.4" hidden="1" thickTop="1" x14ac:dyDescent="0.25">
      <c r="B42" s="229">
        <f>IF(CavityStatus[[#This Row],[Unit '#]]&lt;&gt;0,CavityStatus[[#This Row],[Unit '#]],"")</f>
        <v>39</v>
      </c>
      <c r="C42" s="226" t="str">
        <f>CavityStatus[[#This Row],[Serial '#]]</f>
        <v>CAV045</v>
      </c>
      <c r="D42" s="227">
        <f>IF(CavityStatus[[#This Row],[Actual Ship Date]]&lt;&gt;0,CavityStatus[[#This Row],[Actual Ship Date]],"")</f>
        <v>42702</v>
      </c>
      <c r="E42" s="228">
        <f>CavityStatus[[#This Row],[Incentive Earned]]</f>
        <v>5750</v>
      </c>
      <c r="F42" s="227">
        <f>IF(CavityStatus[[#This Row],[Receipt Date]]&lt;&gt;0,CavityStatus[[#This Row],[Receipt Date]],"")</f>
        <v>42709</v>
      </c>
      <c r="G42" s="228">
        <f>CavityStatus[[#This Row],[Recipe Modification (Mod 9)]]</f>
        <v>4283.18</v>
      </c>
      <c r="H42" s="228">
        <f>CavityStatus[[#This Row],[Caps            
 (Mod 10)]]</f>
        <v>490</v>
      </c>
      <c r="I42" s="228">
        <f>CavityStatus[[#This Row],[Delivery &amp; Acceptance]]</f>
        <v>40187.5</v>
      </c>
      <c r="J42" s="228">
        <f>CavityStatus[[#This Row],[Total]]</f>
        <v>50710.68</v>
      </c>
      <c r="K42" s="230">
        <f>IF(CavityStatus[[#This Row],[Accept Date]]&lt;&gt;0,CavityStatus[[#This Row],[Accept Date]],"")</f>
        <v>42705</v>
      </c>
    </row>
    <row r="43" spans="2:11" ht="14.4" hidden="1" thickTop="1" x14ac:dyDescent="0.25">
      <c r="B43" s="229">
        <f>IF(CavityStatus[[#This Row],[Unit '#]]&lt;&gt;0,CavityStatus[[#This Row],[Unit '#]],"")</f>
        <v>40</v>
      </c>
      <c r="C43" s="226" t="str">
        <f>CavityStatus[[#This Row],[Serial '#]]</f>
        <v>CAV049</v>
      </c>
      <c r="D43" s="227">
        <f>IF(CavityStatus[[#This Row],[Actual Ship Date]]&lt;&gt;0,CavityStatus[[#This Row],[Actual Ship Date]],"")</f>
        <v>42702</v>
      </c>
      <c r="E43" s="228">
        <f>CavityStatus[[#This Row],[Incentive Earned]]</f>
        <v>5750</v>
      </c>
      <c r="F43" s="227">
        <f>IF(CavityStatus[[#This Row],[Receipt Date]]&lt;&gt;0,CavityStatus[[#This Row],[Receipt Date]],"")</f>
        <v>42709</v>
      </c>
      <c r="G43" s="228">
        <f>CavityStatus[[#This Row],[Recipe Modification (Mod 9)]]</f>
        <v>4283.18</v>
      </c>
      <c r="H43" s="228">
        <f>CavityStatus[[#This Row],[Caps            
 (Mod 10)]]</f>
        <v>490</v>
      </c>
      <c r="I43" s="228">
        <f>CavityStatus[[#This Row],[Delivery &amp; Acceptance]]</f>
        <v>40187.5</v>
      </c>
      <c r="J43" s="228">
        <f>CavityStatus[[#This Row],[Total]]</f>
        <v>50710.68</v>
      </c>
      <c r="K43" s="230">
        <f>IF(CavityStatus[[#This Row],[Accept Date]]&lt;&gt;0,CavityStatus[[#This Row],[Accept Date]],"")</f>
        <v>42705</v>
      </c>
    </row>
    <row r="44" spans="2:11" ht="14.4" hidden="1" thickTop="1" x14ac:dyDescent="0.25">
      <c r="B44" s="229">
        <f>IF(CavityStatus[[#This Row],[Unit '#]]&lt;&gt;0,CavityStatus[[#This Row],[Unit '#]],"")</f>
        <v>41</v>
      </c>
      <c r="C44" s="226" t="str">
        <f>CavityStatus[[#This Row],[Serial '#]]</f>
        <v>CAV039</v>
      </c>
      <c r="D44" s="227">
        <f>IF(CavityStatus[[#This Row],[Actual Ship Date]]&lt;&gt;0,CavityStatus[[#This Row],[Actual Ship Date]],"")</f>
        <v>42704</v>
      </c>
      <c r="E44" s="228">
        <f>CavityStatus[[#This Row],[Incentive Earned]]</f>
        <v>2270</v>
      </c>
      <c r="F44" s="227">
        <f>IF(CavityStatus[[#This Row],[Receipt Date]]&lt;&gt;0,CavityStatus[[#This Row],[Receipt Date]],"")</f>
        <v>42711</v>
      </c>
      <c r="G44" s="228">
        <f>CavityStatus[[#This Row],[Recipe Modification (Mod 9)]]</f>
        <v>4283.18</v>
      </c>
      <c r="H44" s="228">
        <f>CavityStatus[[#This Row],[Caps            
 (Mod 10)]]</f>
        <v>490</v>
      </c>
      <c r="I44" s="228">
        <f>CavityStatus[[#This Row],[Delivery &amp; Acceptance]]</f>
        <v>40187.5</v>
      </c>
      <c r="J44" s="228">
        <f>CavityStatus[[#This Row],[Total]]</f>
        <v>47230.68</v>
      </c>
      <c r="K44" s="230">
        <f>IF(CavityStatus[[#This Row],[Accept Date]]&lt;&gt;0,CavityStatus[[#This Row],[Accept Date]],"")</f>
        <v>42705</v>
      </c>
    </row>
    <row r="45" spans="2:11" ht="14.4" hidden="1" thickTop="1" x14ac:dyDescent="0.25">
      <c r="B45" s="229">
        <f>IF(CavityStatus[[#This Row],[Unit '#]]&lt;&gt;0,CavityStatus[[#This Row],[Unit '#]],"")</f>
        <v>42</v>
      </c>
      <c r="C45" s="226" t="str">
        <f>CavityStatus[[#This Row],[Serial '#]]</f>
        <v>CAV040</v>
      </c>
      <c r="D45" s="227">
        <f>IF(CavityStatus[[#This Row],[Actual Ship Date]]&lt;&gt;0,CavityStatus[[#This Row],[Actual Ship Date]],"")</f>
        <v>42704</v>
      </c>
      <c r="E45" s="228">
        <f>CavityStatus[[#This Row],[Incentive Earned]]</f>
        <v>2270</v>
      </c>
      <c r="F45" s="227">
        <f>IF(CavityStatus[[#This Row],[Receipt Date]]&lt;&gt;0,CavityStatus[[#This Row],[Receipt Date]],"")</f>
        <v>42711</v>
      </c>
      <c r="G45" s="228">
        <f>CavityStatus[[#This Row],[Recipe Modification (Mod 9)]]</f>
        <v>4283.18</v>
      </c>
      <c r="H45" s="228">
        <f>CavityStatus[[#This Row],[Caps            
 (Mod 10)]]</f>
        <v>490</v>
      </c>
      <c r="I45" s="228">
        <f>CavityStatus[[#This Row],[Delivery &amp; Acceptance]]</f>
        <v>40187.5</v>
      </c>
      <c r="J45" s="228">
        <f>CavityStatus[[#This Row],[Total]]</f>
        <v>47230.68</v>
      </c>
      <c r="K45" s="230">
        <f>IF(CavityStatus[[#This Row],[Accept Date]]&lt;&gt;0,CavityStatus[[#This Row],[Accept Date]],"")</f>
        <v>42705</v>
      </c>
    </row>
    <row r="46" spans="2:11" ht="14.4" hidden="1" thickTop="1" x14ac:dyDescent="0.25">
      <c r="B46" s="229">
        <f>IF(CavityStatus[[#This Row],[Unit '#]]&lt;&gt;0,CavityStatus[[#This Row],[Unit '#]],"")</f>
        <v>43</v>
      </c>
      <c r="C46" s="226" t="str">
        <f>CavityStatus[[#This Row],[Serial '#]]</f>
        <v>CAV041</v>
      </c>
      <c r="D46" s="227">
        <f>IF(CavityStatus[[#This Row],[Actual Ship Date]]&lt;&gt;0,CavityStatus[[#This Row],[Actual Ship Date]],"")</f>
        <v>42704</v>
      </c>
      <c r="E46" s="228">
        <f>CavityStatus[[#This Row],[Incentive Earned]]</f>
        <v>2270</v>
      </c>
      <c r="F46" s="227">
        <f>IF(CavityStatus[[#This Row],[Receipt Date]]&lt;&gt;0,CavityStatus[[#This Row],[Receipt Date]],"")</f>
        <v>42711</v>
      </c>
      <c r="G46" s="228">
        <f>CavityStatus[[#This Row],[Recipe Modification (Mod 9)]]</f>
        <v>4283.18</v>
      </c>
      <c r="H46" s="228">
        <f>CavityStatus[[#This Row],[Caps            
 (Mod 10)]]</f>
        <v>490</v>
      </c>
      <c r="I46" s="228">
        <f>CavityStatus[[#This Row],[Delivery &amp; Acceptance]]</f>
        <v>40187.5</v>
      </c>
      <c r="J46" s="228">
        <f>CavityStatus[[#This Row],[Total]]</f>
        <v>47230.68</v>
      </c>
      <c r="K46" s="230">
        <f>IF(CavityStatus[[#This Row],[Accept Date]]&lt;&gt;0,CavityStatus[[#This Row],[Accept Date]],"")</f>
        <v>42705</v>
      </c>
    </row>
    <row r="47" spans="2:11" ht="14.4" hidden="1" thickTop="1" x14ac:dyDescent="0.25">
      <c r="B47" s="229">
        <f>IF(CavityStatus[[#This Row],[Unit '#]]&lt;&gt;0,CavityStatus[[#This Row],[Unit '#]],"")</f>
        <v>44</v>
      </c>
      <c r="C47" s="226" t="str">
        <f>CavityStatus[[#This Row],[Serial '#]]</f>
        <v>CAV042</v>
      </c>
      <c r="D47" s="227">
        <f>IF(CavityStatus[[#This Row],[Actual Ship Date]]&lt;&gt;0,CavityStatus[[#This Row],[Actual Ship Date]],"")</f>
        <v>42704</v>
      </c>
      <c r="E47" s="228">
        <f>CavityStatus[[#This Row],[Incentive Earned]]</f>
        <v>2270</v>
      </c>
      <c r="F47" s="227">
        <f>IF(CavityStatus[[#This Row],[Receipt Date]]&lt;&gt;0,CavityStatus[[#This Row],[Receipt Date]],"")</f>
        <v>42711</v>
      </c>
      <c r="G47" s="228">
        <f>CavityStatus[[#This Row],[Recipe Modification (Mod 9)]]</f>
        <v>4283.18</v>
      </c>
      <c r="H47" s="228">
        <f>CavityStatus[[#This Row],[Caps            
 (Mod 10)]]</f>
        <v>490</v>
      </c>
      <c r="I47" s="228">
        <f>CavityStatus[[#This Row],[Delivery &amp; Acceptance]]</f>
        <v>40187.5</v>
      </c>
      <c r="J47" s="228">
        <f>CavityStatus[[#This Row],[Total]]</f>
        <v>47230.68</v>
      </c>
      <c r="K47" s="230">
        <f>IF(CavityStatus[[#This Row],[Accept Date]]&lt;&gt;0,CavityStatus[[#This Row],[Accept Date]],"")</f>
        <v>42705</v>
      </c>
    </row>
    <row r="48" spans="2:11" ht="14.4" hidden="1" thickTop="1" x14ac:dyDescent="0.25">
      <c r="B48" s="229">
        <f>IF(CavityStatus[[#This Row],[Unit '#]]&lt;&gt;0,CavityStatus[[#This Row],[Unit '#]],"")</f>
        <v>45</v>
      </c>
      <c r="C48" s="226" t="str">
        <f>CavityStatus[[#This Row],[Serial '#]]</f>
        <v>CAV043</v>
      </c>
      <c r="D48" s="227">
        <f>IF(CavityStatus[[#This Row],[Actual Ship Date]]&lt;&gt;0,CavityStatus[[#This Row],[Actual Ship Date]],"")</f>
        <v>42720</v>
      </c>
      <c r="E48" s="228">
        <f>CavityStatus[[#This Row],[Incentive Earned]]</f>
        <v>2270</v>
      </c>
      <c r="F48" s="227">
        <f>IF(CavityStatus[[#This Row],[Receipt Date]]&lt;&gt;0,CavityStatus[[#This Row],[Receipt Date]],"")</f>
        <v>42746</v>
      </c>
      <c r="G48" s="228">
        <f>CavityStatus[[#This Row],[Recipe Modification (Mod 9)]]</f>
        <v>4283.18</v>
      </c>
      <c r="H48" s="228">
        <f>CavityStatus[[#This Row],[Caps            
 (Mod 10)]]</f>
        <v>490</v>
      </c>
      <c r="I48" s="228">
        <f>CavityStatus[[#This Row],[Delivery &amp; Acceptance]]</f>
        <v>40187.5</v>
      </c>
      <c r="J48" s="228">
        <f>CavityStatus[[#This Row],[Total]]</f>
        <v>47230.68</v>
      </c>
      <c r="K48" s="230">
        <f>IF(CavityStatus[[#This Row],[Accept Date]]&lt;&gt;0,CavityStatus[[#This Row],[Accept Date]],"")</f>
        <v>42788</v>
      </c>
    </row>
    <row r="49" spans="2:11" ht="14.4" hidden="1" thickTop="1" x14ac:dyDescent="0.25">
      <c r="B49" s="229">
        <f>IF(CavityStatus[[#This Row],[Unit '#]]&lt;&gt;0,CavityStatus[[#This Row],[Unit '#]],"")</f>
        <v>46</v>
      </c>
      <c r="C49" s="226" t="str">
        <f>CavityStatus[[#This Row],[Serial '#]]</f>
        <v>CAV044</v>
      </c>
      <c r="D49" s="227">
        <f>IF(CavityStatus[[#This Row],[Actual Ship Date]]&lt;&gt;0,CavityStatus[[#This Row],[Actual Ship Date]],"")</f>
        <v>42720</v>
      </c>
      <c r="E49" s="228">
        <f>CavityStatus[[#This Row],[Incentive Earned]]</f>
        <v>2270</v>
      </c>
      <c r="F49" s="227">
        <f>IF(CavityStatus[[#This Row],[Receipt Date]]&lt;&gt;0,CavityStatus[[#This Row],[Receipt Date]],"")</f>
        <v>42746</v>
      </c>
      <c r="G49" s="228">
        <f>CavityStatus[[#This Row],[Recipe Modification (Mod 9)]]</f>
        <v>4283.18</v>
      </c>
      <c r="H49" s="228">
        <f>CavityStatus[[#This Row],[Caps            
 (Mod 10)]]</f>
        <v>490</v>
      </c>
      <c r="I49" s="228">
        <f>CavityStatus[[#This Row],[Delivery &amp; Acceptance]]</f>
        <v>40187.5</v>
      </c>
      <c r="J49" s="228">
        <f>CavityStatus[[#This Row],[Total]]</f>
        <v>47230.68</v>
      </c>
      <c r="K49" s="230">
        <f>IF(CavityStatus[[#This Row],[Accept Date]]&lt;&gt;0,CavityStatus[[#This Row],[Accept Date]],"")</f>
        <v>42788</v>
      </c>
    </row>
    <row r="50" spans="2:11" ht="14.4" hidden="1" thickTop="1" x14ac:dyDescent="0.25">
      <c r="B50" s="229">
        <f>IF(CavityStatus[[#This Row],[Unit '#]]&lt;&gt;0,CavityStatus[[#This Row],[Unit '#]],"")</f>
        <v>47</v>
      </c>
      <c r="C50" s="226" t="str">
        <f>CavityStatus[[#This Row],[Serial '#]]</f>
        <v>CAV047</v>
      </c>
      <c r="D50" s="227">
        <f>IF(CavityStatus[[#This Row],[Actual Ship Date]]&lt;&gt;0,CavityStatus[[#This Row],[Actual Ship Date]],"")</f>
        <v>42720</v>
      </c>
      <c r="E50" s="228">
        <f>CavityStatus[[#This Row],[Incentive Earned]]</f>
        <v>2270</v>
      </c>
      <c r="F50" s="227">
        <f>IF(CavityStatus[[#This Row],[Receipt Date]]&lt;&gt;0,CavityStatus[[#This Row],[Receipt Date]],"")</f>
        <v>42746</v>
      </c>
      <c r="G50" s="228">
        <f>CavityStatus[[#This Row],[Recipe Modification (Mod 9)]]</f>
        <v>4283.18</v>
      </c>
      <c r="H50" s="228">
        <f>CavityStatus[[#This Row],[Caps            
 (Mod 10)]]</f>
        <v>490</v>
      </c>
      <c r="I50" s="228">
        <f>CavityStatus[[#This Row],[Delivery &amp; Acceptance]]</f>
        <v>40187.5</v>
      </c>
      <c r="J50" s="228">
        <f>CavityStatus[[#This Row],[Total]]</f>
        <v>47230.68</v>
      </c>
      <c r="K50" s="230">
        <f>IF(CavityStatus[[#This Row],[Accept Date]]&lt;&gt;0,CavityStatus[[#This Row],[Accept Date]],"")</f>
        <v>42788</v>
      </c>
    </row>
    <row r="51" spans="2:11" ht="14.4" hidden="1" thickTop="1" x14ac:dyDescent="0.25">
      <c r="B51" s="229">
        <f>IF(CavityStatus[[#This Row],[Unit '#]]&lt;&gt;0,CavityStatus[[#This Row],[Unit '#]],"")</f>
        <v>48</v>
      </c>
      <c r="C51" s="226" t="str">
        <f>CavityStatus[[#This Row],[Serial '#]]</f>
        <v>CAV048</v>
      </c>
      <c r="D51" s="227">
        <f>IF(CavityStatus[[#This Row],[Actual Ship Date]]&lt;&gt;0,CavityStatus[[#This Row],[Actual Ship Date]],"")</f>
        <v>42720</v>
      </c>
      <c r="E51" s="228">
        <f>CavityStatus[[#This Row],[Incentive Earned]]</f>
        <v>2270</v>
      </c>
      <c r="F51" s="227">
        <f>IF(CavityStatus[[#This Row],[Receipt Date]]&lt;&gt;0,CavityStatus[[#This Row],[Receipt Date]],"")</f>
        <v>42746</v>
      </c>
      <c r="G51" s="228">
        <f>CavityStatus[[#This Row],[Recipe Modification (Mod 9)]]</f>
        <v>4283.18</v>
      </c>
      <c r="H51" s="228">
        <f>CavityStatus[[#This Row],[Caps            
 (Mod 10)]]</f>
        <v>490</v>
      </c>
      <c r="I51" s="228">
        <f>CavityStatus[[#This Row],[Delivery &amp; Acceptance]]</f>
        <v>40187.5</v>
      </c>
      <c r="J51" s="228">
        <f>CavityStatus[[#This Row],[Total]]</f>
        <v>47230.68</v>
      </c>
      <c r="K51" s="230">
        <f>IF(CavityStatus[[#This Row],[Accept Date]]&lt;&gt;0,CavityStatus[[#This Row],[Accept Date]],"")</f>
        <v>42788</v>
      </c>
    </row>
    <row r="52" spans="2:11" ht="14.4" hidden="1" thickTop="1" x14ac:dyDescent="0.25">
      <c r="B52" s="229">
        <f>IF(CavityStatus[[#This Row],[Unit '#]]&lt;&gt;0,CavityStatus[[#This Row],[Unit '#]],"")</f>
        <v>49</v>
      </c>
      <c r="C52" s="226" t="str">
        <f>CavityStatus[[#This Row],[Serial '#]]</f>
        <v>CAV046</v>
      </c>
      <c r="D52" s="227">
        <f>IF(CavityStatus[[#This Row],[Actual Ship Date]]&lt;&gt;0,CavityStatus[[#This Row],[Actual Ship Date]],"")</f>
        <v>42746</v>
      </c>
      <c r="E52" s="228">
        <f>CavityStatus[[#This Row],[Incentive Earned]]</f>
        <v>2270</v>
      </c>
      <c r="F52" s="227">
        <f>IF(CavityStatus[[#This Row],[Receipt Date]]&lt;&gt;0,CavityStatus[[#This Row],[Receipt Date]],"")</f>
        <v>42754</v>
      </c>
      <c r="G52" s="228">
        <f>CavityStatus[[#This Row],[Recipe Modification (Mod 9)]]</f>
        <v>4283.18</v>
      </c>
      <c r="H52" s="228">
        <f>CavityStatus[[#This Row],[Caps            
 (Mod 10)]]</f>
        <v>490</v>
      </c>
      <c r="I52" s="228">
        <f>CavityStatus[[#This Row],[Delivery &amp; Acceptance]]</f>
        <v>40187.5</v>
      </c>
      <c r="J52" s="228">
        <f>CavityStatus[[#This Row],[Total]]</f>
        <v>47230.68</v>
      </c>
      <c r="K52" s="230">
        <f>IF(CavityStatus[[#This Row],[Accept Date]]&lt;&gt;0,CavityStatus[[#This Row],[Accept Date]],"")</f>
        <v>42788</v>
      </c>
    </row>
    <row r="53" spans="2:11" ht="14.4" hidden="1" thickTop="1" x14ac:dyDescent="0.25">
      <c r="B53" s="229">
        <f>IF(CavityStatus[[#This Row],[Unit '#]]&lt;&gt;0,CavityStatus[[#This Row],[Unit '#]],"")</f>
        <v>50</v>
      </c>
      <c r="C53" s="226" t="str">
        <f>CavityStatus[[#This Row],[Serial '#]]</f>
        <v>CAV050</v>
      </c>
      <c r="D53" s="227">
        <f>IF(CavityStatus[[#This Row],[Actual Ship Date]]&lt;&gt;0,CavityStatus[[#This Row],[Actual Ship Date]],"")</f>
        <v>42746</v>
      </c>
      <c r="E53" s="228">
        <f>CavityStatus[[#This Row],[Incentive Earned]]</f>
        <v>2270</v>
      </c>
      <c r="F53" s="227">
        <f>IF(CavityStatus[[#This Row],[Receipt Date]]&lt;&gt;0,CavityStatus[[#This Row],[Receipt Date]],"")</f>
        <v>42754</v>
      </c>
      <c r="G53" s="228">
        <f>CavityStatus[[#This Row],[Recipe Modification (Mod 9)]]</f>
        <v>4283.18</v>
      </c>
      <c r="H53" s="228">
        <f>CavityStatus[[#This Row],[Caps            
 (Mod 10)]]</f>
        <v>490</v>
      </c>
      <c r="I53" s="228">
        <f>CavityStatus[[#This Row],[Delivery &amp; Acceptance]]</f>
        <v>40187.5</v>
      </c>
      <c r="J53" s="228">
        <f>CavityStatus[[#This Row],[Total]]</f>
        <v>47230.68</v>
      </c>
      <c r="K53" s="230">
        <f>IF(CavityStatus[[#This Row],[Accept Date]]&lt;&gt;0,CavityStatus[[#This Row],[Accept Date]],"")</f>
        <v>42788</v>
      </c>
    </row>
    <row r="54" spans="2:11" ht="14.4" hidden="1" thickTop="1" x14ac:dyDescent="0.25">
      <c r="B54" s="229">
        <f>IF(CavityStatus[[#This Row],[Unit '#]]&lt;&gt;0,CavityStatus[[#This Row],[Unit '#]],"")</f>
        <v>51</v>
      </c>
      <c r="C54" s="226" t="str">
        <f>CavityStatus[[#This Row],[Serial '#]]</f>
        <v>CAV051</v>
      </c>
      <c r="D54" s="227">
        <f>IF(CavityStatus[[#This Row],[Actual Ship Date]]&lt;&gt;0,CavityStatus[[#This Row],[Actual Ship Date]],"")</f>
        <v>42746</v>
      </c>
      <c r="E54" s="228">
        <f>CavityStatus[[#This Row],[Incentive Earned]]</f>
        <v>2270</v>
      </c>
      <c r="F54" s="227">
        <f>IF(CavityStatus[[#This Row],[Receipt Date]]&lt;&gt;0,CavityStatus[[#This Row],[Receipt Date]],"")</f>
        <v>42754</v>
      </c>
      <c r="G54" s="228">
        <f>CavityStatus[[#This Row],[Recipe Modification (Mod 9)]]</f>
        <v>4283.18</v>
      </c>
      <c r="H54" s="228">
        <f>CavityStatus[[#This Row],[Caps            
 (Mod 10)]]</f>
        <v>490</v>
      </c>
      <c r="I54" s="228">
        <f>CavityStatus[[#This Row],[Delivery &amp; Acceptance]]</f>
        <v>40187.5</v>
      </c>
      <c r="J54" s="228">
        <f>CavityStatus[[#This Row],[Total]]</f>
        <v>47230.68</v>
      </c>
      <c r="K54" s="230">
        <f>IF(CavityStatus[[#This Row],[Accept Date]]&lt;&gt;0,CavityStatus[[#This Row],[Accept Date]],"")</f>
        <v>42788</v>
      </c>
    </row>
    <row r="55" spans="2:11" ht="14.4" hidden="1" thickTop="1" x14ac:dyDescent="0.25">
      <c r="B55" s="229">
        <f>IF(CavityStatus[[#This Row],[Unit '#]]&lt;&gt;0,CavityStatus[[#This Row],[Unit '#]],"")</f>
        <v>52</v>
      </c>
      <c r="C55" s="226" t="str">
        <f>CavityStatus[[#This Row],[Serial '#]]</f>
        <v>CAV052</v>
      </c>
      <c r="D55" s="227">
        <f>IF(CavityStatus[[#This Row],[Actual Ship Date]]&lt;&gt;0,CavityStatus[[#This Row],[Actual Ship Date]],"")</f>
        <v>42746</v>
      </c>
      <c r="E55" s="228">
        <f>CavityStatus[[#This Row],[Incentive Earned]]</f>
        <v>2270</v>
      </c>
      <c r="F55" s="227">
        <f>IF(CavityStatus[[#This Row],[Receipt Date]]&lt;&gt;0,CavityStatus[[#This Row],[Receipt Date]],"")</f>
        <v>42754</v>
      </c>
      <c r="G55" s="228">
        <f>CavityStatus[[#This Row],[Recipe Modification (Mod 9)]]</f>
        <v>4283.18</v>
      </c>
      <c r="H55" s="228">
        <f>CavityStatus[[#This Row],[Caps            
 (Mod 10)]]</f>
        <v>490</v>
      </c>
      <c r="I55" s="228">
        <f>CavityStatus[[#This Row],[Delivery &amp; Acceptance]]</f>
        <v>40187.5</v>
      </c>
      <c r="J55" s="228">
        <f>CavityStatus[[#This Row],[Total]]</f>
        <v>47230.68</v>
      </c>
      <c r="K55" s="230">
        <f>IF(CavityStatus[[#This Row],[Accept Date]]&lt;&gt;0,CavityStatus[[#This Row],[Accept Date]],"")</f>
        <v>42788</v>
      </c>
    </row>
    <row r="56" spans="2:11" ht="13.2" hidden="1" customHeight="1" thickTop="1" x14ac:dyDescent="0.25">
      <c r="B56" s="229">
        <f>IF(CavityStatus[[#This Row],[Unit '#]]&lt;&gt;0,CavityStatus[[#This Row],[Unit '#]],"")</f>
        <v>53</v>
      </c>
      <c r="C56" s="226" t="str">
        <f>CavityStatus[[#This Row],[Serial '#]]</f>
        <v>CAV054</v>
      </c>
      <c r="D56" s="227">
        <f>IF(CavityStatus[[#This Row],[Actual Ship Date]]&lt;&gt;0,CavityStatus[[#This Row],[Actual Ship Date]],"")</f>
        <v>42782</v>
      </c>
      <c r="E56" s="228">
        <f>CavityStatus[[#This Row],[Incentive Earned]]</f>
        <v>1000</v>
      </c>
      <c r="F56" s="227">
        <f>IF(CavityStatus[[#This Row],[Receipt Date]]&lt;&gt;0,CavityStatus[[#This Row],[Receipt Date]],"")</f>
        <v>42783</v>
      </c>
      <c r="G56" s="228">
        <f>CavityStatus[[#This Row],[Recipe Modification (Mod 9)]]</f>
        <v>4283.18</v>
      </c>
      <c r="H56" s="228">
        <f>CavityStatus[[#This Row],[Caps            
 (Mod 10)]]</f>
        <v>490</v>
      </c>
      <c r="I56" s="228">
        <f>CavityStatus[[#This Row],[Delivery &amp; Acceptance]]</f>
        <v>40187.5</v>
      </c>
      <c r="J56" s="228">
        <f>CavityStatus[[#This Row],[Total]]</f>
        <v>45960.68</v>
      </c>
      <c r="K56" s="230">
        <f>IF(CavityStatus[[#This Row],[Accept Date]]&lt;&gt;0,CavityStatus[[#This Row],[Accept Date]],"")</f>
        <v>42814</v>
      </c>
    </row>
    <row r="57" spans="2:11" ht="13.2" hidden="1" customHeight="1" x14ac:dyDescent="0.25">
      <c r="B57" s="229">
        <f>IF(CavityStatus[[#This Row],[Unit '#]]&lt;&gt;0,CavityStatus[[#This Row],[Unit '#]],"")</f>
        <v>54</v>
      </c>
      <c r="C57" s="226" t="str">
        <f>CavityStatus[[#This Row],[Serial '#]]</f>
        <v>CAV055</v>
      </c>
      <c r="D57" s="227">
        <f>IF(CavityStatus[[#This Row],[Actual Ship Date]]&lt;&gt;0,CavityStatus[[#This Row],[Actual Ship Date]],"")</f>
        <v>42782</v>
      </c>
      <c r="E57" s="228">
        <f>CavityStatus[[#This Row],[Incentive Earned]]</f>
        <v>1000</v>
      </c>
      <c r="F57" s="227">
        <f>IF(CavityStatus[[#This Row],[Receipt Date]]&lt;&gt;0,CavityStatus[[#This Row],[Receipt Date]],"")</f>
        <v>42783</v>
      </c>
      <c r="G57" s="228">
        <f>CavityStatus[[#This Row],[Recipe Modification (Mod 9)]]</f>
        <v>4283.18</v>
      </c>
      <c r="H57" s="228">
        <f>CavityStatus[[#This Row],[Caps            
 (Mod 10)]]</f>
        <v>490</v>
      </c>
      <c r="I57" s="228">
        <f>CavityStatus[[#This Row],[Delivery &amp; Acceptance]]</f>
        <v>40187.5</v>
      </c>
      <c r="J57" s="228">
        <f>CavityStatus[[#This Row],[Total]]</f>
        <v>45960.68</v>
      </c>
      <c r="K57" s="230">
        <f>IF(CavityStatus[[#This Row],[Accept Date]]&lt;&gt;0,CavityStatus[[#This Row],[Accept Date]],"")</f>
        <v>42814</v>
      </c>
    </row>
    <row r="58" spans="2:11" ht="13.2" hidden="1" customHeight="1" x14ac:dyDescent="0.25">
      <c r="B58" s="229">
        <f>IF(CavityStatus[[#This Row],[Unit '#]]&lt;&gt;0,CavityStatus[[#This Row],[Unit '#]],"")</f>
        <v>55</v>
      </c>
      <c r="C58" s="226" t="str">
        <f>CavityStatus[[#This Row],[Serial '#]]</f>
        <v>CAV064</v>
      </c>
      <c r="D58" s="227">
        <f>IF(CavityStatus[[#This Row],[Actual Ship Date]]&lt;&gt;0,CavityStatus[[#This Row],[Actual Ship Date]],"")</f>
        <v>42793</v>
      </c>
      <c r="E58" s="228">
        <f>CavityStatus[[#This Row],[Incentive Earned]]</f>
        <v>1000</v>
      </c>
      <c r="F58" s="227">
        <f>IF(CavityStatus[[#This Row],[Receipt Date]]&lt;&gt;0,CavityStatus[[#This Row],[Receipt Date]],"")</f>
        <v>42793</v>
      </c>
      <c r="G58" s="228">
        <f>CavityStatus[[#This Row],[Recipe Modification (Mod 9)]]</f>
        <v>4283.18</v>
      </c>
      <c r="H58" s="228">
        <f>CavityStatus[[#This Row],[Caps            
 (Mod 10)]]</f>
        <v>490</v>
      </c>
      <c r="I58" s="228">
        <f>CavityStatus[[#This Row],[Delivery &amp; Acceptance]]</f>
        <v>40187.5</v>
      </c>
      <c r="J58" s="228">
        <f>CavityStatus[[#This Row],[Total]]</f>
        <v>45960.68</v>
      </c>
      <c r="K58" s="230">
        <f>IF(CavityStatus[[#This Row],[Accept Date]]&lt;&gt;0,CavityStatus[[#This Row],[Accept Date]],"")</f>
        <v>42814</v>
      </c>
    </row>
    <row r="59" spans="2:11" ht="13.2" hidden="1" customHeight="1" x14ac:dyDescent="0.25">
      <c r="B59" s="229">
        <f>IF(CavityStatus[[#This Row],[Unit '#]]&lt;&gt;0,CavityStatus[[#This Row],[Unit '#]],"")</f>
        <v>56</v>
      </c>
      <c r="C59" s="226" t="str">
        <f>CavityStatus[[#This Row],[Serial '#]]</f>
        <v>CAV066</v>
      </c>
      <c r="D59" s="227">
        <f>IF(CavityStatus[[#This Row],[Actual Ship Date]]&lt;&gt;0,CavityStatus[[#This Row],[Actual Ship Date]],"")</f>
        <v>42793</v>
      </c>
      <c r="E59" s="228">
        <f>CavityStatus[[#This Row],[Incentive Earned]]</f>
        <v>1000</v>
      </c>
      <c r="F59" s="227">
        <f>IF(CavityStatus[[#This Row],[Receipt Date]]&lt;&gt;0,CavityStatus[[#This Row],[Receipt Date]],"")</f>
        <v>42793</v>
      </c>
      <c r="G59" s="228">
        <f>CavityStatus[[#This Row],[Recipe Modification (Mod 9)]]</f>
        <v>4283.18</v>
      </c>
      <c r="H59" s="228">
        <f>CavityStatus[[#This Row],[Caps            
 (Mod 10)]]</f>
        <v>490</v>
      </c>
      <c r="I59" s="228">
        <f>CavityStatus[[#This Row],[Delivery &amp; Acceptance]]</f>
        <v>40187.5</v>
      </c>
      <c r="J59" s="228">
        <f>CavityStatus[[#This Row],[Total]]</f>
        <v>45960.68</v>
      </c>
      <c r="K59" s="230">
        <f>IF(CavityStatus[[#This Row],[Accept Date]]&lt;&gt;0,CavityStatus[[#This Row],[Accept Date]],"")</f>
        <v>42814</v>
      </c>
    </row>
    <row r="60" spans="2:11" ht="13.2" hidden="1" customHeight="1" x14ac:dyDescent="0.25">
      <c r="B60" s="229">
        <f>IF(CavityStatus[[#This Row],[Unit '#]]&lt;&gt;0,CavityStatus[[#This Row],[Unit '#]],"")</f>
        <v>57</v>
      </c>
      <c r="C60" s="226" t="str">
        <f>CavityStatus[[#This Row],[Serial '#]]</f>
        <v>CAV067</v>
      </c>
      <c r="D60" s="227">
        <f>IF(CavityStatus[[#This Row],[Actual Ship Date]]&lt;&gt;0,CavityStatus[[#This Row],[Actual Ship Date]],"")</f>
        <v>42793</v>
      </c>
      <c r="E60" s="228">
        <f>CavityStatus[[#This Row],[Incentive Earned]]</f>
        <v>1000</v>
      </c>
      <c r="F60" s="227">
        <f>IF(CavityStatus[[#This Row],[Receipt Date]]&lt;&gt;0,CavityStatus[[#This Row],[Receipt Date]],"")</f>
        <v>42793</v>
      </c>
      <c r="G60" s="228">
        <f>CavityStatus[[#This Row],[Recipe Modification (Mod 9)]]</f>
        <v>4283.18</v>
      </c>
      <c r="H60" s="228">
        <f>CavityStatus[[#This Row],[Caps            
 (Mod 10)]]</f>
        <v>490</v>
      </c>
      <c r="I60" s="228">
        <f>CavityStatus[[#This Row],[Delivery &amp; Acceptance]]</f>
        <v>40187.5</v>
      </c>
      <c r="J60" s="228">
        <f>CavityStatus[[#This Row],[Total]]</f>
        <v>45960.68</v>
      </c>
      <c r="K60" s="230">
        <f>IF(CavityStatus[[#This Row],[Accept Date]]&lt;&gt;0,CavityStatus[[#This Row],[Accept Date]],"")</f>
        <v>42814</v>
      </c>
    </row>
    <row r="61" spans="2:11" ht="13.2" hidden="1" customHeight="1" x14ac:dyDescent="0.25">
      <c r="B61" s="229">
        <f>IF(CavityStatus[[#This Row],[Unit '#]]&lt;&gt;0,CavityStatus[[#This Row],[Unit '#]],"")</f>
        <v>58</v>
      </c>
      <c r="C61" s="226" t="str">
        <f>CavityStatus[[#This Row],[Serial '#]]</f>
        <v>CAV068</v>
      </c>
      <c r="D61" s="227">
        <f>IF(CavityStatus[[#This Row],[Actual Ship Date]]&lt;&gt;0,CavityStatus[[#This Row],[Actual Ship Date]],"")</f>
        <v>42793</v>
      </c>
      <c r="E61" s="228">
        <f>CavityStatus[[#This Row],[Incentive Earned]]</f>
        <v>1000</v>
      </c>
      <c r="F61" s="227">
        <f>IF(CavityStatus[[#This Row],[Receipt Date]]&lt;&gt;0,CavityStatus[[#This Row],[Receipt Date]],"")</f>
        <v>42793</v>
      </c>
      <c r="G61" s="228">
        <f>CavityStatus[[#This Row],[Recipe Modification (Mod 9)]]</f>
        <v>4283.18</v>
      </c>
      <c r="H61" s="228">
        <f>CavityStatus[[#This Row],[Caps            
 (Mod 10)]]</f>
        <v>490</v>
      </c>
      <c r="I61" s="228">
        <f>CavityStatus[[#This Row],[Delivery &amp; Acceptance]]</f>
        <v>40187.5</v>
      </c>
      <c r="J61" s="228">
        <f>CavityStatus[[#This Row],[Total]]</f>
        <v>45960.68</v>
      </c>
      <c r="K61" s="230">
        <f>IF(CavityStatus[[#This Row],[Accept Date]]&lt;&gt;0,CavityStatus[[#This Row],[Accept Date]],"")</f>
        <v>42814</v>
      </c>
    </row>
    <row r="62" spans="2:11" ht="14.4" hidden="1" thickTop="1" x14ac:dyDescent="0.25">
      <c r="B62" s="229">
        <f>IF(CavityStatus[[#This Row],[Unit '#]]&lt;&gt;0,CavityStatus[[#This Row],[Unit '#]],"")</f>
        <v>59</v>
      </c>
      <c r="C62" s="226" t="str">
        <f>CavityStatus[[#This Row],[Serial '#]]</f>
        <v>CAV065</v>
      </c>
      <c r="D62" s="227">
        <f>IF(CavityStatus[[#This Row],[Actual Ship Date]]&lt;&gt;0,CavityStatus[[#This Row],[Actual Ship Date]],"")</f>
        <v>42803</v>
      </c>
      <c r="E62" s="228">
        <f>CavityStatus[[#This Row],[Incentive Earned]]</f>
        <v>1000</v>
      </c>
      <c r="F62" s="227">
        <f>IF(CavityStatus[[#This Row],[Receipt Date]]&lt;&gt;0,CavityStatus[[#This Row],[Receipt Date]],"")</f>
        <v>42781</v>
      </c>
      <c r="G62" s="228">
        <f>CavityStatus[[#This Row],[Recipe Modification (Mod 9)]]</f>
        <v>4283.18</v>
      </c>
      <c r="H62" s="228">
        <f>CavityStatus[[#This Row],[Caps            
 (Mod 10)]]</f>
        <v>490</v>
      </c>
      <c r="I62" s="228">
        <f>CavityStatus[[#This Row],[Delivery &amp; Acceptance]]</f>
        <v>40187.5</v>
      </c>
      <c r="J62" s="228">
        <f>CavityStatus[[#This Row],[Total]]</f>
        <v>45960.68</v>
      </c>
      <c r="K62" s="230">
        <f>IF(CavityStatus[[#This Row],[Accept Date]]&lt;&gt;0,CavityStatus[[#This Row],[Accept Date]],"")</f>
        <v>42846</v>
      </c>
    </row>
    <row r="63" spans="2:11" ht="14.4" hidden="1" thickTop="1" x14ac:dyDescent="0.25">
      <c r="B63" s="229">
        <f>IF(CavityStatus[[#This Row],[Unit '#]]&lt;&gt;0,CavityStatus[[#This Row],[Unit '#]],"")</f>
        <v>60</v>
      </c>
      <c r="C63" s="226" t="str">
        <f>CavityStatus[[#This Row],[Serial '#]]</f>
        <v>CAV069</v>
      </c>
      <c r="D63" s="227">
        <f>IF(CavityStatus[[#This Row],[Actual Ship Date]]&lt;&gt;0,CavityStatus[[#This Row],[Actual Ship Date]],"")</f>
        <v>42803</v>
      </c>
      <c r="E63" s="228">
        <f>CavityStatus[[#This Row],[Incentive Earned]]</f>
        <v>1000</v>
      </c>
      <c r="F63" s="227">
        <f>IF(CavityStatus[[#This Row],[Receipt Date]]&lt;&gt;0,CavityStatus[[#This Row],[Receipt Date]],"")</f>
        <v>42781</v>
      </c>
      <c r="G63" s="228">
        <f>CavityStatus[[#This Row],[Recipe Modification (Mod 9)]]</f>
        <v>4283.18</v>
      </c>
      <c r="H63" s="228">
        <f>CavityStatus[[#This Row],[Caps            
 (Mod 10)]]</f>
        <v>490</v>
      </c>
      <c r="I63" s="228">
        <f>CavityStatus[[#This Row],[Delivery &amp; Acceptance]]</f>
        <v>40187.5</v>
      </c>
      <c r="J63" s="228">
        <f>CavityStatus[[#This Row],[Total]]</f>
        <v>45960.68</v>
      </c>
      <c r="K63" s="230">
        <f>IF(CavityStatus[[#This Row],[Accept Date]]&lt;&gt;0,CavityStatus[[#This Row],[Accept Date]],"")</f>
        <v>42846</v>
      </c>
    </row>
    <row r="64" spans="2:11" ht="14.4" hidden="1" thickTop="1" x14ac:dyDescent="0.25">
      <c r="B64" s="229">
        <f>IF(CavityStatus[[#This Row],[Unit '#]]&lt;&gt;0,CavityStatus[[#This Row],[Unit '#]],"")</f>
        <v>61</v>
      </c>
      <c r="C64" s="226" t="str">
        <f>CavityStatus[[#This Row],[Serial '#]]</f>
        <v>CAV071</v>
      </c>
      <c r="D64" s="227">
        <f>IF(CavityStatus[[#This Row],[Actual Ship Date]]&lt;&gt;0,CavityStatus[[#This Row],[Actual Ship Date]],"")</f>
        <v>42803</v>
      </c>
      <c r="E64" s="228">
        <f>CavityStatus[[#This Row],[Incentive Earned]]</f>
        <v>1000</v>
      </c>
      <c r="F64" s="227">
        <f>IF(CavityStatus[[#This Row],[Receipt Date]]&lt;&gt;0,CavityStatus[[#This Row],[Receipt Date]],"")</f>
        <v>42781</v>
      </c>
      <c r="G64" s="228">
        <f>CavityStatus[[#This Row],[Recipe Modification (Mod 9)]]</f>
        <v>4283.18</v>
      </c>
      <c r="H64" s="228">
        <f>CavityStatus[[#This Row],[Caps            
 (Mod 10)]]</f>
        <v>490</v>
      </c>
      <c r="I64" s="228">
        <f>CavityStatus[[#This Row],[Delivery &amp; Acceptance]]</f>
        <v>40187.5</v>
      </c>
      <c r="J64" s="228">
        <f>CavityStatus[[#This Row],[Total]]</f>
        <v>45960.68</v>
      </c>
      <c r="K64" s="230">
        <f>IF(CavityStatus[[#This Row],[Accept Date]]&lt;&gt;0,CavityStatus[[#This Row],[Accept Date]],"")</f>
        <v>42846</v>
      </c>
    </row>
    <row r="65" spans="2:11" ht="14.4" hidden="1" thickTop="1" x14ac:dyDescent="0.25">
      <c r="B65" s="229">
        <f>IF(CavityStatus[[#This Row],[Unit '#]]&lt;&gt;0,CavityStatus[[#This Row],[Unit '#]],"")</f>
        <v>62</v>
      </c>
      <c r="C65" s="226" t="str">
        <f>CavityStatus[[#This Row],[Serial '#]]</f>
        <v>CAV070</v>
      </c>
      <c r="D65" s="227">
        <f>IF(CavityStatus[[#This Row],[Actual Ship Date]]&lt;&gt;0,CavityStatus[[#This Row],[Actual Ship Date]],"")</f>
        <v>42816</v>
      </c>
      <c r="E65" s="228">
        <f>CavityStatus[[#This Row],[Incentive Earned]]</f>
        <v>1000</v>
      </c>
      <c r="F65" s="227">
        <f>IF(CavityStatus[[#This Row],[Receipt Date]]&lt;&gt;0,CavityStatus[[#This Row],[Receipt Date]],"")</f>
        <v>42829</v>
      </c>
      <c r="G65" s="228">
        <f>CavityStatus[[#This Row],[Recipe Modification (Mod 9)]]</f>
        <v>4283.18</v>
      </c>
      <c r="H65" s="228">
        <f>CavityStatus[[#This Row],[Caps            
 (Mod 10)]]</f>
        <v>490</v>
      </c>
      <c r="I65" s="228">
        <f>CavityStatus[[#This Row],[Delivery &amp; Acceptance]]</f>
        <v>40187.5</v>
      </c>
      <c r="J65" s="228">
        <f>CavityStatus[[#This Row],[Total]]</f>
        <v>45960.68</v>
      </c>
      <c r="K65" s="230">
        <f>IF(CavityStatus[[#This Row],[Accept Date]]&lt;&gt;0,CavityStatus[[#This Row],[Accept Date]],"")</f>
        <v>42846</v>
      </c>
    </row>
    <row r="66" spans="2:11" ht="14.4" hidden="1" thickTop="1" x14ac:dyDescent="0.25">
      <c r="B66" s="229">
        <f>IF(CavityStatus[[#This Row],[Unit '#]]&lt;&gt;0,CavityStatus[[#This Row],[Unit '#]],"")</f>
        <v>63</v>
      </c>
      <c r="C66" s="226" t="str">
        <f>CavityStatus[[#This Row],[Serial '#]]</f>
        <v>CAV072</v>
      </c>
      <c r="D66" s="227">
        <f>IF(CavityStatus[[#This Row],[Actual Ship Date]]&lt;&gt;0,CavityStatus[[#This Row],[Actual Ship Date]],"")</f>
        <v>42816</v>
      </c>
      <c r="E66" s="228">
        <f>CavityStatus[[#This Row],[Incentive Earned]]</f>
        <v>1000</v>
      </c>
      <c r="F66" s="227">
        <f>IF(CavityStatus[[#This Row],[Receipt Date]]&lt;&gt;0,CavityStatus[[#This Row],[Receipt Date]],"")</f>
        <v>42829</v>
      </c>
      <c r="G66" s="228">
        <f>CavityStatus[[#This Row],[Recipe Modification (Mod 9)]]</f>
        <v>4283.18</v>
      </c>
      <c r="H66" s="228">
        <f>CavityStatus[[#This Row],[Caps            
 (Mod 10)]]</f>
        <v>490</v>
      </c>
      <c r="I66" s="228">
        <f>CavityStatus[[#This Row],[Delivery &amp; Acceptance]]</f>
        <v>40187.5</v>
      </c>
      <c r="J66" s="228">
        <f>CavityStatus[[#This Row],[Total]]</f>
        <v>45960.68</v>
      </c>
      <c r="K66" s="230">
        <f>IF(CavityStatus[[#This Row],[Accept Date]]&lt;&gt;0,CavityStatus[[#This Row],[Accept Date]],"")</f>
        <v>42846</v>
      </c>
    </row>
    <row r="67" spans="2:11" ht="14.4" hidden="1" thickTop="1" x14ac:dyDescent="0.25">
      <c r="B67" s="229">
        <f>IF(CavityStatus[[#This Row],[Unit '#]]&lt;&gt;0,CavityStatus[[#This Row],[Unit '#]],"")</f>
        <v>64</v>
      </c>
      <c r="C67" s="226" t="str">
        <f>CavityStatus[[#This Row],[Serial '#]]</f>
        <v>CAV073</v>
      </c>
      <c r="D67" s="227">
        <f>IF(CavityStatus[[#This Row],[Actual Ship Date]]&lt;&gt;0,CavityStatus[[#This Row],[Actual Ship Date]],"")</f>
        <v>42816</v>
      </c>
      <c r="E67" s="228">
        <f>CavityStatus[[#This Row],[Incentive Earned]]</f>
        <v>1000</v>
      </c>
      <c r="F67" s="227">
        <f>IF(CavityStatus[[#This Row],[Receipt Date]]&lt;&gt;0,CavityStatus[[#This Row],[Receipt Date]],"")</f>
        <v>42829</v>
      </c>
      <c r="G67" s="228">
        <f>CavityStatus[[#This Row],[Recipe Modification (Mod 9)]]</f>
        <v>4283.18</v>
      </c>
      <c r="H67" s="228">
        <f>CavityStatus[[#This Row],[Caps            
 (Mod 10)]]</f>
        <v>490</v>
      </c>
      <c r="I67" s="228">
        <f>CavityStatus[[#This Row],[Delivery &amp; Acceptance]]</f>
        <v>40187.5</v>
      </c>
      <c r="J67" s="228">
        <f>CavityStatus[[#This Row],[Total]]</f>
        <v>45960.68</v>
      </c>
      <c r="K67" s="230">
        <f>IF(CavityStatus[[#This Row],[Accept Date]]&lt;&gt;0,CavityStatus[[#This Row],[Accept Date]],"")</f>
        <v>42846</v>
      </c>
    </row>
    <row r="68" spans="2:11" ht="14.4" hidden="1" thickTop="1" x14ac:dyDescent="0.25">
      <c r="B68" s="229">
        <f>IF(CavityStatus[[#This Row],[Unit '#]]&lt;&gt;0,CavityStatus[[#This Row],[Unit '#]],"")</f>
        <v>65</v>
      </c>
      <c r="C68" s="226" t="str">
        <f>CavityStatus[[#This Row],[Serial '#]]</f>
        <v>CAV075</v>
      </c>
      <c r="D68" s="227">
        <f>IF(CavityStatus[[#This Row],[Actual Ship Date]]&lt;&gt;0,CavityStatus[[#This Row],[Actual Ship Date]],"")</f>
        <v>42816</v>
      </c>
      <c r="E68" s="228">
        <f>CavityStatus[[#This Row],[Incentive Earned]]</f>
        <v>1000</v>
      </c>
      <c r="F68" s="227">
        <f>IF(CavityStatus[[#This Row],[Receipt Date]]&lt;&gt;0,CavityStatus[[#This Row],[Receipt Date]],"")</f>
        <v>42829</v>
      </c>
      <c r="G68" s="228">
        <f>CavityStatus[[#This Row],[Recipe Modification (Mod 9)]]</f>
        <v>4283.18</v>
      </c>
      <c r="H68" s="228">
        <f>CavityStatus[[#This Row],[Caps            
 (Mod 10)]]</f>
        <v>490</v>
      </c>
      <c r="I68" s="228">
        <f>CavityStatus[[#This Row],[Delivery &amp; Acceptance]]</f>
        <v>40187.5</v>
      </c>
      <c r="J68" s="228">
        <f>CavityStatus[[#This Row],[Total]]</f>
        <v>45960.68</v>
      </c>
      <c r="K68" s="230">
        <f>IF(CavityStatus[[#This Row],[Accept Date]]&lt;&gt;0,CavityStatus[[#This Row],[Accept Date]],"")</f>
        <v>42846</v>
      </c>
    </row>
    <row r="69" spans="2:11" ht="14.4" hidden="1" thickTop="1" x14ac:dyDescent="0.25">
      <c r="B69" s="229">
        <f>IF(CavityStatus[[#This Row],[Unit '#]]&lt;&gt;0,CavityStatus[[#This Row],[Unit '#]],"")</f>
        <v>66</v>
      </c>
      <c r="C69" s="226" t="str">
        <f>CavityStatus[[#This Row],[Serial '#]]</f>
        <v>CAV074</v>
      </c>
      <c r="D69" s="227">
        <f>IF(CavityStatus[[#This Row],[Actual Ship Date]]&lt;&gt;0,CavityStatus[[#This Row],[Actual Ship Date]],"")</f>
        <v>42818</v>
      </c>
      <c r="E69" s="228">
        <f>CavityStatus[[#This Row],[Incentive Earned]]</f>
        <v>1000</v>
      </c>
      <c r="F69" s="227">
        <f>IF(CavityStatus[[#This Row],[Receipt Date]]&lt;&gt;0,CavityStatus[[#This Row],[Receipt Date]],"")</f>
        <v>42832</v>
      </c>
      <c r="G69" s="228">
        <f>CavityStatus[[#This Row],[Recipe Modification (Mod 9)]]</f>
        <v>4283.18</v>
      </c>
      <c r="H69" s="228">
        <f>CavityStatus[[#This Row],[Caps            
 (Mod 10)]]</f>
        <v>490</v>
      </c>
      <c r="I69" s="228">
        <f>CavityStatus[[#This Row],[Delivery &amp; Acceptance]]</f>
        <v>40187.5</v>
      </c>
      <c r="J69" s="228">
        <f>CavityStatus[[#This Row],[Total]]</f>
        <v>45960.68</v>
      </c>
      <c r="K69" s="230">
        <f>IF(CavityStatus[[#This Row],[Accept Date]]&lt;&gt;0,CavityStatus[[#This Row],[Accept Date]],"")</f>
        <v>42846</v>
      </c>
    </row>
    <row r="70" spans="2:11" ht="14.4" hidden="1" thickTop="1" x14ac:dyDescent="0.25">
      <c r="B70" s="229">
        <f>IF(CavityStatus[[#This Row],[Unit '#]]&lt;&gt;0,CavityStatus[[#This Row],[Unit '#]],"")</f>
        <v>67</v>
      </c>
      <c r="C70" s="226" t="str">
        <f>CavityStatus[[#This Row],[Serial '#]]</f>
        <v>CAV076</v>
      </c>
      <c r="D70" s="227">
        <f>IF(CavityStatus[[#This Row],[Actual Ship Date]]&lt;&gt;0,CavityStatus[[#This Row],[Actual Ship Date]],"")</f>
        <v>42818</v>
      </c>
      <c r="E70" s="228">
        <f>CavityStatus[[#This Row],[Incentive Earned]]</f>
        <v>1000</v>
      </c>
      <c r="F70" s="227">
        <f>IF(CavityStatus[[#This Row],[Receipt Date]]&lt;&gt;0,CavityStatus[[#This Row],[Receipt Date]],"")</f>
        <v>42832</v>
      </c>
      <c r="G70" s="228">
        <f>CavityStatus[[#This Row],[Recipe Modification (Mod 9)]]</f>
        <v>4283.18</v>
      </c>
      <c r="H70" s="228">
        <f>CavityStatus[[#This Row],[Caps            
 (Mod 10)]]</f>
        <v>490</v>
      </c>
      <c r="I70" s="228">
        <f>CavityStatus[[#This Row],[Delivery &amp; Acceptance]]</f>
        <v>40187.5</v>
      </c>
      <c r="J70" s="228">
        <f>CavityStatus[[#This Row],[Total]]</f>
        <v>45960.68</v>
      </c>
      <c r="K70" s="230">
        <f>IF(CavityStatus[[#This Row],[Accept Date]]&lt;&gt;0,CavityStatus[[#This Row],[Accept Date]],"")</f>
        <v>42846</v>
      </c>
    </row>
    <row r="71" spans="2:11" ht="14.4" hidden="1" thickTop="1" x14ac:dyDescent="0.25">
      <c r="B71" s="229">
        <f>IF(CavityStatus[[#This Row],[Unit '#]]&lt;&gt;0,CavityStatus[[#This Row],[Unit '#]],"")</f>
        <v>68</v>
      </c>
      <c r="C71" s="226" t="str">
        <f>CavityStatus[[#This Row],[Serial '#]]</f>
        <v>CAV077</v>
      </c>
      <c r="D71" s="227">
        <f>IF(CavityStatus[[#This Row],[Actual Ship Date]]&lt;&gt;0,CavityStatus[[#This Row],[Actual Ship Date]],"")</f>
        <v>42818</v>
      </c>
      <c r="E71" s="228">
        <f>CavityStatus[[#This Row],[Incentive Earned]]</f>
        <v>1000</v>
      </c>
      <c r="F71" s="227">
        <f>IF(CavityStatus[[#This Row],[Receipt Date]]&lt;&gt;0,CavityStatus[[#This Row],[Receipt Date]],"")</f>
        <v>42832</v>
      </c>
      <c r="G71" s="228">
        <f>CavityStatus[[#This Row],[Recipe Modification (Mod 9)]]</f>
        <v>4283.18</v>
      </c>
      <c r="H71" s="228">
        <f>CavityStatus[[#This Row],[Caps            
 (Mod 10)]]</f>
        <v>490</v>
      </c>
      <c r="I71" s="228">
        <f>CavityStatus[[#This Row],[Delivery &amp; Acceptance]]</f>
        <v>40187.5</v>
      </c>
      <c r="J71" s="228">
        <f>CavityStatus[[#This Row],[Total]]</f>
        <v>45960.68</v>
      </c>
      <c r="K71" s="230">
        <f>IF(CavityStatus[[#This Row],[Accept Date]]&lt;&gt;0,CavityStatus[[#This Row],[Accept Date]],"")</f>
        <v>42846</v>
      </c>
    </row>
    <row r="72" spans="2:11" ht="14.4" hidden="1" thickTop="1" x14ac:dyDescent="0.25">
      <c r="B72" s="229">
        <f>IF(CavityStatus[[#This Row],[Unit '#]]&lt;&gt;0,CavityStatus[[#This Row],[Unit '#]],"")</f>
        <v>69</v>
      </c>
      <c r="C72" s="226" t="str">
        <f>CavityStatus[[#This Row],[Serial '#]]</f>
        <v>CAV078</v>
      </c>
      <c r="D72" s="227">
        <f>IF(CavityStatus[[#This Row],[Actual Ship Date]]&lt;&gt;0,CavityStatus[[#This Row],[Actual Ship Date]],"")</f>
        <v>42818</v>
      </c>
      <c r="E72" s="228">
        <f>CavityStatus[[#This Row],[Incentive Earned]]</f>
        <v>1000</v>
      </c>
      <c r="F72" s="227">
        <f>IF(CavityStatus[[#This Row],[Receipt Date]]&lt;&gt;0,CavityStatus[[#This Row],[Receipt Date]],"")</f>
        <v>42832</v>
      </c>
      <c r="G72" s="228">
        <f>CavityStatus[[#This Row],[Recipe Modification (Mod 9)]]</f>
        <v>4283.18</v>
      </c>
      <c r="H72" s="228">
        <f>CavityStatus[[#This Row],[Caps            
 (Mod 10)]]</f>
        <v>490</v>
      </c>
      <c r="I72" s="228">
        <f>CavityStatus[[#This Row],[Delivery &amp; Acceptance]]</f>
        <v>40187.5</v>
      </c>
      <c r="J72" s="228">
        <f>CavityStatus[[#This Row],[Total]]</f>
        <v>45960.68</v>
      </c>
      <c r="K72" s="230">
        <f>IF(CavityStatus[[#This Row],[Accept Date]]&lt;&gt;0,CavityStatus[[#This Row],[Accept Date]],"")</f>
        <v>42846</v>
      </c>
    </row>
    <row r="73" spans="2:11" ht="14.4" hidden="1" thickTop="1" x14ac:dyDescent="0.25">
      <c r="B73" s="229">
        <f>IF(CavityStatus[[#This Row],[Unit '#]]&lt;&gt;0,CavityStatus[[#This Row],[Unit '#]],"")</f>
        <v>70</v>
      </c>
      <c r="C73" s="226" t="str">
        <f>CavityStatus[[#This Row],[Serial '#]]</f>
        <v>CAV079</v>
      </c>
      <c r="D73" s="227">
        <f>IF(CavityStatus[[#This Row],[Actual Ship Date]]&lt;&gt;0,CavityStatus[[#This Row],[Actual Ship Date]],"")</f>
        <v>42825</v>
      </c>
      <c r="E73" s="228">
        <f>CavityStatus[[#This Row],[Incentive Earned]]</f>
        <v>1000</v>
      </c>
      <c r="F73" s="227">
        <f>IF(CavityStatus[[#This Row],[Receipt Date]]&lt;&gt;0,CavityStatus[[#This Row],[Receipt Date]],"")</f>
        <v>42838</v>
      </c>
      <c r="G73" s="228">
        <f>CavityStatus[[#This Row],[Recipe Modification (Mod 9)]]</f>
        <v>4283.18</v>
      </c>
      <c r="H73" s="228">
        <f>CavityStatus[[#This Row],[Caps            
 (Mod 10)]]</f>
        <v>490</v>
      </c>
      <c r="I73" s="228">
        <f>CavityStatus[[#This Row],[Delivery &amp; Acceptance]]</f>
        <v>40187.5</v>
      </c>
      <c r="J73" s="228">
        <f>CavityStatus[[#This Row],[Total]]</f>
        <v>45960.68</v>
      </c>
      <c r="K73" s="230">
        <f>IF(CavityStatus[[#This Row],[Accept Date]]&lt;&gt;0,CavityStatus[[#This Row],[Accept Date]],"")</f>
        <v>42846</v>
      </c>
    </row>
    <row r="74" spans="2:11" ht="14.4" hidden="1" thickTop="1" x14ac:dyDescent="0.25">
      <c r="B74" s="229">
        <f>IF(CavityStatus[[#This Row],[Unit '#]]&lt;&gt;0,CavityStatus[[#This Row],[Unit '#]],"")</f>
        <v>71</v>
      </c>
      <c r="C74" s="226" t="str">
        <f>CavityStatus[[#This Row],[Serial '#]]</f>
        <v>CAV080</v>
      </c>
      <c r="D74" s="227">
        <f>IF(CavityStatus[[#This Row],[Actual Ship Date]]&lt;&gt;0,CavityStatus[[#This Row],[Actual Ship Date]],"")</f>
        <v>42825</v>
      </c>
      <c r="E74" s="228">
        <f>CavityStatus[[#This Row],[Incentive Earned]]</f>
        <v>1000</v>
      </c>
      <c r="F74" s="227">
        <f>IF(CavityStatus[[#This Row],[Receipt Date]]&lt;&gt;0,CavityStatus[[#This Row],[Receipt Date]],"")</f>
        <v>42838</v>
      </c>
      <c r="G74" s="228">
        <f>CavityStatus[[#This Row],[Recipe Modification (Mod 9)]]</f>
        <v>4283.18</v>
      </c>
      <c r="H74" s="228">
        <f>CavityStatus[[#This Row],[Caps            
 (Mod 10)]]</f>
        <v>490</v>
      </c>
      <c r="I74" s="228">
        <f>CavityStatus[[#This Row],[Delivery &amp; Acceptance]]</f>
        <v>40187.5</v>
      </c>
      <c r="J74" s="228">
        <f>CavityStatus[[#This Row],[Total]]</f>
        <v>45960.68</v>
      </c>
      <c r="K74" s="230">
        <f>IF(CavityStatus[[#This Row],[Accept Date]]&lt;&gt;0,CavityStatus[[#This Row],[Accept Date]],"")</f>
        <v>42846</v>
      </c>
    </row>
    <row r="75" spans="2:11" ht="14.4" hidden="1" thickTop="1" x14ac:dyDescent="0.25">
      <c r="B75" s="229">
        <f>IF(CavityStatus[[#This Row],[Unit '#]]&lt;&gt;0,CavityStatus[[#This Row],[Unit '#]],"")</f>
        <v>72</v>
      </c>
      <c r="C75" s="226" t="str">
        <f>CavityStatus[[#This Row],[Serial '#]]</f>
        <v>CAV082</v>
      </c>
      <c r="D75" s="227">
        <f>IF(CavityStatus[[#This Row],[Actual Ship Date]]&lt;&gt;0,CavityStatus[[#This Row],[Actual Ship Date]],"")</f>
        <v>42825</v>
      </c>
      <c r="E75" s="228">
        <f>CavityStatus[[#This Row],[Incentive Earned]]</f>
        <v>1000</v>
      </c>
      <c r="F75" s="227">
        <f>IF(CavityStatus[[#This Row],[Receipt Date]]&lt;&gt;0,CavityStatus[[#This Row],[Receipt Date]],"")</f>
        <v>42838</v>
      </c>
      <c r="G75" s="228">
        <f>CavityStatus[[#This Row],[Recipe Modification (Mod 9)]]</f>
        <v>4283.18</v>
      </c>
      <c r="H75" s="228">
        <f>CavityStatus[[#This Row],[Caps            
 (Mod 10)]]</f>
        <v>490</v>
      </c>
      <c r="I75" s="228">
        <f>CavityStatus[[#This Row],[Delivery &amp; Acceptance]]</f>
        <v>40187.5</v>
      </c>
      <c r="J75" s="228">
        <f>CavityStatus[[#This Row],[Total]]</f>
        <v>45960.68</v>
      </c>
      <c r="K75" s="230">
        <f>IF(CavityStatus[[#This Row],[Accept Date]]&lt;&gt;0,CavityStatus[[#This Row],[Accept Date]],"")</f>
        <v>42846</v>
      </c>
    </row>
    <row r="76" spans="2:11" ht="14.4" hidden="1" thickTop="1" x14ac:dyDescent="0.25">
      <c r="B76" s="231">
        <f>IF(CavityStatus[[#This Row],[Unit '#]]&lt;&gt;0,CavityStatus[[#This Row],[Unit '#]],"")</f>
        <v>73</v>
      </c>
      <c r="C76" s="232" t="str">
        <f>CavityStatus[[#This Row],[Serial '#]]</f>
        <v>CAV083</v>
      </c>
      <c r="D76" s="233">
        <f>IF(CavityStatus[[#This Row],[Actual Ship Date]]&lt;&gt;0,CavityStatus[[#This Row],[Actual Ship Date]],"")</f>
        <v>42825</v>
      </c>
      <c r="E76" s="234">
        <f>CavityStatus[[#This Row],[Incentive Earned]]</f>
        <v>1000</v>
      </c>
      <c r="F76" s="233">
        <f>IF(CavityStatus[[#This Row],[Receipt Date]]&lt;&gt;0,CavityStatus[[#This Row],[Receipt Date]],"")</f>
        <v>42838</v>
      </c>
      <c r="G76" s="234">
        <f>CavityStatus[[#This Row],[Recipe Modification (Mod 9)]]</f>
        <v>4283.18</v>
      </c>
      <c r="H76" s="234">
        <f>CavityStatus[[#This Row],[Caps            
 (Mod 10)]]</f>
        <v>490</v>
      </c>
      <c r="I76" s="234">
        <f>CavityStatus[[#This Row],[Delivery &amp; Acceptance]]</f>
        <v>40187.5</v>
      </c>
      <c r="J76" s="234">
        <f>CavityStatus[[#This Row],[Total]]</f>
        <v>45960.68</v>
      </c>
      <c r="K76" s="235">
        <f>IF(CavityStatus[[#This Row],[Accept Date]]&lt;&gt;0,CavityStatus[[#This Row],[Accept Date]],"")</f>
        <v>42846</v>
      </c>
    </row>
    <row r="77" spans="2:11" ht="15" hidden="1" customHeight="1" thickTop="1" x14ac:dyDescent="0.25">
      <c r="B77" s="241">
        <f>IF(CavityStatus[[#This Row],[Unit '#]]&lt;&gt;0,CavityStatus[[#This Row],[Unit '#]],"")</f>
        <v>74</v>
      </c>
      <c r="C77" s="242" t="str">
        <f>CavityStatus[[#This Row],[Serial '#]]</f>
        <v>CAV081</v>
      </c>
      <c r="D77" s="243">
        <f>IF(CavityStatus[[#This Row],[Actual Ship Date]]&lt;&gt;0,CavityStatus[[#This Row],[Actual Ship Date]],"")</f>
        <v>42843</v>
      </c>
      <c r="E77" s="248">
        <f>CavityStatus[[#This Row],[Incentive Earned]]</f>
        <v>1000</v>
      </c>
      <c r="F77" s="233">
        <f>IF(CavityStatus[[#This Row],[Receipt Date]]&lt;&gt;0,CavityStatus[[#This Row],[Receipt Date]],"")</f>
        <v>42880</v>
      </c>
      <c r="G77" s="244">
        <f>CavityStatus[[#This Row],[Recipe Modification (Mod 9)]]</f>
        <v>4283.18</v>
      </c>
      <c r="H77" s="248">
        <f>CavityStatus[[#This Row],[Caps            
 (Mod 10)]]</f>
        <v>490</v>
      </c>
      <c r="I77" s="244">
        <f>CavityStatus[[#This Row],[Delivery &amp; Acceptance]]</f>
        <v>40187.5</v>
      </c>
      <c r="J77" s="244">
        <f>CavityStatus[[#This Row],[Total]]</f>
        <v>45960.68</v>
      </c>
      <c r="K77" s="245">
        <f>IF(CavityStatus[[#This Row],[Accept Date]]&lt;&gt;0,CavityStatus[[#This Row],[Accept Date]],"")</f>
        <v>42878</v>
      </c>
    </row>
    <row r="78" spans="2:11" ht="15" hidden="1" customHeight="1" x14ac:dyDescent="0.25">
      <c r="B78" s="246">
        <f>IF(CavityStatus[[#This Row],[Unit '#]]&lt;&gt;0,CavityStatus[[#This Row],[Unit '#]],"")</f>
        <v>75</v>
      </c>
      <c r="C78" s="226" t="str">
        <f>CavityStatus[[#This Row],[Serial '#]]</f>
        <v>CAV085</v>
      </c>
      <c r="D78" s="227">
        <f>IF(CavityStatus[[#This Row],[Actual Ship Date]]&lt;&gt;0,CavityStatus[[#This Row],[Actual Ship Date]],"")</f>
        <v>42843</v>
      </c>
      <c r="E78" s="249">
        <f>CavityStatus[[#This Row],[Incentive Earned]]</f>
        <v>1000</v>
      </c>
      <c r="F78" s="233">
        <f>IF(CavityStatus[[#This Row],[Receipt Date]]&lt;&gt;0,CavityStatus[[#This Row],[Receipt Date]],"")</f>
        <v>42880</v>
      </c>
      <c r="G78" s="228">
        <f>CavityStatus[[#This Row],[Recipe Modification (Mod 9)]]</f>
        <v>4283.18</v>
      </c>
      <c r="H78" s="249">
        <f>CavityStatus[[#This Row],[Caps            
 (Mod 10)]]</f>
        <v>490</v>
      </c>
      <c r="I78" s="228">
        <f>CavityStatus[[#This Row],[Delivery &amp; Acceptance]]</f>
        <v>40187.5</v>
      </c>
      <c r="J78" s="228">
        <f>CavityStatus[[#This Row],[Total]]</f>
        <v>45960.68</v>
      </c>
      <c r="K78" s="247">
        <f>IF(CavityStatus[[#This Row],[Accept Date]]&lt;&gt;0,CavityStatus[[#This Row],[Accept Date]],"")</f>
        <v>42878</v>
      </c>
    </row>
    <row r="79" spans="2:11" ht="15" hidden="1" customHeight="1" x14ac:dyDescent="0.25">
      <c r="B79" s="246">
        <f>IF(CavityStatus[[#This Row],[Unit '#]]&lt;&gt;0,CavityStatus[[#This Row],[Unit '#]],"")</f>
        <v>76</v>
      </c>
      <c r="C79" s="226" t="str">
        <f>CavityStatus[[#This Row],[Serial '#]]</f>
        <v>CAV086</v>
      </c>
      <c r="D79" s="227">
        <f>IF(CavityStatus[[#This Row],[Actual Ship Date]]&lt;&gt;0,CavityStatus[[#This Row],[Actual Ship Date]],"")</f>
        <v>42843</v>
      </c>
      <c r="E79" s="249">
        <f>CavityStatus[[#This Row],[Incentive Earned]]</f>
        <v>1000</v>
      </c>
      <c r="F79" s="233">
        <f>IF(CavityStatus[[#This Row],[Receipt Date]]&lt;&gt;0,CavityStatus[[#This Row],[Receipt Date]],"")</f>
        <v>42880</v>
      </c>
      <c r="G79" s="228">
        <f>CavityStatus[[#This Row],[Recipe Modification (Mod 9)]]</f>
        <v>4283.18</v>
      </c>
      <c r="H79" s="249">
        <f>CavityStatus[[#This Row],[Caps            
 (Mod 10)]]</f>
        <v>490</v>
      </c>
      <c r="I79" s="228">
        <f>CavityStatus[[#This Row],[Delivery &amp; Acceptance]]</f>
        <v>40187.5</v>
      </c>
      <c r="J79" s="228">
        <f>CavityStatus[[#This Row],[Total]]</f>
        <v>45960.68</v>
      </c>
      <c r="K79" s="247">
        <f>IF(CavityStatus[[#This Row],[Accept Date]]&lt;&gt;0,CavityStatus[[#This Row],[Accept Date]],"")</f>
        <v>42878</v>
      </c>
    </row>
    <row r="80" spans="2:11" ht="15" hidden="1" customHeight="1" x14ac:dyDescent="0.25">
      <c r="B80" s="246">
        <f>IF(CavityStatus[[#This Row],[Unit '#]]&lt;&gt;0,CavityStatus[[#This Row],[Unit '#]],"")</f>
        <v>77</v>
      </c>
      <c r="C80" s="226" t="str">
        <f>CavityStatus[[#This Row],[Serial '#]]</f>
        <v>CAV057</v>
      </c>
      <c r="D80" s="227">
        <f>IF(CavityStatus[[#This Row],[Actual Ship Date]]&lt;&gt;0,CavityStatus[[#This Row],[Actual Ship Date]],"")</f>
        <v>42853</v>
      </c>
      <c r="E80" s="249">
        <f>CavityStatus[[#This Row],[Incentive Earned]]</f>
        <v>1000</v>
      </c>
      <c r="F80" s="233">
        <f>IF(CavityStatus[[#This Row],[Receipt Date]]&lt;&gt;0,CavityStatus[[#This Row],[Receipt Date]],"")</f>
        <v>42860</v>
      </c>
      <c r="G80" s="228">
        <f>CavityStatus[[#This Row],[Recipe Modification (Mod 9)]]</f>
        <v>4283.18</v>
      </c>
      <c r="H80" s="249">
        <f>CavityStatus[[#This Row],[Caps            
 (Mod 10)]]</f>
        <v>490</v>
      </c>
      <c r="I80" s="228">
        <f>CavityStatus[[#This Row],[Delivery &amp; Acceptance]]</f>
        <v>40187.5</v>
      </c>
      <c r="J80" s="228">
        <f>CavityStatus[[#This Row],[Total]]</f>
        <v>45960.68</v>
      </c>
      <c r="K80" s="247">
        <f>IF(CavityStatus[[#This Row],[Accept Date]]&lt;&gt;0,CavityStatus[[#This Row],[Accept Date]],"")</f>
        <v>42878</v>
      </c>
    </row>
    <row r="81" spans="2:11" ht="15" hidden="1" customHeight="1" x14ac:dyDescent="0.25">
      <c r="B81" s="246">
        <f>IF(CavityStatus[[#This Row],[Unit '#]]&lt;&gt;0,CavityStatus[[#This Row],[Unit '#]],"")</f>
        <v>78</v>
      </c>
      <c r="C81" s="226" t="str">
        <f>CavityStatus[[#This Row],[Serial '#]]</f>
        <v>CAV061</v>
      </c>
      <c r="D81" s="227">
        <f>IF(CavityStatus[[#This Row],[Actual Ship Date]]&lt;&gt;0,CavityStatus[[#This Row],[Actual Ship Date]],"")</f>
        <v>42853</v>
      </c>
      <c r="E81" s="249">
        <f>CavityStatus[[#This Row],[Incentive Earned]]</f>
        <v>1000</v>
      </c>
      <c r="F81" s="233">
        <f>IF(CavityStatus[[#This Row],[Receipt Date]]&lt;&gt;0,CavityStatus[[#This Row],[Receipt Date]],"")</f>
        <v>42860</v>
      </c>
      <c r="G81" s="228">
        <f>CavityStatus[[#This Row],[Recipe Modification (Mod 9)]]</f>
        <v>4283.18</v>
      </c>
      <c r="H81" s="249">
        <f>CavityStatus[[#This Row],[Caps            
 (Mod 10)]]</f>
        <v>490</v>
      </c>
      <c r="I81" s="228">
        <f>CavityStatus[[#This Row],[Delivery &amp; Acceptance]]</f>
        <v>40187.5</v>
      </c>
      <c r="J81" s="228">
        <f>CavityStatus[[#This Row],[Total]]</f>
        <v>45960.68</v>
      </c>
      <c r="K81" s="247">
        <f>IF(CavityStatus[[#This Row],[Accept Date]]&lt;&gt;0,CavityStatus[[#This Row],[Accept Date]],"")</f>
        <v>42878</v>
      </c>
    </row>
    <row r="82" spans="2:11" ht="15" hidden="1" customHeight="1" x14ac:dyDescent="0.25">
      <c r="B82" s="246">
        <f>IF(CavityStatus[[#This Row],[Unit '#]]&lt;&gt;0,CavityStatus[[#This Row],[Unit '#]],"")</f>
        <v>79</v>
      </c>
      <c r="C82" s="226" t="str">
        <f>CavityStatus[[#This Row],[Serial '#]]</f>
        <v>CAV062</v>
      </c>
      <c r="D82" s="227">
        <f>IF(CavityStatus[[#This Row],[Actual Ship Date]]&lt;&gt;0,CavityStatus[[#This Row],[Actual Ship Date]],"")</f>
        <v>42853</v>
      </c>
      <c r="E82" s="249">
        <f>CavityStatus[[#This Row],[Incentive Earned]]</f>
        <v>1000</v>
      </c>
      <c r="F82" s="233">
        <f>IF(CavityStatus[[#This Row],[Receipt Date]]&lt;&gt;0,CavityStatus[[#This Row],[Receipt Date]],"")</f>
        <v>42860</v>
      </c>
      <c r="G82" s="228">
        <f>CavityStatus[[#This Row],[Recipe Modification (Mod 9)]]</f>
        <v>4283.18</v>
      </c>
      <c r="H82" s="249">
        <f>CavityStatus[[#This Row],[Caps            
 (Mod 10)]]</f>
        <v>490</v>
      </c>
      <c r="I82" s="228">
        <f>CavityStatus[[#This Row],[Delivery &amp; Acceptance]]</f>
        <v>40187.5</v>
      </c>
      <c r="J82" s="228">
        <f>CavityStatus[[#This Row],[Total]]</f>
        <v>45960.68</v>
      </c>
      <c r="K82" s="247">
        <f>IF(CavityStatus[[#This Row],[Accept Date]]&lt;&gt;0,CavityStatus[[#This Row],[Accept Date]],"")</f>
        <v>42878</v>
      </c>
    </row>
    <row r="83" spans="2:11" ht="15" hidden="1" customHeight="1" x14ac:dyDescent="0.25">
      <c r="B83" s="246">
        <f>IF(CavityStatus[[#This Row],[Unit '#]]&lt;&gt;0,CavityStatus[[#This Row],[Unit '#]],"")</f>
        <v>80</v>
      </c>
      <c r="C83" s="226" t="str">
        <f>CavityStatus[[#This Row],[Serial '#]]</f>
        <v>CAV063</v>
      </c>
      <c r="D83" s="227">
        <f>IF(CavityStatus[[#This Row],[Actual Ship Date]]&lt;&gt;0,CavityStatus[[#This Row],[Actual Ship Date]],"")</f>
        <v>42853</v>
      </c>
      <c r="E83" s="249">
        <f>CavityStatus[[#This Row],[Incentive Earned]]</f>
        <v>1000</v>
      </c>
      <c r="F83" s="233">
        <f>IF(CavityStatus[[#This Row],[Receipt Date]]&lt;&gt;0,CavityStatus[[#This Row],[Receipt Date]],"")</f>
        <v>42860</v>
      </c>
      <c r="G83" s="228">
        <f>CavityStatus[[#This Row],[Recipe Modification (Mod 9)]]</f>
        <v>4283.18</v>
      </c>
      <c r="H83" s="249">
        <f>CavityStatus[[#This Row],[Caps            
 (Mod 10)]]</f>
        <v>490</v>
      </c>
      <c r="I83" s="228">
        <f>CavityStatus[[#This Row],[Delivery &amp; Acceptance]]</f>
        <v>40187.5</v>
      </c>
      <c r="J83" s="228">
        <f>CavityStatus[[#This Row],[Total]]</f>
        <v>45960.68</v>
      </c>
      <c r="K83" s="247">
        <f>IF(CavityStatus[[#This Row],[Accept Date]]&lt;&gt;0,CavityStatus[[#This Row],[Accept Date]],"")</f>
        <v>42878</v>
      </c>
    </row>
    <row r="84" spans="2:11" ht="15" hidden="1" customHeight="1" x14ac:dyDescent="0.25">
      <c r="B84" s="246">
        <f>IF(CavityStatus[[#This Row],[Unit '#]]&lt;&gt;0,CavityStatus[[#This Row],[Unit '#]],"")</f>
        <v>81</v>
      </c>
      <c r="C84" s="226" t="str">
        <f>CavityStatus[[#This Row],[Serial '#]]</f>
        <v>CAV053</v>
      </c>
      <c r="D84" s="227">
        <f>IF(CavityStatus[[#This Row],[Actual Ship Date]]&lt;&gt;0,CavityStatus[[#This Row],[Actual Ship Date]],"")</f>
        <v>42865</v>
      </c>
      <c r="E84" s="249">
        <f>CavityStatus[[#This Row],[Incentive Earned]]</f>
        <v>1000</v>
      </c>
      <c r="F84" s="233">
        <f>IF(CavityStatus[[#This Row],[Receipt Date]]&lt;&gt;0,CavityStatus[[#This Row],[Receipt Date]],"")</f>
        <v>42872</v>
      </c>
      <c r="G84" s="228">
        <f>CavityStatus[[#This Row],[Recipe Modification (Mod 9)]]</f>
        <v>4283.18</v>
      </c>
      <c r="H84" s="249">
        <f>CavityStatus[[#This Row],[Caps            
 (Mod 10)]]</f>
        <v>490</v>
      </c>
      <c r="I84" s="228">
        <f>CavityStatus[[#This Row],[Delivery &amp; Acceptance]]</f>
        <v>40187.5</v>
      </c>
      <c r="J84" s="228">
        <f>CavityStatus[[#This Row],[Total]]</f>
        <v>45960.68</v>
      </c>
      <c r="K84" s="247">
        <f>IF(CavityStatus[[#This Row],[Accept Date]]&lt;&gt;0,CavityStatus[[#This Row],[Accept Date]],"")</f>
        <v>42878</v>
      </c>
    </row>
    <row r="85" spans="2:11" ht="15" hidden="1" customHeight="1" x14ac:dyDescent="0.25">
      <c r="B85" s="246">
        <f>IF(CavityStatus[[#This Row],[Unit '#]]&lt;&gt;0,CavityStatus[[#This Row],[Unit '#]],"")</f>
        <v>82</v>
      </c>
      <c r="C85" s="226" t="str">
        <f>CavityStatus[[#This Row],[Serial '#]]</f>
        <v>CAV056</v>
      </c>
      <c r="D85" s="227">
        <f>IF(CavityStatus[[#This Row],[Actual Ship Date]]&lt;&gt;0,CavityStatus[[#This Row],[Actual Ship Date]],"")</f>
        <v>42865</v>
      </c>
      <c r="E85" s="249">
        <f>CavityStatus[[#This Row],[Incentive Earned]]</f>
        <v>1000</v>
      </c>
      <c r="F85" s="233">
        <f>IF(CavityStatus[[#This Row],[Receipt Date]]&lt;&gt;0,CavityStatus[[#This Row],[Receipt Date]],"")</f>
        <v>42872</v>
      </c>
      <c r="G85" s="228">
        <f>CavityStatus[[#This Row],[Recipe Modification (Mod 9)]]</f>
        <v>4283.18</v>
      </c>
      <c r="H85" s="249">
        <f>CavityStatus[[#This Row],[Caps            
 (Mod 10)]]</f>
        <v>490</v>
      </c>
      <c r="I85" s="228">
        <f>CavityStatus[[#This Row],[Delivery &amp; Acceptance]]</f>
        <v>40187.5</v>
      </c>
      <c r="J85" s="228">
        <f>CavityStatus[[#This Row],[Total]]</f>
        <v>45960.68</v>
      </c>
      <c r="K85" s="247">
        <f>IF(CavityStatus[[#This Row],[Accept Date]]&lt;&gt;0,CavityStatus[[#This Row],[Accept Date]],"")</f>
        <v>42878</v>
      </c>
    </row>
    <row r="86" spans="2:11" ht="15" hidden="1" customHeight="1" x14ac:dyDescent="0.25">
      <c r="B86" s="246">
        <f>IF(CavityStatus[[#This Row],[Unit '#]]&lt;&gt;0,CavityStatus[[#This Row],[Unit '#]],"")</f>
        <v>83</v>
      </c>
      <c r="C86" s="226" t="str">
        <f>CavityStatus[[#This Row],[Serial '#]]</f>
        <v>CAV059</v>
      </c>
      <c r="D86" s="227">
        <f>IF(CavityStatus[[#This Row],[Actual Ship Date]]&lt;&gt;0,CavityStatus[[#This Row],[Actual Ship Date]],"")</f>
        <v>42865</v>
      </c>
      <c r="E86" s="249">
        <f>CavityStatus[[#This Row],[Incentive Earned]]</f>
        <v>1000</v>
      </c>
      <c r="F86" s="233">
        <f>IF(CavityStatus[[#This Row],[Receipt Date]]&lt;&gt;0,CavityStatus[[#This Row],[Receipt Date]],"")</f>
        <v>42872</v>
      </c>
      <c r="G86" s="228">
        <f>CavityStatus[[#This Row],[Recipe Modification (Mod 9)]]</f>
        <v>4283.18</v>
      </c>
      <c r="H86" s="249">
        <f>CavityStatus[[#This Row],[Caps            
 (Mod 10)]]</f>
        <v>490</v>
      </c>
      <c r="I86" s="228">
        <f>CavityStatus[[#This Row],[Delivery &amp; Acceptance]]</f>
        <v>40187.5</v>
      </c>
      <c r="J86" s="228">
        <f>CavityStatus[[#This Row],[Total]]</f>
        <v>45960.68</v>
      </c>
      <c r="K86" s="247">
        <f>IF(CavityStatus[[#This Row],[Accept Date]]&lt;&gt;0,CavityStatus[[#This Row],[Accept Date]],"")</f>
        <v>42878</v>
      </c>
    </row>
    <row r="87" spans="2:11" ht="15" hidden="1" customHeight="1" x14ac:dyDescent="0.25">
      <c r="B87" s="246">
        <f>IF(CavityStatus[[#This Row],[Unit '#]]&lt;&gt;0,CavityStatus[[#This Row],[Unit '#]],"")</f>
        <v>84</v>
      </c>
      <c r="C87" s="226" t="str">
        <f>CavityStatus[[#This Row],[Serial '#]]</f>
        <v>CAV060</v>
      </c>
      <c r="D87" s="227">
        <f>IF(CavityStatus[[#This Row],[Actual Ship Date]]&lt;&gt;0,CavityStatus[[#This Row],[Actual Ship Date]],"")</f>
        <v>42865</v>
      </c>
      <c r="E87" s="249">
        <f>CavityStatus[[#This Row],[Incentive Earned]]</f>
        <v>1000</v>
      </c>
      <c r="F87" s="233">
        <f>IF(CavityStatus[[#This Row],[Receipt Date]]&lt;&gt;0,CavityStatus[[#This Row],[Receipt Date]],"")</f>
        <v>42872</v>
      </c>
      <c r="G87" s="228">
        <f>CavityStatus[[#This Row],[Recipe Modification (Mod 9)]]</f>
        <v>4283.18</v>
      </c>
      <c r="H87" s="249">
        <f>CavityStatus[[#This Row],[Caps            
 (Mod 10)]]</f>
        <v>490</v>
      </c>
      <c r="I87" s="228">
        <f>CavityStatus[[#This Row],[Delivery &amp; Acceptance]]</f>
        <v>40187.5</v>
      </c>
      <c r="J87" s="228">
        <f>CavityStatus[[#This Row],[Total]]</f>
        <v>45960.68</v>
      </c>
      <c r="K87" s="247">
        <f>IF(CavityStatus[[#This Row],[Accept Date]]&lt;&gt;0,CavityStatus[[#This Row],[Accept Date]],"")</f>
        <v>42878</v>
      </c>
    </row>
    <row r="88" spans="2:11" ht="13.2" customHeight="1" thickTop="1" x14ac:dyDescent="0.25">
      <c r="B88" s="246">
        <f>IF(CavityStatus[[#This Row],[Unit '#]]&lt;&gt;0,CavityStatus[[#This Row],[Unit '#]],"")</f>
        <v>85</v>
      </c>
      <c r="C88" s="226" t="str">
        <f>CavityStatus[[#This Row],[Serial '#]]</f>
        <v>CAV058</v>
      </c>
      <c r="D88" s="227">
        <f>IF(CavityStatus[[#This Row],[Actual Ship Date]]&lt;&gt;0,CavityStatus[[#This Row],[Actual Ship Date]],"")</f>
        <v>42870</v>
      </c>
      <c r="E88" s="249">
        <f>CavityStatus[[#This Row],[Incentive Earned]]</f>
        <v>1000</v>
      </c>
      <c r="F88" s="233">
        <f>IF(CavityStatus[[#This Row],[Receipt Date]]&lt;&gt;0,CavityStatus[[#This Row],[Receipt Date]],"")</f>
        <v>42877</v>
      </c>
      <c r="G88" s="228">
        <f>CavityStatus[[#This Row],[Recipe Modification (Mod 9)]]</f>
        <v>4283.18</v>
      </c>
      <c r="H88" s="249">
        <f>CavityStatus[[#This Row],[Caps            
 (Mod 10)]]</f>
        <v>490</v>
      </c>
      <c r="I88" s="228">
        <f>CavityStatus[[#This Row],[Delivery &amp; Acceptance]]</f>
        <v>40187.5</v>
      </c>
      <c r="J88" s="228">
        <f>CavityStatus[[#This Row],[Total]]</f>
        <v>45960.68</v>
      </c>
      <c r="K88" s="247">
        <f>IF(CavityStatus[[#This Row],[Accept Date]]&lt;&gt;0,CavityStatus[[#This Row],[Accept Date]],"")</f>
        <v>42916</v>
      </c>
    </row>
    <row r="89" spans="2:11" ht="13.2" customHeight="1" x14ac:dyDescent="0.25">
      <c r="B89" s="246">
        <f>IF(CavityStatus[[#This Row],[Unit '#]]&lt;&gt;0,CavityStatus[[#This Row],[Unit '#]],"")</f>
        <v>86</v>
      </c>
      <c r="C89" s="226" t="str">
        <f>CavityStatus[[#This Row],[Serial '#]]</f>
        <v>CAV091</v>
      </c>
      <c r="D89" s="227">
        <f>IF(CavityStatus[[#This Row],[Actual Ship Date]]&lt;&gt;0,CavityStatus[[#This Row],[Actual Ship Date]],"")</f>
        <v>42870</v>
      </c>
      <c r="E89" s="249">
        <f>CavityStatus[[#This Row],[Incentive Earned]]</f>
        <v>1000</v>
      </c>
      <c r="F89" s="233">
        <f>IF(CavityStatus[[#This Row],[Receipt Date]]&lt;&gt;0,CavityStatus[[#This Row],[Receipt Date]],"")</f>
        <v>42877</v>
      </c>
      <c r="G89" s="228">
        <f>CavityStatus[[#This Row],[Recipe Modification (Mod 9)]]</f>
        <v>4283.18</v>
      </c>
      <c r="H89" s="249">
        <f>CavityStatus[[#This Row],[Caps            
 (Mod 10)]]</f>
        <v>490</v>
      </c>
      <c r="I89" s="228">
        <f>CavityStatus[[#This Row],[Delivery &amp; Acceptance]]</f>
        <v>40187.5</v>
      </c>
      <c r="J89" s="228">
        <f>CavityStatus[[#This Row],[Total]]</f>
        <v>45960.68</v>
      </c>
      <c r="K89" s="247">
        <f>IF(CavityStatus[[#This Row],[Accept Date]]&lt;&gt;0,CavityStatus[[#This Row],[Accept Date]],"")</f>
        <v>42916</v>
      </c>
    </row>
    <row r="90" spans="2:11" ht="13.2" customHeight="1" x14ac:dyDescent="0.25">
      <c r="B90" s="246">
        <f>IF(CavityStatus[[#This Row],[Unit '#]]&lt;&gt;0,CavityStatus[[#This Row],[Unit '#]],"")</f>
        <v>87</v>
      </c>
      <c r="C90" s="226" t="str">
        <f>CavityStatus[[#This Row],[Serial '#]]</f>
        <v>CAV093</v>
      </c>
      <c r="D90" s="227">
        <f>IF(CavityStatus[[#This Row],[Actual Ship Date]]&lt;&gt;0,CavityStatus[[#This Row],[Actual Ship Date]],"")</f>
        <v>42870</v>
      </c>
      <c r="E90" s="249">
        <f>CavityStatus[[#This Row],[Incentive Earned]]</f>
        <v>1000</v>
      </c>
      <c r="F90" s="233">
        <f>IF(CavityStatus[[#This Row],[Receipt Date]]&lt;&gt;0,CavityStatus[[#This Row],[Receipt Date]],"")</f>
        <v>42877</v>
      </c>
      <c r="G90" s="228">
        <f>CavityStatus[[#This Row],[Recipe Modification (Mod 9)]]</f>
        <v>4283.18</v>
      </c>
      <c r="H90" s="249">
        <f>CavityStatus[[#This Row],[Caps            
 (Mod 10)]]</f>
        <v>490</v>
      </c>
      <c r="I90" s="228">
        <f>CavityStatus[[#This Row],[Delivery &amp; Acceptance]]</f>
        <v>40187.5</v>
      </c>
      <c r="J90" s="228">
        <f>CavityStatus[[#This Row],[Total]]</f>
        <v>45960.68</v>
      </c>
      <c r="K90" s="247">
        <f>IF(CavityStatus[[#This Row],[Accept Date]]&lt;&gt;0,CavityStatus[[#This Row],[Accept Date]],"")</f>
        <v>42916</v>
      </c>
    </row>
    <row r="91" spans="2:11" ht="13.2" customHeight="1" x14ac:dyDescent="0.25">
      <c r="B91" s="246">
        <f>IF(CavityStatus[[#This Row],[Unit '#]]&lt;&gt;0,CavityStatus[[#This Row],[Unit '#]],"")</f>
        <v>88</v>
      </c>
      <c r="C91" s="226" t="str">
        <f>CavityStatus[[#This Row],[Serial '#]]</f>
        <v>CAV098</v>
      </c>
      <c r="D91" s="227">
        <f>IF(CavityStatus[[#This Row],[Actual Ship Date]]&lt;&gt;0,CavityStatus[[#This Row],[Actual Ship Date]],"")</f>
        <v>42870</v>
      </c>
      <c r="E91" s="249">
        <f>CavityStatus[[#This Row],[Incentive Earned]]</f>
        <v>1000</v>
      </c>
      <c r="F91" s="233">
        <f>IF(CavityStatus[[#This Row],[Receipt Date]]&lt;&gt;0,CavityStatus[[#This Row],[Receipt Date]],"")</f>
        <v>42877</v>
      </c>
      <c r="G91" s="228">
        <f>CavityStatus[[#This Row],[Recipe Modification (Mod 9)]]</f>
        <v>4283.18</v>
      </c>
      <c r="H91" s="249">
        <f>CavityStatus[[#This Row],[Caps            
 (Mod 10)]]</f>
        <v>490</v>
      </c>
      <c r="I91" s="228">
        <f>CavityStatus[[#This Row],[Delivery &amp; Acceptance]]</f>
        <v>40187.5</v>
      </c>
      <c r="J91" s="228">
        <f>CavityStatus[[#This Row],[Total]]</f>
        <v>45960.68</v>
      </c>
      <c r="K91" s="247">
        <f>IF(CavityStatus[[#This Row],[Accept Date]]&lt;&gt;0,CavityStatus[[#This Row],[Accept Date]],"")</f>
        <v>42916</v>
      </c>
    </row>
    <row r="92" spans="2:11" ht="13.2" customHeight="1" x14ac:dyDescent="0.25">
      <c r="B92" s="236">
        <f>IF(CavityStatus[[#This Row],[Unit '#]]&lt;&gt;0,CavityStatus[[#This Row],[Unit '#]],"")</f>
        <v>89</v>
      </c>
      <c r="C92" s="237" t="str">
        <f>CavityStatus[[#This Row],[Serial '#]]</f>
        <v>CAV084</v>
      </c>
      <c r="D92" s="238">
        <v>42884</v>
      </c>
      <c r="E92" s="239">
        <f>CavityStatus[[#This Row],[Incentive Earned]]</f>
        <v>1000</v>
      </c>
      <c r="F92" s="233">
        <f>IF(CavityStatus[[#This Row],[Receipt Date]]&lt;&gt;0,CavityStatus[[#This Row],[Receipt Date]],"")</f>
        <v>42885</v>
      </c>
      <c r="G92" s="239">
        <f>CavityStatus[[#This Row],[Recipe Modification (Mod 9)]]</f>
        <v>4283.18</v>
      </c>
      <c r="H92" s="239">
        <f>CavityStatus[[#This Row],[Caps            
 (Mod 10)]]</f>
        <v>490</v>
      </c>
      <c r="I92" s="239">
        <f>CavityStatus[[#This Row],[Delivery &amp; Acceptance]]</f>
        <v>40187.5</v>
      </c>
      <c r="J92" s="239">
        <f>CavityStatus[[#This Row],[Total]]</f>
        <v>45960.68</v>
      </c>
      <c r="K92" s="240">
        <f>IF(CavityStatus[[#This Row],[Accept Date]]&lt;&gt;0,CavityStatus[[#This Row],[Accept Date]],"")</f>
        <v>42916</v>
      </c>
    </row>
    <row r="93" spans="2:11" ht="13.2" customHeight="1" x14ac:dyDescent="0.25">
      <c r="B93" s="229">
        <f>IF(CavityStatus[[#This Row],[Unit '#]]&lt;&gt;0,CavityStatus[[#This Row],[Unit '#]],"")</f>
        <v>90</v>
      </c>
      <c r="C93" s="226" t="str">
        <f>CavityStatus[[#This Row],[Serial '#]]</f>
        <v>CAV092</v>
      </c>
      <c r="D93" s="227">
        <f>IF(CavityStatus[[#This Row],[Actual Ship Date]]&lt;&gt;0,CavityStatus[[#This Row],[Actual Ship Date]],"")</f>
        <v>42877</v>
      </c>
      <c r="E93" s="228">
        <f>CavityStatus[[#This Row],[Incentive Earned]]</f>
        <v>1000</v>
      </c>
      <c r="F93" s="233">
        <f>IF(CavityStatus[[#This Row],[Receipt Date]]&lt;&gt;0,CavityStatus[[#This Row],[Receipt Date]],"")</f>
        <v>42885</v>
      </c>
      <c r="G93" s="228">
        <f>CavityStatus[[#This Row],[Recipe Modification (Mod 9)]]</f>
        <v>4283.18</v>
      </c>
      <c r="H93" s="228">
        <f>CavityStatus[[#This Row],[Caps            
 (Mod 10)]]</f>
        <v>490</v>
      </c>
      <c r="I93" s="228">
        <f>CavityStatus[[#This Row],[Delivery &amp; Acceptance]]</f>
        <v>40187.5</v>
      </c>
      <c r="J93" s="228">
        <f>CavityStatus[[#This Row],[Total]]</f>
        <v>45960.68</v>
      </c>
      <c r="K93" s="230">
        <f>IF(CavityStatus[[#This Row],[Accept Date]]&lt;&gt;0,CavityStatus[[#This Row],[Accept Date]],"")</f>
        <v>42916</v>
      </c>
    </row>
    <row r="94" spans="2:11" ht="13.2" customHeight="1" x14ac:dyDescent="0.25">
      <c r="B94" s="229">
        <f>IF(CavityStatus[[#This Row],[Unit '#]]&lt;&gt;0,CavityStatus[[#This Row],[Unit '#]],"")</f>
        <v>91</v>
      </c>
      <c r="C94" s="226" t="str">
        <f>CavityStatus[[#This Row],[Serial '#]]</f>
        <v>CAV094</v>
      </c>
      <c r="D94" s="227">
        <f>IF(CavityStatus[[#This Row],[Actual Ship Date]]&lt;&gt;0,CavityStatus[[#This Row],[Actual Ship Date]],"")</f>
        <v>42877</v>
      </c>
      <c r="E94" s="228">
        <f>CavityStatus[[#This Row],[Incentive Earned]]</f>
        <v>1000</v>
      </c>
      <c r="F94" s="233">
        <f>IF(CavityStatus[[#This Row],[Receipt Date]]&lt;&gt;0,CavityStatus[[#This Row],[Receipt Date]],"")</f>
        <v>42885</v>
      </c>
      <c r="G94" s="228">
        <f>CavityStatus[[#This Row],[Recipe Modification (Mod 9)]]</f>
        <v>4283.18</v>
      </c>
      <c r="H94" s="228">
        <f>CavityStatus[[#This Row],[Caps            
 (Mod 10)]]</f>
        <v>490</v>
      </c>
      <c r="I94" s="228">
        <f>CavityStatus[[#This Row],[Delivery &amp; Acceptance]]</f>
        <v>40187.5</v>
      </c>
      <c r="J94" s="228">
        <f>CavityStatus[[#This Row],[Total]]</f>
        <v>45960.68</v>
      </c>
      <c r="K94" s="230">
        <f>IF(CavityStatus[[#This Row],[Accept Date]]&lt;&gt;0,CavityStatus[[#This Row],[Accept Date]],"")</f>
        <v>42916</v>
      </c>
    </row>
    <row r="95" spans="2:11" ht="13.2" customHeight="1" x14ac:dyDescent="0.25">
      <c r="B95" s="229">
        <f>IF(CavityStatus[[#This Row],[Unit '#]]&lt;&gt;0,CavityStatus[[#This Row],[Unit '#]],"")</f>
        <v>92</v>
      </c>
      <c r="C95" s="226" t="str">
        <f>CavityStatus[[#This Row],[Serial '#]]</f>
        <v>CAV104</v>
      </c>
      <c r="D95" s="227">
        <f>IF(CavityStatus[[#This Row],[Actual Ship Date]]&lt;&gt;0,CavityStatus[[#This Row],[Actual Ship Date]],"")</f>
        <v>42877</v>
      </c>
      <c r="E95" s="228">
        <f>CavityStatus[[#This Row],[Incentive Earned]]</f>
        <v>1000</v>
      </c>
      <c r="F95" s="233">
        <f>IF(CavityStatus[[#This Row],[Receipt Date]]&lt;&gt;0,CavityStatus[[#This Row],[Receipt Date]],"")</f>
        <v>42885</v>
      </c>
      <c r="G95" s="228">
        <f>CavityStatus[[#This Row],[Recipe Modification (Mod 9)]]</f>
        <v>4283.18</v>
      </c>
      <c r="H95" s="228">
        <f>CavityStatus[[#This Row],[Caps            
 (Mod 10)]]</f>
        <v>490</v>
      </c>
      <c r="I95" s="228">
        <f>CavityStatus[[#This Row],[Delivery &amp; Acceptance]]</f>
        <v>40187.5</v>
      </c>
      <c r="J95" s="228">
        <f>CavityStatus[[#This Row],[Total]]</f>
        <v>45960.68</v>
      </c>
      <c r="K95" s="230">
        <f>IF(CavityStatus[[#This Row],[Accept Date]]&lt;&gt;0,CavityStatus[[#This Row],[Accept Date]],"")</f>
        <v>42916</v>
      </c>
    </row>
    <row r="96" spans="2:11" ht="13.2" customHeight="1" x14ac:dyDescent="0.25">
      <c r="B96" s="229">
        <f>IF(CavityStatus[[#This Row],[Unit '#]]&lt;&gt;0,CavityStatus[[#This Row],[Unit '#]],"")</f>
        <v>93</v>
      </c>
      <c r="C96" s="226" t="str">
        <f>CavityStatus[[#This Row],[Serial '#]]</f>
        <v>CAV103</v>
      </c>
      <c r="D96" s="227">
        <f>IF(CavityStatus[[#This Row],[Actual Ship Date]]&lt;&gt;0,CavityStatus[[#This Row],[Actual Ship Date]],"")</f>
        <v>42888</v>
      </c>
      <c r="E96" s="228">
        <f>CavityStatus[[#This Row],[Incentive Earned]]</f>
        <v>1000</v>
      </c>
      <c r="F96" s="233">
        <f>IF(CavityStatus[[#This Row],[Receipt Date]]&lt;&gt;0,CavityStatus[[#This Row],[Receipt Date]],"")</f>
        <v>42895</v>
      </c>
      <c r="G96" s="228">
        <f>CavityStatus[[#This Row],[Recipe Modification (Mod 9)]]</f>
        <v>4283.18</v>
      </c>
      <c r="H96" s="228">
        <f>CavityStatus[[#This Row],[Caps            
 (Mod 10)]]</f>
        <v>490</v>
      </c>
      <c r="I96" s="228">
        <f>CavityStatus[[#This Row],[Delivery &amp; Acceptance]]</f>
        <v>40187.5</v>
      </c>
      <c r="J96" s="228">
        <f>CavityStatus[[#This Row],[Total]]</f>
        <v>45960.68</v>
      </c>
      <c r="K96" s="230">
        <f>IF(CavityStatus[[#This Row],[Accept Date]]&lt;&gt;0,CavityStatus[[#This Row],[Accept Date]],"")</f>
        <v>42916</v>
      </c>
    </row>
    <row r="97" spans="2:11" ht="13.2" customHeight="1" x14ac:dyDescent="0.25">
      <c r="B97" s="229">
        <f>IF(CavityStatus[[#This Row],[Unit '#]]&lt;&gt;0,CavityStatus[[#This Row],[Unit '#]],"")</f>
        <v>94</v>
      </c>
      <c r="C97" s="226" t="str">
        <f>CavityStatus[[#This Row],[Serial '#]]</f>
        <v>CAV108</v>
      </c>
      <c r="D97" s="227">
        <v>42884</v>
      </c>
      <c r="E97" s="228">
        <f>CavityStatus[[#This Row],[Incentive Earned]]</f>
        <v>1000</v>
      </c>
      <c r="F97" s="233">
        <f>IF(CavityStatus[[#This Row],[Receipt Date]]&lt;&gt;0,CavityStatus[[#This Row],[Receipt Date]],"")</f>
        <v>42895</v>
      </c>
      <c r="G97" s="228">
        <f>CavityStatus[[#This Row],[Recipe Modification (Mod 9)]]</f>
        <v>4283.18</v>
      </c>
      <c r="H97" s="228">
        <f>CavityStatus[[#This Row],[Caps            
 (Mod 10)]]</f>
        <v>490</v>
      </c>
      <c r="I97" s="228">
        <f>CavityStatus[[#This Row],[Delivery &amp; Acceptance]]</f>
        <v>40187.5</v>
      </c>
      <c r="J97" s="228">
        <f>CavityStatus[[#This Row],[Total]]</f>
        <v>45960.68</v>
      </c>
      <c r="K97" s="230">
        <f>IF(CavityStatus[[#This Row],[Accept Date]]&lt;&gt;0,CavityStatus[[#This Row],[Accept Date]],"")</f>
        <v>42916</v>
      </c>
    </row>
    <row r="98" spans="2:11" ht="13.2" customHeight="1" x14ac:dyDescent="0.25">
      <c r="B98" s="229">
        <f>IF(CavityStatus[[#This Row],[Unit '#]]&lt;&gt;0,CavityStatus[[#This Row],[Unit '#]],"")</f>
        <v>95</v>
      </c>
      <c r="C98" s="226" t="str">
        <f>CavityStatus[[#This Row],[Serial '#]]</f>
        <v>CAV110</v>
      </c>
      <c r="D98" s="227">
        <v>42884</v>
      </c>
      <c r="E98" s="228">
        <f>CavityStatus[[#This Row],[Incentive Earned]]</f>
        <v>1000</v>
      </c>
      <c r="F98" s="233">
        <f>IF(CavityStatus[[#This Row],[Receipt Date]]&lt;&gt;0,CavityStatus[[#This Row],[Receipt Date]],"")</f>
        <v>42895</v>
      </c>
      <c r="G98" s="228">
        <f>CavityStatus[[#This Row],[Recipe Modification (Mod 9)]]</f>
        <v>4283.18</v>
      </c>
      <c r="H98" s="228">
        <f>CavityStatus[[#This Row],[Caps            
 (Mod 10)]]</f>
        <v>490</v>
      </c>
      <c r="I98" s="228">
        <f>CavityStatus[[#This Row],[Delivery &amp; Acceptance]]</f>
        <v>40187.5</v>
      </c>
      <c r="J98" s="228">
        <f>CavityStatus[[#This Row],[Total]]</f>
        <v>45960.68</v>
      </c>
      <c r="K98" s="230">
        <f>IF(CavityStatus[[#This Row],[Accept Date]]&lt;&gt;0,CavityStatus[[#This Row],[Accept Date]],"")</f>
        <v>42916</v>
      </c>
    </row>
    <row r="99" spans="2:11" ht="13.2" customHeight="1" x14ac:dyDescent="0.25">
      <c r="B99" s="229">
        <f>IF(CavityStatus[[#This Row],[Unit '#]]&lt;&gt;0,CavityStatus[[#This Row],[Unit '#]],"")</f>
        <v>96</v>
      </c>
      <c r="C99" s="226" t="str">
        <f>CavityStatus[[#This Row],[Serial '#]]</f>
        <v>CAV111</v>
      </c>
      <c r="D99" s="227">
        <f>IF(CavityStatus[[#This Row],[Actual Ship Date]]&lt;&gt;0,CavityStatus[[#This Row],[Actual Ship Date]],"")</f>
        <v>42888</v>
      </c>
      <c r="E99" s="228">
        <f>CavityStatus[[#This Row],[Incentive Earned]]</f>
        <v>1000</v>
      </c>
      <c r="F99" s="233">
        <f>IF(CavityStatus[[#This Row],[Receipt Date]]&lt;&gt;0,CavityStatus[[#This Row],[Receipt Date]],"")</f>
        <v>42895</v>
      </c>
      <c r="G99" s="228">
        <f>CavityStatus[[#This Row],[Recipe Modification (Mod 9)]]</f>
        <v>4283.18</v>
      </c>
      <c r="H99" s="228">
        <f>CavityStatus[[#This Row],[Caps            
 (Mod 10)]]</f>
        <v>490</v>
      </c>
      <c r="I99" s="228">
        <f>CavityStatus[[#This Row],[Delivery &amp; Acceptance]]</f>
        <v>40187.5</v>
      </c>
      <c r="J99" s="228">
        <f>CavityStatus[[#This Row],[Total]]</f>
        <v>45960.68</v>
      </c>
      <c r="K99" s="230">
        <f>IF(CavityStatus[[#This Row],[Accept Date]]&lt;&gt;0,CavityStatus[[#This Row],[Accept Date]],"")</f>
        <v>42916</v>
      </c>
    </row>
    <row r="100" spans="2:11" ht="13.2" customHeight="1" x14ac:dyDescent="0.25">
      <c r="B100" s="229">
        <f>IF(CavityStatus[[#This Row],[Unit '#]]&lt;&gt;0,CavityStatus[[#This Row],[Unit '#]],"")</f>
        <v>97</v>
      </c>
      <c r="C100" s="226" t="str">
        <f>CavityStatus[[#This Row],[Serial '#]]</f>
        <v>CAV087</v>
      </c>
      <c r="D100" s="227">
        <f>IF(CavityStatus[[#This Row],[Actual Ship Date]]&lt;&gt;0,CavityStatus[[#This Row],[Actual Ship Date]],"")</f>
        <v>42895</v>
      </c>
      <c r="E100" s="228">
        <f>CavityStatus[[#This Row],[Incentive Earned]]</f>
        <v>1000</v>
      </c>
      <c r="F100" s="233">
        <f>IF(CavityStatus[[#This Row],[Receipt Date]]&lt;&gt;0,CavityStatus[[#This Row],[Receipt Date]],"")</f>
        <v>42901</v>
      </c>
      <c r="G100" s="228">
        <f>CavityStatus[[#This Row],[Recipe Modification (Mod 9)]]</f>
        <v>4283.18</v>
      </c>
      <c r="H100" s="228">
        <f>CavityStatus[[#This Row],[Caps            
 (Mod 10)]]</f>
        <v>490</v>
      </c>
      <c r="I100" s="228">
        <f>CavityStatus[[#This Row],[Delivery &amp; Acceptance]]</f>
        <v>40187.5</v>
      </c>
      <c r="J100" s="228">
        <f>CavityStatus[[#This Row],[Total]]</f>
        <v>45960.68</v>
      </c>
      <c r="K100" s="230">
        <f>IF(CavityStatus[[#This Row],[Accept Date]]&lt;&gt;0,CavityStatus[[#This Row],[Accept Date]],"")</f>
        <v>42916</v>
      </c>
    </row>
    <row r="101" spans="2:11" ht="13.2" customHeight="1" x14ac:dyDescent="0.25">
      <c r="B101" s="229">
        <f>IF(CavityStatus[[#This Row],[Unit '#]]&lt;&gt;0,CavityStatus[[#This Row],[Unit '#]],"")</f>
        <v>98</v>
      </c>
      <c r="C101" s="226" t="str">
        <f>CavityStatus[[#This Row],[Serial '#]]</f>
        <v>CAV088</v>
      </c>
      <c r="D101" s="227">
        <f>IF(CavityStatus[[#This Row],[Actual Ship Date]]&lt;&gt;0,CavityStatus[[#This Row],[Actual Ship Date]],"")</f>
        <v>42895</v>
      </c>
      <c r="E101" s="228">
        <f>CavityStatus[[#This Row],[Incentive Earned]]</f>
        <v>1000</v>
      </c>
      <c r="F101" s="233">
        <f>IF(CavityStatus[[#This Row],[Receipt Date]]&lt;&gt;0,CavityStatus[[#This Row],[Receipt Date]],"")</f>
        <v>42901</v>
      </c>
      <c r="G101" s="228">
        <f>CavityStatus[[#This Row],[Recipe Modification (Mod 9)]]</f>
        <v>4283.18</v>
      </c>
      <c r="H101" s="228">
        <f>CavityStatus[[#This Row],[Caps            
 (Mod 10)]]</f>
        <v>490</v>
      </c>
      <c r="I101" s="228">
        <f>CavityStatus[[#This Row],[Delivery &amp; Acceptance]]</f>
        <v>40187.5</v>
      </c>
      <c r="J101" s="228">
        <f>CavityStatus[[#This Row],[Total]]</f>
        <v>45960.68</v>
      </c>
      <c r="K101" s="230">
        <f>IF(CavityStatus[[#This Row],[Accept Date]]&lt;&gt;0,CavityStatus[[#This Row],[Accept Date]],"")</f>
        <v>42916</v>
      </c>
    </row>
    <row r="102" spans="2:11" ht="13.2" customHeight="1" x14ac:dyDescent="0.25">
      <c r="B102" s="229">
        <f>IF(CavityStatus[[#This Row],[Unit '#]]&lt;&gt;0,CavityStatus[[#This Row],[Unit '#]],"")</f>
        <v>99</v>
      </c>
      <c r="C102" s="226" t="str">
        <f>CavityStatus[[#This Row],[Serial '#]]</f>
        <v>CAV089</v>
      </c>
      <c r="D102" s="227">
        <f>IF(CavityStatus[[#This Row],[Actual Ship Date]]&lt;&gt;0,CavityStatus[[#This Row],[Actual Ship Date]],"")</f>
        <v>42895</v>
      </c>
      <c r="E102" s="228">
        <f>CavityStatus[[#This Row],[Incentive Earned]]</f>
        <v>1000</v>
      </c>
      <c r="F102" s="233">
        <f>IF(CavityStatus[[#This Row],[Receipt Date]]&lt;&gt;0,CavityStatus[[#This Row],[Receipt Date]],"")</f>
        <v>42901</v>
      </c>
      <c r="G102" s="228">
        <f>CavityStatus[[#This Row],[Recipe Modification (Mod 9)]]</f>
        <v>4283.18</v>
      </c>
      <c r="H102" s="228">
        <f>CavityStatus[[#This Row],[Caps            
 (Mod 10)]]</f>
        <v>490</v>
      </c>
      <c r="I102" s="228">
        <f>CavityStatus[[#This Row],[Delivery &amp; Acceptance]]</f>
        <v>40187.5</v>
      </c>
      <c r="J102" s="228">
        <f>CavityStatus[[#This Row],[Total]]</f>
        <v>45960.68</v>
      </c>
      <c r="K102" s="230">
        <f>IF(CavityStatus[[#This Row],[Accept Date]]&lt;&gt;0,CavityStatus[[#This Row],[Accept Date]],"")</f>
        <v>42916</v>
      </c>
    </row>
    <row r="103" spans="2:11" ht="13.2" customHeight="1" x14ac:dyDescent="0.25">
      <c r="B103" s="229">
        <f>IF(CavityStatus[[#This Row],[Unit '#]]&lt;&gt;0,CavityStatus[[#This Row],[Unit '#]],"")</f>
        <v>100</v>
      </c>
      <c r="C103" s="226" t="str">
        <f>CavityStatus[[#This Row],[Serial '#]]</f>
        <v>CAV090</v>
      </c>
      <c r="D103" s="227">
        <f>IF(CavityStatus[[#This Row],[Actual Ship Date]]&lt;&gt;0,CavityStatus[[#This Row],[Actual Ship Date]],"")</f>
        <v>42895</v>
      </c>
      <c r="E103" s="228">
        <f>CavityStatus[[#This Row],[Incentive Earned]]</f>
        <v>1000</v>
      </c>
      <c r="F103" s="233">
        <f>IF(CavityStatus[[#This Row],[Receipt Date]]&lt;&gt;0,CavityStatus[[#This Row],[Receipt Date]],"")</f>
        <v>42901</v>
      </c>
      <c r="G103" s="228">
        <f>CavityStatus[[#This Row],[Recipe Modification (Mod 9)]]</f>
        <v>4283.18</v>
      </c>
      <c r="H103" s="228">
        <f>CavityStatus[[#This Row],[Caps            
 (Mod 10)]]</f>
        <v>490</v>
      </c>
      <c r="I103" s="228">
        <f>CavityStatus[[#This Row],[Delivery &amp; Acceptance]]</f>
        <v>40187.5</v>
      </c>
      <c r="J103" s="228">
        <f>CavityStatus[[#This Row],[Total]]</f>
        <v>45960.68</v>
      </c>
      <c r="K103" s="230">
        <f>IF(CavityStatus[[#This Row],[Accept Date]]&lt;&gt;0,CavityStatus[[#This Row],[Accept Date]],"")</f>
        <v>42916</v>
      </c>
    </row>
    <row r="104" spans="2:11" ht="13.2" customHeight="1" x14ac:dyDescent="0.25">
      <c r="B104" s="229">
        <f>IF(CavityStatus[[#This Row],[Unit '#]]&lt;&gt;0,CavityStatus[[#This Row],[Unit '#]],"")</f>
        <v>101</v>
      </c>
      <c r="C104" s="226" t="str">
        <f>CavityStatus[[#This Row],[Serial '#]]</f>
        <v>CAV109</v>
      </c>
      <c r="D104" s="227">
        <f>IF(CavityStatus[[#This Row],[Actual Ship Date]]&lt;&gt;0,CavityStatus[[#This Row],[Actual Ship Date]],"")</f>
        <v>42895</v>
      </c>
      <c r="E104" s="228">
        <f>CavityStatus[[#This Row],[Incentive Earned]]</f>
        <v>1000</v>
      </c>
      <c r="F104" s="233">
        <f>IF(CavityStatus[[#This Row],[Receipt Date]]&lt;&gt;0,CavityStatus[[#This Row],[Receipt Date]],"")</f>
        <v>42901</v>
      </c>
      <c r="G104" s="228">
        <f>CavityStatus[[#This Row],[Recipe Modification (Mod 9)]]</f>
        <v>4283.18</v>
      </c>
      <c r="H104" s="228">
        <f>CavityStatus[[#This Row],[Caps            
 (Mod 10)]]</f>
        <v>490</v>
      </c>
      <c r="I104" s="228">
        <f>CavityStatus[[#This Row],[Delivery &amp; Acceptance]]</f>
        <v>40187.5</v>
      </c>
      <c r="J104" s="228">
        <f>CavityStatus[[#This Row],[Total]]</f>
        <v>45960.68</v>
      </c>
      <c r="K104" s="230">
        <f>IF(CavityStatus[[#This Row],[Accept Date]]&lt;&gt;0,CavityStatus[[#This Row],[Accept Date]],"")</f>
        <v>42916</v>
      </c>
    </row>
    <row r="105" spans="2:11" ht="13.2" customHeight="1" thickBot="1" x14ac:dyDescent="0.3">
      <c r="B105" s="229">
        <f>IF(CavityStatus[[#This Row],[Unit '#]]&lt;&gt;0,CavityStatus[[#This Row],[Unit '#]],"")</f>
        <v>102</v>
      </c>
      <c r="C105" s="226" t="str">
        <f>CavityStatus[[#This Row],[Serial '#]]</f>
        <v>CAV112</v>
      </c>
      <c r="D105" s="227">
        <f>IF(CavityStatus[[#This Row],[Actual Ship Date]]&lt;&gt;0,CavityStatus[[#This Row],[Actual Ship Date]],"")</f>
        <v>42895</v>
      </c>
      <c r="E105" s="228">
        <f>CavityStatus[[#This Row],[Incentive Earned]]</f>
        <v>1000</v>
      </c>
      <c r="F105" s="233">
        <f>IF(CavityStatus[[#This Row],[Receipt Date]]&lt;&gt;0,CavityStatus[[#This Row],[Receipt Date]],"")</f>
        <v>42901</v>
      </c>
      <c r="G105" s="228">
        <f>CavityStatus[[#This Row],[Recipe Modification (Mod 9)]]</f>
        <v>4283.18</v>
      </c>
      <c r="H105" s="228">
        <f>CavityStatus[[#This Row],[Caps            
 (Mod 10)]]</f>
        <v>490</v>
      </c>
      <c r="I105" s="228">
        <f>CavityStatus[[#This Row],[Delivery &amp; Acceptance]]</f>
        <v>40187.5</v>
      </c>
      <c r="J105" s="228">
        <f>CavityStatus[[#This Row],[Total]]</f>
        <v>45960.68</v>
      </c>
      <c r="K105" s="230">
        <f>IF(CavityStatus[[#This Row],[Accept Date]]&lt;&gt;0,CavityStatus[[#This Row],[Accept Date]],"")</f>
        <v>42916</v>
      </c>
    </row>
    <row r="106" spans="2:11" ht="14.4" hidden="1" thickBot="1" x14ac:dyDescent="0.3">
      <c r="B106" s="229" t="str">
        <f>IF(CavityStatus[[#This Row],[Unit '#]]&lt;&gt;0,CavityStatus[[#This Row],[Unit '#]],"")</f>
        <v/>
      </c>
      <c r="C106" s="226" t="str">
        <f>CavityStatus[[#This Row],[Serial '#]]</f>
        <v>CAV097</v>
      </c>
      <c r="D106" s="227">
        <v>42888</v>
      </c>
      <c r="E106" s="228">
        <f>CavityStatus[[#This Row],[Incentive Earned]]</f>
        <v>1000</v>
      </c>
      <c r="F106" s="233">
        <f>IF(CavityStatus[[#This Row],[Receipt Date]]&lt;&gt;0,CavityStatus[[#This Row],[Receipt Date]],"")</f>
        <v>42908</v>
      </c>
      <c r="G106" s="228">
        <f>CavityStatus[[#This Row],[Recipe Modification (Mod 9)]]</f>
        <v>4283.18</v>
      </c>
      <c r="H106" s="228">
        <f>CavityStatus[[#This Row],[Caps            
 (Mod 10)]]</f>
        <v>490</v>
      </c>
      <c r="I106" s="228">
        <f>CavityStatus[[#This Row],[Delivery &amp; Acceptance]]</f>
        <v>40187.5</v>
      </c>
      <c r="J106" s="228">
        <f>CavityStatus[[#This Row],[Total]]</f>
        <v>45960.68</v>
      </c>
      <c r="K106" s="230" t="str">
        <f>IF(CavityStatus[[#This Row],[Accept Date]]&lt;&gt;0,CavityStatus[[#This Row],[Accept Date]],"")</f>
        <v/>
      </c>
    </row>
    <row r="107" spans="2:11" ht="14.4" hidden="1" thickBot="1" x14ac:dyDescent="0.3">
      <c r="B107" s="229" t="str">
        <f>IF(CavityStatus[[#This Row],[Unit '#]]&lt;&gt;0,CavityStatus[[#This Row],[Unit '#]],"")</f>
        <v/>
      </c>
      <c r="C107" s="226" t="str">
        <f>CavityStatus[[#This Row],[Serial '#]]</f>
        <v>CAV113</v>
      </c>
      <c r="D107" s="227"/>
      <c r="E107" s="228">
        <f>CavityStatus[[#This Row],[Incentive Earned]]</f>
        <v>1000</v>
      </c>
      <c r="F107" s="233">
        <f>IF(CavityStatus[[#This Row],[Receipt Date]]&lt;&gt;0,CavityStatus[[#This Row],[Receipt Date]],"")</f>
        <v>42908</v>
      </c>
      <c r="G107" s="228">
        <f>CavityStatus[[#This Row],[Recipe Modification (Mod 9)]]</f>
        <v>4283.18</v>
      </c>
      <c r="H107" s="228">
        <f>CavityStatus[[#This Row],[Caps            
 (Mod 10)]]</f>
        <v>490</v>
      </c>
      <c r="I107" s="228">
        <f>CavityStatus[[#This Row],[Delivery &amp; Acceptance]]</f>
        <v>40187.5</v>
      </c>
      <c r="J107" s="228">
        <f>CavityStatus[[#This Row],[Total]]</f>
        <v>45960.68</v>
      </c>
      <c r="K107" s="230" t="str">
        <f>IF(CavityStatus[[#This Row],[Accept Date]]&lt;&gt;0,CavityStatus[[#This Row],[Accept Date]],"")</f>
        <v/>
      </c>
    </row>
    <row r="108" spans="2:11" ht="14.4" hidden="1" thickBot="1" x14ac:dyDescent="0.3">
      <c r="B108" s="229" t="str">
        <f>IF(CavityStatus[[#This Row],[Unit '#]]&lt;&gt;0,CavityStatus[[#This Row],[Unit '#]],"")</f>
        <v/>
      </c>
      <c r="C108" s="226" t="str">
        <f>CavityStatus[[#This Row],[Serial '#]]</f>
        <v>CAV114</v>
      </c>
      <c r="D108" s="227"/>
      <c r="E108" s="228">
        <f>CavityStatus[[#This Row],[Incentive Earned]]</f>
        <v>1000</v>
      </c>
      <c r="F108" s="233">
        <f>IF(CavityStatus[[#This Row],[Receipt Date]]&lt;&gt;0,CavityStatus[[#This Row],[Receipt Date]],"")</f>
        <v>42908</v>
      </c>
      <c r="G108" s="228">
        <f>CavityStatus[[#This Row],[Recipe Modification (Mod 9)]]</f>
        <v>4283.18</v>
      </c>
      <c r="H108" s="228">
        <f>CavityStatus[[#This Row],[Caps            
 (Mod 10)]]</f>
        <v>490</v>
      </c>
      <c r="I108" s="228">
        <f>CavityStatus[[#This Row],[Delivery &amp; Acceptance]]</f>
        <v>40187.5</v>
      </c>
      <c r="J108" s="228">
        <f>CavityStatus[[#This Row],[Total]]</f>
        <v>45960.68</v>
      </c>
      <c r="K108" s="230" t="str">
        <f>IF(CavityStatus[[#This Row],[Accept Date]]&lt;&gt;0,CavityStatus[[#This Row],[Accept Date]],"")</f>
        <v/>
      </c>
    </row>
    <row r="109" spans="2:11" ht="14.4" hidden="1" thickBot="1" x14ac:dyDescent="0.3">
      <c r="B109" s="229" t="str">
        <f>IF(CavityStatus[[#This Row],[Unit '#]]&lt;&gt;0,CavityStatus[[#This Row],[Unit '#]],"")</f>
        <v/>
      </c>
      <c r="C109" s="226" t="str">
        <f>CavityStatus[[#This Row],[Serial '#]]</f>
        <v>CAV117</v>
      </c>
      <c r="D109" s="227"/>
      <c r="E109" s="228">
        <f>CavityStatus[[#This Row],[Incentive Earned]]</f>
        <v>1000</v>
      </c>
      <c r="F109" s="233">
        <f>IF(CavityStatus[[#This Row],[Receipt Date]]&lt;&gt;0,CavityStatus[[#This Row],[Receipt Date]],"")</f>
        <v>42908</v>
      </c>
      <c r="G109" s="228">
        <f>CavityStatus[[#This Row],[Recipe Modification (Mod 9)]]</f>
        <v>4283.18</v>
      </c>
      <c r="H109" s="228">
        <f>CavityStatus[[#This Row],[Caps            
 (Mod 10)]]</f>
        <v>490</v>
      </c>
      <c r="I109" s="228">
        <f>CavityStatus[[#This Row],[Delivery &amp; Acceptance]]</f>
        <v>40187.5</v>
      </c>
      <c r="J109" s="228">
        <f>CavityStatus[[#This Row],[Total]]</f>
        <v>45960.68</v>
      </c>
      <c r="K109" s="230" t="str">
        <f>IF(CavityStatus[[#This Row],[Accept Date]]&lt;&gt;0,CavityStatus[[#This Row],[Accept Date]],"")</f>
        <v/>
      </c>
    </row>
    <row r="110" spans="2:11" ht="14.4" hidden="1" thickBot="1" x14ac:dyDescent="0.3">
      <c r="B110" s="229" t="str">
        <f>IF(CavityStatus[[#This Row],[Unit '#]]&lt;&gt;0,CavityStatus[[#This Row],[Unit '#]],"")</f>
        <v/>
      </c>
      <c r="C110" s="226" t="str">
        <f>CavityStatus[[#This Row],[Serial '#]]</f>
        <v>CAV095</v>
      </c>
      <c r="D110" s="227"/>
      <c r="E110" s="228">
        <f>CavityStatus[[#This Row],[Incentive Earned]]</f>
        <v>0</v>
      </c>
      <c r="F110" s="233" t="str">
        <f>IF(CavityStatus[[#This Row],[Receipt Date]]&lt;&gt;0,CavityStatus[[#This Row],[Receipt Date]],"")</f>
        <v/>
      </c>
      <c r="G110" s="228">
        <f>CavityStatus[[#This Row],[Recipe Modification (Mod 9)]]</f>
        <v>4283.18</v>
      </c>
      <c r="H110" s="228">
        <f>CavityStatus[[#This Row],[Caps            
 (Mod 10)]]</f>
        <v>490</v>
      </c>
      <c r="I110" s="228">
        <f>CavityStatus[[#This Row],[Delivery &amp; Acceptance]]</f>
        <v>40187.5</v>
      </c>
      <c r="J110" s="228">
        <f>CavityStatus[[#This Row],[Total]]</f>
        <v>44960.68</v>
      </c>
      <c r="K110" s="230" t="str">
        <f>IF(CavityStatus[[#This Row],[Accept Date]]&lt;&gt;0,CavityStatus[[#This Row],[Accept Date]],"")</f>
        <v/>
      </c>
    </row>
    <row r="111" spans="2:11" ht="14.4" hidden="1" thickBot="1" x14ac:dyDescent="0.3">
      <c r="B111" s="229" t="str">
        <f>IF(CavityStatus[[#This Row],[Unit '#]]&lt;&gt;0,CavityStatus[[#This Row],[Unit '#]],"")</f>
        <v/>
      </c>
      <c r="C111" s="226" t="str">
        <f>CavityStatus[[#This Row],[Serial '#]]</f>
        <v>CAV096</v>
      </c>
      <c r="D111" s="227">
        <v>42888</v>
      </c>
      <c r="E111" s="228">
        <f>CavityStatus[[#This Row],[Incentive Earned]]</f>
        <v>0</v>
      </c>
      <c r="F111" s="233" t="str">
        <f>IF(CavityStatus[[#This Row],[Receipt Date]]&lt;&gt;0,CavityStatus[[#This Row],[Receipt Date]],"")</f>
        <v/>
      </c>
      <c r="G111" s="228">
        <f>CavityStatus[[#This Row],[Recipe Modification (Mod 9)]]</f>
        <v>4283.18</v>
      </c>
      <c r="H111" s="228">
        <f>CavityStatus[[#This Row],[Caps            
 (Mod 10)]]</f>
        <v>490</v>
      </c>
      <c r="I111" s="228">
        <f>CavityStatus[[#This Row],[Delivery &amp; Acceptance]]</f>
        <v>40187.5</v>
      </c>
      <c r="J111" s="228">
        <f>CavityStatus[[#This Row],[Total]]</f>
        <v>44960.68</v>
      </c>
      <c r="K111" s="230" t="str">
        <f>IF(CavityStatus[[#This Row],[Accept Date]]&lt;&gt;0,CavityStatus[[#This Row],[Accept Date]],"")</f>
        <v/>
      </c>
    </row>
    <row r="112" spans="2:11" ht="14.4" hidden="1" thickBot="1" x14ac:dyDescent="0.3">
      <c r="B112" s="229" t="str">
        <f>IF(CavityStatus[[#This Row],[Unit '#]]&lt;&gt;0,CavityStatus[[#This Row],[Unit '#]],"")</f>
        <v/>
      </c>
      <c r="C112" s="226" t="str">
        <f>CavityStatus[[#This Row],[Serial '#]]</f>
        <v>CAV099</v>
      </c>
      <c r="D112" s="227">
        <v>42894</v>
      </c>
      <c r="E112" s="228">
        <f>CavityStatus[[#This Row],[Incentive Earned]]</f>
        <v>0</v>
      </c>
      <c r="F112" s="233" t="str">
        <f>IF(CavityStatus[[#This Row],[Receipt Date]]&lt;&gt;0,CavityStatus[[#This Row],[Receipt Date]],"")</f>
        <v/>
      </c>
      <c r="G112" s="228">
        <f>CavityStatus[[#This Row],[Recipe Modification (Mod 9)]]</f>
        <v>4283.18</v>
      </c>
      <c r="H112" s="228">
        <f>CavityStatus[[#This Row],[Caps            
 (Mod 10)]]</f>
        <v>490</v>
      </c>
      <c r="I112" s="228">
        <f>CavityStatus[[#This Row],[Delivery &amp; Acceptance]]</f>
        <v>40187.5</v>
      </c>
      <c r="J112" s="228">
        <f>CavityStatus[[#This Row],[Total]]</f>
        <v>44960.68</v>
      </c>
      <c r="K112" s="230" t="str">
        <f>IF(CavityStatus[[#This Row],[Accept Date]]&lt;&gt;0,CavityStatus[[#This Row],[Accept Date]],"")</f>
        <v/>
      </c>
    </row>
    <row r="113" spans="2:11" ht="14.4" hidden="1" thickBot="1" x14ac:dyDescent="0.3">
      <c r="B113" s="229" t="str">
        <f>IF(CavityStatus[[#This Row],[Unit '#]]&lt;&gt;0,CavityStatus[[#This Row],[Unit '#]],"")</f>
        <v/>
      </c>
      <c r="C113" s="226" t="str">
        <f>CavityStatus[[#This Row],[Serial '#]]</f>
        <v>CAV100</v>
      </c>
      <c r="D113" s="227">
        <v>42888</v>
      </c>
      <c r="E113" s="228">
        <f>CavityStatus[[#This Row],[Incentive Earned]]</f>
        <v>0</v>
      </c>
      <c r="F113" s="233" t="str">
        <f>IF(CavityStatus[[#This Row],[Receipt Date]]&lt;&gt;0,CavityStatus[[#This Row],[Receipt Date]],"")</f>
        <v/>
      </c>
      <c r="G113" s="228">
        <f>CavityStatus[[#This Row],[Recipe Modification (Mod 9)]]</f>
        <v>4283.18</v>
      </c>
      <c r="H113" s="228">
        <f>CavityStatus[[#This Row],[Caps            
 (Mod 10)]]</f>
        <v>490</v>
      </c>
      <c r="I113" s="228">
        <f>CavityStatus[[#This Row],[Delivery &amp; Acceptance]]</f>
        <v>40187.5</v>
      </c>
      <c r="J113" s="228">
        <f>CavityStatus[[#This Row],[Total]]</f>
        <v>44960.68</v>
      </c>
      <c r="K113" s="230" t="str">
        <f>IF(CavityStatus[[#This Row],[Accept Date]]&lt;&gt;0,CavityStatus[[#This Row],[Accept Date]],"")</f>
        <v/>
      </c>
    </row>
    <row r="114" spans="2:11" ht="14.4" hidden="1" thickBot="1" x14ac:dyDescent="0.3">
      <c r="B114" s="229" t="str">
        <f>IF(CavityStatus[[#This Row],[Unit '#]]&lt;&gt;0,CavityStatus[[#This Row],[Unit '#]],"")</f>
        <v/>
      </c>
      <c r="C114" s="226" t="str">
        <f>CavityStatus[[#This Row],[Serial '#]]</f>
        <v>CAV101</v>
      </c>
      <c r="D114" s="227">
        <v>42888</v>
      </c>
      <c r="E114" s="228">
        <f>CavityStatus[[#This Row],[Incentive Earned]]</f>
        <v>0</v>
      </c>
      <c r="F114" s="233" t="str">
        <f>IF(CavityStatus[[#This Row],[Receipt Date]]&lt;&gt;0,CavityStatus[[#This Row],[Receipt Date]],"")</f>
        <v/>
      </c>
      <c r="G114" s="228">
        <f>CavityStatus[[#This Row],[Recipe Modification (Mod 9)]]</f>
        <v>4283.18</v>
      </c>
      <c r="H114" s="228">
        <f>CavityStatus[[#This Row],[Caps            
 (Mod 10)]]</f>
        <v>490</v>
      </c>
      <c r="I114" s="228">
        <f>CavityStatus[[#This Row],[Delivery &amp; Acceptance]]</f>
        <v>40187.5</v>
      </c>
      <c r="J114" s="228">
        <f>CavityStatus[[#This Row],[Total]]</f>
        <v>44960.68</v>
      </c>
      <c r="K114" s="230" t="str">
        <f>IF(CavityStatus[[#This Row],[Accept Date]]&lt;&gt;0,CavityStatus[[#This Row],[Accept Date]],"")</f>
        <v/>
      </c>
    </row>
    <row r="115" spans="2:11" ht="14.4" hidden="1" thickBot="1" x14ac:dyDescent="0.3">
      <c r="B115" s="229" t="str">
        <f>IF(CavityStatus[[#This Row],[Unit '#]]&lt;&gt;0,CavityStatus[[#This Row],[Unit '#]],"")</f>
        <v/>
      </c>
      <c r="C115" s="226" t="str">
        <f>CavityStatus[[#This Row],[Serial '#]]</f>
        <v>CAV102</v>
      </c>
      <c r="D115" s="227">
        <v>42894</v>
      </c>
      <c r="E115" s="228">
        <f>CavityStatus[[#This Row],[Incentive Earned]]</f>
        <v>0</v>
      </c>
      <c r="F115" s="233" t="str">
        <f>IF(CavityStatus[[#This Row],[Receipt Date]]&lt;&gt;0,CavityStatus[[#This Row],[Receipt Date]],"")</f>
        <v/>
      </c>
      <c r="G115" s="228">
        <f>CavityStatus[[#This Row],[Recipe Modification (Mod 9)]]</f>
        <v>4283.18</v>
      </c>
      <c r="H115" s="228">
        <f>CavityStatus[[#This Row],[Caps            
 (Mod 10)]]</f>
        <v>490</v>
      </c>
      <c r="I115" s="228">
        <f>CavityStatus[[#This Row],[Delivery &amp; Acceptance]]</f>
        <v>40187.5</v>
      </c>
      <c r="J115" s="228">
        <f>CavityStatus[[#This Row],[Total]]</f>
        <v>44960.68</v>
      </c>
      <c r="K115" s="230" t="str">
        <f>IF(CavityStatus[[#This Row],[Accept Date]]&lt;&gt;0,CavityStatus[[#This Row],[Accept Date]],"")</f>
        <v/>
      </c>
    </row>
    <row r="116" spans="2:11" ht="14.4" hidden="1" thickBot="1" x14ac:dyDescent="0.3">
      <c r="B116" s="229" t="str">
        <f>IF(CavityStatus[[#This Row],[Unit '#]]&lt;&gt;0,CavityStatus[[#This Row],[Unit '#]],"")</f>
        <v/>
      </c>
      <c r="C116" s="226" t="str">
        <f>CavityStatus[[#This Row],[Serial '#]]</f>
        <v>CAV105</v>
      </c>
      <c r="D116" s="227" t="str">
        <f>IF(CavityStatus[[#This Row],[Actual Ship Date]]&lt;&gt;0,CavityStatus[[#This Row],[Actual Ship Date]],"")</f>
        <v/>
      </c>
      <c r="E116" s="228">
        <f>CavityStatus[[#This Row],[Incentive Earned]]</f>
        <v>0</v>
      </c>
      <c r="F116" s="233" t="str">
        <f>IF(CavityStatus[[#This Row],[Receipt Date]]&lt;&gt;0,CavityStatus[[#This Row],[Receipt Date]],"")</f>
        <v/>
      </c>
      <c r="G116" s="228">
        <f>CavityStatus[[#This Row],[Recipe Modification (Mod 9)]]</f>
        <v>4283.18</v>
      </c>
      <c r="H116" s="228">
        <f>CavityStatus[[#This Row],[Caps            
 (Mod 10)]]</f>
        <v>490</v>
      </c>
      <c r="I116" s="228">
        <f>CavityStatus[[#This Row],[Delivery &amp; Acceptance]]</f>
        <v>40187.5</v>
      </c>
      <c r="J116" s="228">
        <f>CavityStatus[[#This Row],[Total]]</f>
        <v>44960.68</v>
      </c>
      <c r="K116" s="230" t="str">
        <f>IF(CavityStatus[[#This Row],[Accept Date]]&lt;&gt;0,CavityStatus[[#This Row],[Accept Date]],"")</f>
        <v/>
      </c>
    </row>
    <row r="117" spans="2:11" ht="14.4" hidden="1" thickBot="1" x14ac:dyDescent="0.3">
      <c r="B117" s="229" t="str">
        <f>IF(CavityStatus[[#This Row],[Unit '#]]&lt;&gt;0,CavityStatus[[#This Row],[Unit '#]],"")</f>
        <v/>
      </c>
      <c r="C117" s="226" t="str">
        <f>CavityStatus[[#This Row],[Serial '#]]</f>
        <v>CAV106</v>
      </c>
      <c r="D117" s="227" t="str">
        <f>IF(CavityStatus[[#This Row],[Actual Ship Date]]&lt;&gt;0,CavityStatus[[#This Row],[Actual Ship Date]],"")</f>
        <v/>
      </c>
      <c r="E117" s="228">
        <f>CavityStatus[[#This Row],[Incentive Earned]]</f>
        <v>0</v>
      </c>
      <c r="F117" s="233" t="str">
        <f>IF(CavityStatus[[#This Row],[Receipt Date]]&lt;&gt;0,CavityStatus[[#This Row],[Receipt Date]],"")</f>
        <v/>
      </c>
      <c r="G117" s="228">
        <f>CavityStatus[[#This Row],[Recipe Modification (Mod 9)]]</f>
        <v>4283.18</v>
      </c>
      <c r="H117" s="228">
        <f>CavityStatus[[#This Row],[Caps            
 (Mod 10)]]</f>
        <v>490</v>
      </c>
      <c r="I117" s="228">
        <f>CavityStatus[[#This Row],[Delivery &amp; Acceptance]]</f>
        <v>40187.5</v>
      </c>
      <c r="J117" s="228">
        <f>CavityStatus[[#This Row],[Total]]</f>
        <v>44960.68</v>
      </c>
      <c r="K117" s="230" t="str">
        <f>IF(CavityStatus[[#This Row],[Accept Date]]&lt;&gt;0,CavityStatus[[#This Row],[Accept Date]],"")</f>
        <v/>
      </c>
    </row>
    <row r="118" spans="2:11" ht="14.4" hidden="1" thickBot="1" x14ac:dyDescent="0.3">
      <c r="B118" s="229" t="str">
        <f>IF(CavityStatus[[#This Row],[Unit '#]]&lt;&gt;0,CavityStatus[[#This Row],[Unit '#]],"")</f>
        <v/>
      </c>
      <c r="C118" s="226" t="str">
        <f>CavityStatus[[#This Row],[Serial '#]]</f>
        <v>CAV107</v>
      </c>
      <c r="D118" s="227" t="str">
        <f>IF(CavityStatus[[#This Row],[Actual Ship Date]]&lt;&gt;0,CavityStatus[[#This Row],[Actual Ship Date]],"")</f>
        <v/>
      </c>
      <c r="E118" s="228">
        <f>CavityStatus[[#This Row],[Incentive Earned]]</f>
        <v>0</v>
      </c>
      <c r="F118" s="233" t="str">
        <f>IF(CavityStatus[[#This Row],[Receipt Date]]&lt;&gt;0,CavityStatus[[#This Row],[Receipt Date]],"")</f>
        <v/>
      </c>
      <c r="G118" s="228">
        <f>CavityStatus[[#This Row],[Recipe Modification (Mod 9)]]</f>
        <v>4283.18</v>
      </c>
      <c r="H118" s="228">
        <f>CavityStatus[[#This Row],[Caps            
 (Mod 10)]]</f>
        <v>490</v>
      </c>
      <c r="I118" s="228">
        <f>CavityStatus[[#This Row],[Delivery &amp; Acceptance]]</f>
        <v>40187.5</v>
      </c>
      <c r="J118" s="228">
        <f>CavityStatus[[#This Row],[Total]]</f>
        <v>44960.68</v>
      </c>
      <c r="K118" s="230" t="str">
        <f>IF(CavityStatus[[#This Row],[Accept Date]]&lt;&gt;0,CavityStatus[[#This Row],[Accept Date]],"")</f>
        <v/>
      </c>
    </row>
    <row r="119" spans="2:11" ht="14.4" hidden="1" thickBot="1" x14ac:dyDescent="0.3">
      <c r="B119" s="229" t="str">
        <f>IF(CavityStatus[[#This Row],[Unit '#]]&lt;&gt;0,CavityStatus[[#This Row],[Unit '#]],"")</f>
        <v/>
      </c>
      <c r="C119" s="226" t="str">
        <f>CavityStatus[[#This Row],[Serial '#]]</f>
        <v>CAV115</v>
      </c>
      <c r="D119" s="227" t="str">
        <f>IF(CavityStatus[[#This Row],[Actual Ship Date]]&lt;&gt;0,CavityStatus[[#This Row],[Actual Ship Date]],"")</f>
        <v/>
      </c>
      <c r="E119" s="228">
        <f>CavityStatus[[#This Row],[Incentive Earned]]</f>
        <v>0</v>
      </c>
      <c r="F119" s="233" t="str">
        <f>IF(CavityStatus[[#This Row],[Receipt Date]]&lt;&gt;0,CavityStatus[[#This Row],[Receipt Date]],"")</f>
        <v/>
      </c>
      <c r="G119" s="228">
        <f>CavityStatus[[#This Row],[Recipe Modification (Mod 9)]]</f>
        <v>4283.18</v>
      </c>
      <c r="H119" s="228">
        <f>CavityStatus[[#This Row],[Caps            
 (Mod 10)]]</f>
        <v>490</v>
      </c>
      <c r="I119" s="228">
        <f>CavityStatus[[#This Row],[Delivery &amp; Acceptance]]</f>
        <v>40187.5</v>
      </c>
      <c r="J119" s="228">
        <f>CavityStatus[[#This Row],[Total]]</f>
        <v>44960.68</v>
      </c>
      <c r="K119" s="230" t="str">
        <f>IF(CavityStatus[[#This Row],[Accept Date]]&lt;&gt;0,CavityStatus[[#This Row],[Accept Date]],"")</f>
        <v/>
      </c>
    </row>
    <row r="120" spans="2:11" ht="14.4" hidden="1" thickBot="1" x14ac:dyDescent="0.3">
      <c r="B120" s="229" t="str">
        <f>IF(CavityStatus[[#This Row],[Unit '#]]&lt;&gt;0,CavityStatus[[#This Row],[Unit '#]],"")</f>
        <v/>
      </c>
      <c r="C120" s="226" t="str">
        <f>CavityStatus[[#This Row],[Serial '#]]</f>
        <v>CAV116</v>
      </c>
      <c r="D120" s="227" t="str">
        <f>IF(CavityStatus[[#This Row],[Actual Ship Date]]&lt;&gt;0,CavityStatus[[#This Row],[Actual Ship Date]],"")</f>
        <v/>
      </c>
      <c r="E120" s="228">
        <f>CavityStatus[[#This Row],[Incentive Earned]]</f>
        <v>0</v>
      </c>
      <c r="F120" s="233" t="str">
        <f>IF(CavityStatus[[#This Row],[Receipt Date]]&lt;&gt;0,CavityStatus[[#This Row],[Receipt Date]],"")</f>
        <v/>
      </c>
      <c r="G120" s="228">
        <f>CavityStatus[[#This Row],[Recipe Modification (Mod 9)]]</f>
        <v>4283.18</v>
      </c>
      <c r="H120" s="228">
        <f>CavityStatus[[#This Row],[Caps            
 (Mod 10)]]</f>
        <v>490</v>
      </c>
      <c r="I120" s="228">
        <f>CavityStatus[[#This Row],[Delivery &amp; Acceptance]]</f>
        <v>40187.5</v>
      </c>
      <c r="J120" s="228">
        <f>CavityStatus[[#This Row],[Total]]</f>
        <v>44960.68</v>
      </c>
      <c r="K120" s="230" t="str">
        <f>IF(CavityStatus[[#This Row],[Accept Date]]&lt;&gt;0,CavityStatus[[#This Row],[Accept Date]],"")</f>
        <v/>
      </c>
    </row>
    <row r="121" spans="2:11" ht="14.4" hidden="1" thickBot="1" x14ac:dyDescent="0.3">
      <c r="B121" s="229" t="str">
        <f>IF(CavityStatus[[#This Row],[Unit '#]]&lt;&gt;0,CavityStatus[[#This Row],[Unit '#]],"")</f>
        <v/>
      </c>
      <c r="C121" s="226" t="str">
        <f>CavityStatus[[#This Row],[Serial '#]]</f>
        <v>CAV118</v>
      </c>
      <c r="D121" s="227" t="str">
        <f>IF(CavityStatus[[#This Row],[Actual Ship Date]]&lt;&gt;0,CavityStatus[[#This Row],[Actual Ship Date]],"")</f>
        <v/>
      </c>
      <c r="E121" s="228">
        <f>CavityStatus[[#This Row],[Incentive Earned]]</f>
        <v>0</v>
      </c>
      <c r="F121" s="233" t="str">
        <f>IF(CavityStatus[[#This Row],[Receipt Date]]&lt;&gt;0,CavityStatus[[#This Row],[Receipt Date]],"")</f>
        <v/>
      </c>
      <c r="G121" s="228">
        <f>CavityStatus[[#This Row],[Recipe Modification (Mod 9)]]</f>
        <v>4283.18</v>
      </c>
      <c r="H121" s="228">
        <f>CavityStatus[[#This Row],[Caps            
 (Mod 10)]]</f>
        <v>490</v>
      </c>
      <c r="I121" s="228">
        <f>CavityStatus[[#This Row],[Delivery &amp; Acceptance]]</f>
        <v>40187.5</v>
      </c>
      <c r="J121" s="228">
        <f>CavityStatus[[#This Row],[Total]]</f>
        <v>44960.68</v>
      </c>
      <c r="K121" s="230" t="str">
        <f>IF(CavityStatus[[#This Row],[Accept Date]]&lt;&gt;0,CavityStatus[[#This Row],[Accept Date]],"")</f>
        <v/>
      </c>
    </row>
    <row r="122" spans="2:11" ht="14.4" hidden="1" thickBot="1" x14ac:dyDescent="0.3">
      <c r="B122" s="229" t="str">
        <f>IF(CavityStatus[[#This Row],[Unit '#]]&lt;&gt;0,CavityStatus[[#This Row],[Unit '#]],"")</f>
        <v/>
      </c>
      <c r="C122" s="226" t="str">
        <f>CavityStatus[[#This Row],[Serial '#]]</f>
        <v>CAV119</v>
      </c>
      <c r="D122" s="227" t="str">
        <f>IF(CavityStatus[[#This Row],[Actual Ship Date]]&lt;&gt;0,CavityStatus[[#This Row],[Actual Ship Date]],"")</f>
        <v/>
      </c>
      <c r="E122" s="228">
        <f>CavityStatus[[#This Row],[Incentive Earned]]</f>
        <v>0</v>
      </c>
      <c r="F122" s="233" t="str">
        <f>IF(CavityStatus[[#This Row],[Receipt Date]]&lt;&gt;0,CavityStatus[[#This Row],[Receipt Date]],"")</f>
        <v/>
      </c>
      <c r="G122" s="228">
        <f>CavityStatus[[#This Row],[Recipe Modification (Mod 9)]]</f>
        <v>4283.18</v>
      </c>
      <c r="H122" s="228">
        <f>CavityStatus[[#This Row],[Caps            
 (Mod 10)]]</f>
        <v>490</v>
      </c>
      <c r="I122" s="228">
        <f>CavityStatus[[#This Row],[Delivery &amp; Acceptance]]</f>
        <v>40187.5</v>
      </c>
      <c r="J122" s="228">
        <f>CavityStatus[[#This Row],[Total]]</f>
        <v>44960.68</v>
      </c>
      <c r="K122" s="230" t="str">
        <f>IF(CavityStatus[[#This Row],[Accept Date]]&lt;&gt;0,CavityStatus[[#This Row],[Accept Date]],"")</f>
        <v/>
      </c>
    </row>
    <row r="123" spans="2:11" ht="14.4" hidden="1" thickBot="1" x14ac:dyDescent="0.3">
      <c r="B123" s="229" t="str">
        <f>IF(CavityStatus[[#This Row],[Unit '#]]&lt;&gt;0,CavityStatus[[#This Row],[Unit '#]],"")</f>
        <v/>
      </c>
      <c r="C123" s="226" t="str">
        <f>CavityStatus[[#This Row],[Serial '#]]</f>
        <v>CAV120</v>
      </c>
      <c r="D123" s="227" t="str">
        <f>IF(CavityStatus[[#This Row],[Actual Ship Date]]&lt;&gt;0,CavityStatus[[#This Row],[Actual Ship Date]],"")</f>
        <v/>
      </c>
      <c r="E123" s="228">
        <f>CavityStatus[[#This Row],[Incentive Earned]]</f>
        <v>0</v>
      </c>
      <c r="F123" s="233" t="str">
        <f>IF(CavityStatus[[#This Row],[Receipt Date]]&lt;&gt;0,CavityStatus[[#This Row],[Receipt Date]],"")</f>
        <v/>
      </c>
      <c r="G123" s="228">
        <f>CavityStatus[[#This Row],[Recipe Modification (Mod 9)]]</f>
        <v>4283.18</v>
      </c>
      <c r="H123" s="228">
        <f>CavityStatus[[#This Row],[Caps            
 (Mod 10)]]</f>
        <v>490</v>
      </c>
      <c r="I123" s="228">
        <f>CavityStatus[[#This Row],[Delivery &amp; Acceptance]]</f>
        <v>40187.5</v>
      </c>
      <c r="J123" s="228">
        <f>CavityStatus[[#This Row],[Total]]</f>
        <v>44960.68</v>
      </c>
      <c r="K123" s="230" t="str">
        <f>IF(CavityStatus[[#This Row],[Accept Date]]&lt;&gt;0,CavityStatus[[#This Row],[Accept Date]],"")</f>
        <v/>
      </c>
    </row>
    <row r="124" spans="2:11" ht="14.4" hidden="1" thickBot="1" x14ac:dyDescent="0.3">
      <c r="B124" s="229" t="str">
        <f>IF(CavityStatus[[#This Row],[Unit '#]]&lt;&gt;0,CavityStatus[[#This Row],[Unit '#]],"")</f>
        <v/>
      </c>
      <c r="C124" s="226" t="str">
        <f>CavityStatus[[#This Row],[Serial '#]]</f>
        <v>CAV121</v>
      </c>
      <c r="D124" s="227" t="str">
        <f>IF(CavityStatus[[#This Row],[Actual Ship Date]]&lt;&gt;0,CavityStatus[[#This Row],[Actual Ship Date]],"")</f>
        <v/>
      </c>
      <c r="E124" s="228">
        <f>CavityStatus[[#This Row],[Incentive Earned]]</f>
        <v>0</v>
      </c>
      <c r="F124" s="233" t="str">
        <f>IF(CavityStatus[[#This Row],[Receipt Date]]&lt;&gt;0,CavityStatus[[#This Row],[Receipt Date]],"")</f>
        <v/>
      </c>
      <c r="G124" s="228">
        <f>CavityStatus[[#This Row],[Recipe Modification (Mod 9)]]</f>
        <v>4283.18</v>
      </c>
      <c r="H124" s="228">
        <f>CavityStatus[[#This Row],[Caps            
 (Mod 10)]]</f>
        <v>490</v>
      </c>
      <c r="I124" s="228">
        <f>CavityStatus[[#This Row],[Delivery &amp; Acceptance]]</f>
        <v>40187.5</v>
      </c>
      <c r="J124" s="228">
        <f>CavityStatus[[#This Row],[Total]]</f>
        <v>44960.68</v>
      </c>
      <c r="K124" s="230" t="str">
        <f>IF(CavityStatus[[#This Row],[Accept Date]]&lt;&gt;0,CavityStatus[[#This Row],[Accept Date]],"")</f>
        <v/>
      </c>
    </row>
    <row r="125" spans="2:11" ht="14.4" hidden="1" thickBot="1" x14ac:dyDescent="0.3">
      <c r="B125" s="229" t="str">
        <f>IF(CavityStatus[[#This Row],[Unit '#]]&lt;&gt;0,CavityStatus[[#This Row],[Unit '#]],"")</f>
        <v/>
      </c>
      <c r="C125" s="226" t="str">
        <f>CavityStatus[[#This Row],[Serial '#]]</f>
        <v>CAV122</v>
      </c>
      <c r="D125" s="227" t="str">
        <f>IF(CavityStatus[[#This Row],[Actual Ship Date]]&lt;&gt;0,CavityStatus[[#This Row],[Actual Ship Date]],"")</f>
        <v/>
      </c>
      <c r="E125" s="228">
        <f>CavityStatus[[#This Row],[Incentive Earned]]</f>
        <v>0</v>
      </c>
      <c r="F125" s="233" t="str">
        <f>IF(CavityStatus[[#This Row],[Receipt Date]]&lt;&gt;0,CavityStatus[[#This Row],[Receipt Date]],"")</f>
        <v/>
      </c>
      <c r="G125" s="228">
        <f>CavityStatus[[#This Row],[Recipe Modification (Mod 9)]]</f>
        <v>4283.18</v>
      </c>
      <c r="H125" s="228">
        <f>CavityStatus[[#This Row],[Caps            
 (Mod 10)]]</f>
        <v>490</v>
      </c>
      <c r="I125" s="228">
        <f>CavityStatus[[#This Row],[Delivery &amp; Acceptance]]</f>
        <v>40187.5</v>
      </c>
      <c r="J125" s="228">
        <f>CavityStatus[[#This Row],[Total]]</f>
        <v>44960.68</v>
      </c>
      <c r="K125" s="230" t="str">
        <f>IF(CavityStatus[[#This Row],[Accept Date]]&lt;&gt;0,CavityStatus[[#This Row],[Accept Date]],"")</f>
        <v/>
      </c>
    </row>
    <row r="126" spans="2:11" ht="14.4" hidden="1" thickBot="1" x14ac:dyDescent="0.3">
      <c r="B126" s="229" t="str">
        <f>IF(CavityStatus[[#This Row],[Unit '#]]&lt;&gt;0,CavityStatus[[#This Row],[Unit '#]],"")</f>
        <v/>
      </c>
      <c r="C126" s="226" t="str">
        <f>CavityStatus[[#This Row],[Serial '#]]</f>
        <v>CAV123</v>
      </c>
      <c r="D126" s="227" t="str">
        <f>IF(CavityStatus[[#This Row],[Actual Ship Date]]&lt;&gt;0,CavityStatus[[#This Row],[Actual Ship Date]],"")</f>
        <v/>
      </c>
      <c r="E126" s="228">
        <f>CavityStatus[[#This Row],[Incentive Earned]]</f>
        <v>0</v>
      </c>
      <c r="F126" s="233" t="str">
        <f>IF(CavityStatus[[#This Row],[Receipt Date]]&lt;&gt;0,CavityStatus[[#This Row],[Receipt Date]],"")</f>
        <v/>
      </c>
      <c r="G126" s="228">
        <f>CavityStatus[[#This Row],[Recipe Modification (Mod 9)]]</f>
        <v>4283.18</v>
      </c>
      <c r="H126" s="228">
        <f>CavityStatus[[#This Row],[Caps            
 (Mod 10)]]</f>
        <v>490</v>
      </c>
      <c r="I126" s="228">
        <f>CavityStatus[[#This Row],[Delivery &amp; Acceptance]]</f>
        <v>40187.5</v>
      </c>
      <c r="J126" s="228">
        <f>CavityStatus[[#This Row],[Total]]</f>
        <v>44960.68</v>
      </c>
      <c r="K126" s="230" t="str">
        <f>IF(CavityStatus[[#This Row],[Accept Date]]&lt;&gt;0,CavityStatus[[#This Row],[Accept Date]],"")</f>
        <v/>
      </c>
    </row>
    <row r="127" spans="2:11" ht="14.4" hidden="1" thickBot="1" x14ac:dyDescent="0.3">
      <c r="B127" s="229" t="str">
        <f>IF(CavityStatus[[#This Row],[Unit '#]]&lt;&gt;0,CavityStatus[[#This Row],[Unit '#]],"")</f>
        <v/>
      </c>
      <c r="C127" s="226" t="str">
        <f>CavityStatus[[#This Row],[Serial '#]]</f>
        <v>CAV124</v>
      </c>
      <c r="D127" s="227" t="str">
        <f>IF(CavityStatus[[#This Row],[Actual Ship Date]]&lt;&gt;0,CavityStatus[[#This Row],[Actual Ship Date]],"")</f>
        <v/>
      </c>
      <c r="E127" s="228">
        <f>CavityStatus[[#This Row],[Incentive Earned]]</f>
        <v>0</v>
      </c>
      <c r="F127" s="233" t="str">
        <f>IF(CavityStatus[[#This Row],[Receipt Date]]&lt;&gt;0,CavityStatus[[#This Row],[Receipt Date]],"")</f>
        <v/>
      </c>
      <c r="G127" s="228">
        <f>CavityStatus[[#This Row],[Recipe Modification (Mod 9)]]</f>
        <v>4283.18</v>
      </c>
      <c r="H127" s="228">
        <f>CavityStatus[[#This Row],[Caps            
 (Mod 10)]]</f>
        <v>490</v>
      </c>
      <c r="I127" s="228">
        <f>CavityStatus[[#This Row],[Delivery &amp; Acceptance]]</f>
        <v>40187.5</v>
      </c>
      <c r="J127" s="228">
        <f>CavityStatus[[#This Row],[Total]]</f>
        <v>44960.68</v>
      </c>
      <c r="K127" s="230" t="str">
        <f>IF(CavityStatus[[#This Row],[Accept Date]]&lt;&gt;0,CavityStatus[[#This Row],[Accept Date]],"")</f>
        <v/>
      </c>
    </row>
    <row r="128" spans="2:11" ht="14.4" hidden="1" thickBot="1" x14ac:dyDescent="0.3">
      <c r="B128" s="229" t="str">
        <f>IF(CavityStatus[[#This Row],[Unit '#]]&lt;&gt;0,CavityStatus[[#This Row],[Unit '#]],"")</f>
        <v/>
      </c>
      <c r="C128" s="226" t="str">
        <f>CavityStatus[[#This Row],[Serial '#]]</f>
        <v>CAV125</v>
      </c>
      <c r="D128" s="227" t="str">
        <f>IF(CavityStatus[[#This Row],[Actual Ship Date]]&lt;&gt;0,CavityStatus[[#This Row],[Actual Ship Date]],"")</f>
        <v/>
      </c>
      <c r="E128" s="228">
        <f>CavityStatus[[#This Row],[Incentive Earned]]</f>
        <v>0</v>
      </c>
      <c r="F128" s="233" t="str">
        <f>IF(CavityStatus[[#This Row],[Receipt Date]]&lt;&gt;0,CavityStatus[[#This Row],[Receipt Date]],"")</f>
        <v/>
      </c>
      <c r="G128" s="228">
        <f>CavityStatus[[#This Row],[Recipe Modification (Mod 9)]]</f>
        <v>4283.18</v>
      </c>
      <c r="H128" s="228">
        <f>CavityStatus[[#This Row],[Caps            
 (Mod 10)]]</f>
        <v>490</v>
      </c>
      <c r="I128" s="228">
        <f>CavityStatus[[#This Row],[Delivery &amp; Acceptance]]</f>
        <v>40187.5</v>
      </c>
      <c r="J128" s="228">
        <f>CavityStatus[[#This Row],[Total]]</f>
        <v>44960.68</v>
      </c>
      <c r="K128" s="230" t="str">
        <f>IF(CavityStatus[[#This Row],[Accept Date]]&lt;&gt;0,CavityStatus[[#This Row],[Accept Date]],"")</f>
        <v/>
      </c>
    </row>
    <row r="129" spans="2:11" ht="14.4" hidden="1" thickBot="1" x14ac:dyDescent="0.3">
      <c r="B129" s="229" t="str">
        <f>IF(CavityStatus[[#This Row],[Unit '#]]&lt;&gt;0,CavityStatus[[#This Row],[Unit '#]],"")</f>
        <v/>
      </c>
      <c r="C129" s="226" t="str">
        <f>CavityStatus[[#This Row],[Serial '#]]</f>
        <v>CAV126</v>
      </c>
      <c r="D129" s="227" t="str">
        <f>IF(CavityStatus[[#This Row],[Actual Ship Date]]&lt;&gt;0,CavityStatus[[#This Row],[Actual Ship Date]],"")</f>
        <v/>
      </c>
      <c r="E129" s="228">
        <f>CavityStatus[[#This Row],[Incentive Earned]]</f>
        <v>0</v>
      </c>
      <c r="F129" s="233" t="str">
        <f>IF(CavityStatus[[#This Row],[Receipt Date]]&lt;&gt;0,CavityStatus[[#This Row],[Receipt Date]],"")</f>
        <v/>
      </c>
      <c r="G129" s="228">
        <f>CavityStatus[[#This Row],[Recipe Modification (Mod 9)]]</f>
        <v>4283.18</v>
      </c>
      <c r="H129" s="228">
        <f>CavityStatus[[#This Row],[Caps            
 (Mod 10)]]</f>
        <v>490</v>
      </c>
      <c r="I129" s="228">
        <f>CavityStatus[[#This Row],[Delivery &amp; Acceptance]]</f>
        <v>40187.5</v>
      </c>
      <c r="J129" s="228">
        <f>CavityStatus[[#This Row],[Total]]</f>
        <v>44960.68</v>
      </c>
      <c r="K129" s="230" t="str">
        <f>IF(CavityStatus[[#This Row],[Accept Date]]&lt;&gt;0,CavityStatus[[#This Row],[Accept Date]],"")</f>
        <v/>
      </c>
    </row>
    <row r="130" spans="2:11" ht="14.4" hidden="1" thickBot="1" x14ac:dyDescent="0.3">
      <c r="B130" s="229" t="str">
        <f>IF(CavityStatus[[#This Row],[Unit '#]]&lt;&gt;0,CavityStatus[[#This Row],[Unit '#]],"")</f>
        <v/>
      </c>
      <c r="C130" s="226" t="str">
        <f>CavityStatus[[#This Row],[Serial '#]]</f>
        <v>CAV127</v>
      </c>
      <c r="D130" s="227" t="str">
        <f>IF(CavityStatus[[#This Row],[Actual Ship Date]]&lt;&gt;0,CavityStatus[[#This Row],[Actual Ship Date]],"")</f>
        <v/>
      </c>
      <c r="E130" s="228">
        <f>CavityStatus[[#This Row],[Incentive Earned]]</f>
        <v>0</v>
      </c>
      <c r="F130" s="233" t="str">
        <f>IF(CavityStatus[[#This Row],[Receipt Date]]&lt;&gt;0,CavityStatus[[#This Row],[Receipt Date]],"")</f>
        <v/>
      </c>
      <c r="G130" s="228">
        <f>CavityStatus[[#This Row],[Recipe Modification (Mod 9)]]</f>
        <v>4283.18</v>
      </c>
      <c r="H130" s="228">
        <f>CavityStatus[[#This Row],[Caps            
 (Mod 10)]]</f>
        <v>490</v>
      </c>
      <c r="I130" s="228">
        <f>CavityStatus[[#This Row],[Delivery &amp; Acceptance]]</f>
        <v>40187.5</v>
      </c>
      <c r="J130" s="228">
        <f>CavityStatus[[#This Row],[Total]]</f>
        <v>44960.68</v>
      </c>
      <c r="K130" s="230" t="str">
        <f>IF(CavityStatus[[#This Row],[Accept Date]]&lt;&gt;0,CavityStatus[[#This Row],[Accept Date]],"")</f>
        <v/>
      </c>
    </row>
    <row r="131" spans="2:11" ht="14.4" hidden="1" thickBot="1" x14ac:dyDescent="0.3">
      <c r="B131" s="229" t="str">
        <f>IF(CavityStatus[[#This Row],[Unit '#]]&lt;&gt;0,CavityStatus[[#This Row],[Unit '#]],"")</f>
        <v/>
      </c>
      <c r="C131" s="226" t="str">
        <f>CavityStatus[[#This Row],[Serial '#]]</f>
        <v>CAV128</v>
      </c>
      <c r="D131" s="227" t="str">
        <f>IF(CavityStatus[[#This Row],[Actual Ship Date]]&lt;&gt;0,CavityStatus[[#This Row],[Actual Ship Date]],"")</f>
        <v/>
      </c>
      <c r="E131" s="228">
        <f>CavityStatus[[#This Row],[Incentive Earned]]</f>
        <v>0</v>
      </c>
      <c r="F131" s="233" t="str">
        <f>IF(CavityStatus[[#This Row],[Receipt Date]]&lt;&gt;0,CavityStatus[[#This Row],[Receipt Date]],"")</f>
        <v/>
      </c>
      <c r="G131" s="228">
        <f>CavityStatus[[#This Row],[Recipe Modification (Mod 9)]]</f>
        <v>4283.18</v>
      </c>
      <c r="H131" s="228">
        <f>CavityStatus[[#This Row],[Caps            
 (Mod 10)]]</f>
        <v>490</v>
      </c>
      <c r="I131" s="228">
        <f>CavityStatus[[#This Row],[Delivery &amp; Acceptance]]</f>
        <v>40187.5</v>
      </c>
      <c r="J131" s="228">
        <f>CavityStatus[[#This Row],[Total]]</f>
        <v>44960.68</v>
      </c>
      <c r="K131" s="230" t="str">
        <f>IF(CavityStatus[[#This Row],[Accept Date]]&lt;&gt;0,CavityStatus[[#This Row],[Accept Date]],"")</f>
        <v/>
      </c>
    </row>
    <row r="132" spans="2:11" ht="14.4" hidden="1" thickBot="1" x14ac:dyDescent="0.3">
      <c r="B132" s="229" t="str">
        <f>IF(CavityStatus[[#This Row],[Unit '#]]&lt;&gt;0,CavityStatus[[#This Row],[Unit '#]],"")</f>
        <v/>
      </c>
      <c r="C132" s="226" t="str">
        <f>CavityStatus[[#This Row],[Serial '#]]</f>
        <v>CAV129</v>
      </c>
      <c r="D132" s="227" t="str">
        <f>IF(CavityStatus[[#This Row],[Actual Ship Date]]&lt;&gt;0,CavityStatus[[#This Row],[Actual Ship Date]],"")</f>
        <v/>
      </c>
      <c r="E132" s="228">
        <f>CavityStatus[[#This Row],[Incentive Earned]]</f>
        <v>0</v>
      </c>
      <c r="F132" s="233" t="str">
        <f>IF(CavityStatus[[#This Row],[Receipt Date]]&lt;&gt;0,CavityStatus[[#This Row],[Receipt Date]],"")</f>
        <v/>
      </c>
      <c r="G132" s="228">
        <f>CavityStatus[[#This Row],[Recipe Modification (Mod 9)]]</f>
        <v>4283.18</v>
      </c>
      <c r="H132" s="228">
        <f>CavityStatus[[#This Row],[Caps            
 (Mod 10)]]</f>
        <v>490</v>
      </c>
      <c r="I132" s="228">
        <f>CavityStatus[[#This Row],[Delivery &amp; Acceptance]]</f>
        <v>40187.5</v>
      </c>
      <c r="J132" s="228">
        <f>CavityStatus[[#This Row],[Total]]</f>
        <v>44960.68</v>
      </c>
      <c r="K132" s="230" t="str">
        <f>IF(CavityStatus[[#This Row],[Accept Date]]&lt;&gt;0,CavityStatus[[#This Row],[Accept Date]],"")</f>
        <v/>
      </c>
    </row>
    <row r="133" spans="2:11" ht="14.4" hidden="1" thickBot="1" x14ac:dyDescent="0.3">
      <c r="B133" s="229" t="str">
        <f>IF(CavityStatus[[#This Row],[Unit '#]]&lt;&gt;0,CavityStatus[[#This Row],[Unit '#]],"")</f>
        <v/>
      </c>
      <c r="C133" s="226" t="str">
        <f>CavityStatus[[#This Row],[Serial '#]]</f>
        <v>CAV130</v>
      </c>
      <c r="D133" s="227" t="str">
        <f>IF(CavityStatus[[#This Row],[Actual Ship Date]]&lt;&gt;0,CavityStatus[[#This Row],[Actual Ship Date]],"")</f>
        <v/>
      </c>
      <c r="E133" s="228">
        <f>CavityStatus[[#This Row],[Incentive Earned]]</f>
        <v>0</v>
      </c>
      <c r="F133" s="233" t="str">
        <f>IF(CavityStatus[[#This Row],[Receipt Date]]&lt;&gt;0,CavityStatus[[#This Row],[Receipt Date]],"")</f>
        <v/>
      </c>
      <c r="G133" s="228">
        <f>CavityStatus[[#This Row],[Recipe Modification (Mod 9)]]</f>
        <v>4283.18</v>
      </c>
      <c r="H133" s="228">
        <f>CavityStatus[[#This Row],[Caps            
 (Mod 10)]]</f>
        <v>490</v>
      </c>
      <c r="I133" s="228">
        <f>CavityStatus[[#This Row],[Delivery &amp; Acceptance]]</f>
        <v>40187.5</v>
      </c>
      <c r="J133" s="228">
        <f>CavityStatus[[#This Row],[Total]]</f>
        <v>44960.68</v>
      </c>
      <c r="K133" s="230" t="str">
        <f>IF(CavityStatus[[#This Row],[Accept Date]]&lt;&gt;0,CavityStatus[[#This Row],[Accept Date]],"")</f>
        <v/>
      </c>
    </row>
    <row r="134" spans="2:11" ht="14.4" hidden="1" thickBot="1" x14ac:dyDescent="0.3">
      <c r="B134" s="229" t="str">
        <f>IF(CavityStatus[[#This Row],[Unit '#]]&lt;&gt;0,CavityStatus[[#This Row],[Unit '#]],"")</f>
        <v/>
      </c>
      <c r="C134" s="226" t="str">
        <f>CavityStatus[[#This Row],[Serial '#]]</f>
        <v>CAV131</v>
      </c>
      <c r="D134" s="227" t="str">
        <f>IF(CavityStatus[[#This Row],[Actual Ship Date]]&lt;&gt;0,CavityStatus[[#This Row],[Actual Ship Date]],"")</f>
        <v/>
      </c>
      <c r="E134" s="228">
        <f>CavityStatus[[#This Row],[Incentive Earned]]</f>
        <v>0</v>
      </c>
      <c r="F134" s="233" t="str">
        <f>IF(CavityStatus[[#This Row],[Receipt Date]]&lt;&gt;0,CavityStatus[[#This Row],[Receipt Date]],"")</f>
        <v/>
      </c>
      <c r="G134" s="228">
        <f>CavityStatus[[#This Row],[Recipe Modification (Mod 9)]]</f>
        <v>4283.18</v>
      </c>
      <c r="H134" s="228">
        <f>CavityStatus[[#This Row],[Caps            
 (Mod 10)]]</f>
        <v>490</v>
      </c>
      <c r="I134" s="228">
        <f>CavityStatus[[#This Row],[Delivery &amp; Acceptance]]</f>
        <v>40187.5</v>
      </c>
      <c r="J134" s="228">
        <f>CavityStatus[[#This Row],[Total]]</f>
        <v>44960.68</v>
      </c>
      <c r="K134" s="230" t="str">
        <f>IF(CavityStatus[[#This Row],[Accept Date]]&lt;&gt;0,CavityStatus[[#This Row],[Accept Date]],"")</f>
        <v/>
      </c>
    </row>
    <row r="135" spans="2:11" ht="14.4" hidden="1" thickBot="1" x14ac:dyDescent="0.3">
      <c r="B135" s="229" t="str">
        <f>IF(CavityStatus[[#This Row],[Unit '#]]&lt;&gt;0,CavityStatus[[#This Row],[Unit '#]],"")</f>
        <v/>
      </c>
      <c r="C135" s="226" t="str">
        <f>CavityStatus[[#This Row],[Serial '#]]</f>
        <v>CAV132</v>
      </c>
      <c r="D135" s="227" t="str">
        <f>IF(CavityStatus[[#This Row],[Actual Ship Date]]&lt;&gt;0,CavityStatus[[#This Row],[Actual Ship Date]],"")</f>
        <v/>
      </c>
      <c r="E135" s="228">
        <f>CavityStatus[[#This Row],[Incentive Earned]]</f>
        <v>0</v>
      </c>
      <c r="F135" s="233" t="str">
        <f>IF(CavityStatus[[#This Row],[Receipt Date]]&lt;&gt;0,CavityStatus[[#This Row],[Receipt Date]],"")</f>
        <v/>
      </c>
      <c r="G135" s="228">
        <f>CavityStatus[[#This Row],[Recipe Modification (Mod 9)]]</f>
        <v>4283.18</v>
      </c>
      <c r="H135" s="228">
        <f>CavityStatus[[#This Row],[Caps            
 (Mod 10)]]</f>
        <v>490</v>
      </c>
      <c r="I135" s="228">
        <f>CavityStatus[[#This Row],[Delivery &amp; Acceptance]]</f>
        <v>40187.5</v>
      </c>
      <c r="J135" s="228">
        <f>CavityStatus[[#This Row],[Total]]</f>
        <v>44960.68</v>
      </c>
      <c r="K135" s="230" t="str">
        <f>IF(CavityStatus[[#This Row],[Accept Date]]&lt;&gt;0,CavityStatus[[#This Row],[Accept Date]],"")</f>
        <v/>
      </c>
    </row>
    <row r="136" spans="2:11" ht="14.4" hidden="1" thickBot="1" x14ac:dyDescent="0.3">
      <c r="B136" s="229" t="str">
        <f>IF(CavityStatus[[#This Row],[Unit '#]]&lt;&gt;0,CavityStatus[[#This Row],[Unit '#]],"")</f>
        <v/>
      </c>
      <c r="C136" s="226" t="str">
        <f>CavityStatus[[#This Row],[Serial '#]]</f>
        <v>CAV133</v>
      </c>
      <c r="D136" s="227" t="str">
        <f>IF(CavityStatus[[#This Row],[Actual Ship Date]]&lt;&gt;0,CavityStatus[[#This Row],[Actual Ship Date]],"")</f>
        <v/>
      </c>
      <c r="E136" s="228">
        <f>CavityStatus[[#This Row],[Incentive Earned]]</f>
        <v>0</v>
      </c>
      <c r="F136" s="233" t="str">
        <f>IF(CavityStatus[[#This Row],[Receipt Date]]&lt;&gt;0,CavityStatus[[#This Row],[Receipt Date]],"")</f>
        <v/>
      </c>
      <c r="G136" s="228">
        <f>CavityStatus[[#This Row],[Recipe Modification (Mod 9)]]</f>
        <v>4283.8400000006659</v>
      </c>
      <c r="H136" s="228">
        <f>CavityStatus[[#This Row],[Caps            
 (Mod 10)]]</f>
        <v>470</v>
      </c>
      <c r="I136" s="228">
        <f>CavityStatus[[#This Row],[Delivery &amp; Acceptance]]</f>
        <v>40187.5</v>
      </c>
      <c r="J136" s="228">
        <f>CavityStatus[[#This Row],[Total]]</f>
        <v>44941.340000000666</v>
      </c>
      <c r="K136" s="230" t="str">
        <f>IF(CavityStatus[[#This Row],[Accept Date]]&lt;&gt;0,CavityStatus[[#This Row],[Accept Date]],"")</f>
        <v/>
      </c>
    </row>
    <row r="137" spans="2:11" ht="14.4" hidden="1" thickBot="1" x14ac:dyDescent="0.3">
      <c r="B137" s="229" t="str">
        <f>IF(CavityStatus[[#This Row],[Unit '#]]&lt;&gt;0,CavityStatus[[#This Row],[Unit '#]],"")</f>
        <v/>
      </c>
      <c r="C137" s="226" t="str">
        <f>CavityStatus[[#This Row],[Serial '#]]</f>
        <v>CAV134</v>
      </c>
      <c r="D137" s="227" t="str">
        <f>IF(CavityStatus[[#This Row],[Actual Ship Date]]&lt;&gt;0,CavityStatus[[#This Row],[Actual Ship Date]],"")</f>
        <v/>
      </c>
      <c r="E137" s="228">
        <f>CavityStatus[[#This Row],[Incentive Earned]]</f>
        <v>0</v>
      </c>
      <c r="F137" s="233" t="str">
        <f>IF(CavityStatus[[#This Row],[Receipt Date]]&lt;&gt;0,CavityStatus[[#This Row],[Receipt Date]],"")</f>
        <v/>
      </c>
      <c r="G137" s="228">
        <f>CavityStatus[[#This Row],[Recipe Modification (Mod 9)]]</f>
        <v>0</v>
      </c>
      <c r="H137" s="228">
        <f>CavityStatus[[#This Row],[Caps            
 (Mod 10)]]</f>
        <v>0</v>
      </c>
      <c r="I137" s="228">
        <f>CavityStatus[[#This Row],[Delivery &amp; Acceptance]]</f>
        <v>40187.5</v>
      </c>
      <c r="J137" s="228">
        <f>CavityStatus[[#This Row],[Total]]</f>
        <v>40187.5</v>
      </c>
      <c r="K137" s="230" t="str">
        <f>IF(CavityStatus[[#This Row],[Accept Date]]&lt;&gt;0,CavityStatus[[#This Row],[Accept Date]],"")</f>
        <v/>
      </c>
    </row>
    <row r="138" spans="2:11" ht="14.4" hidden="1" thickBot="1" x14ac:dyDescent="0.3">
      <c r="B138" s="229" t="str">
        <f>IF(CavityStatus[[#This Row],[Unit '#]]&lt;&gt;0,CavityStatus[[#This Row],[Unit '#]],"")</f>
        <v/>
      </c>
      <c r="C138" s="226" t="str">
        <f>CavityStatus[[#This Row],[Serial '#]]</f>
        <v>CAV135</v>
      </c>
      <c r="D138" s="227" t="str">
        <f>IF(CavityStatus[[#This Row],[Actual Ship Date]]&lt;&gt;0,CavityStatus[[#This Row],[Actual Ship Date]],"")</f>
        <v/>
      </c>
      <c r="E138" s="228">
        <f>CavityStatus[[#This Row],[Incentive Earned]]</f>
        <v>0</v>
      </c>
      <c r="F138" s="233" t="str">
        <f>IF(CavityStatus[[#This Row],[Receipt Date]]&lt;&gt;0,CavityStatus[[#This Row],[Receipt Date]],"")</f>
        <v/>
      </c>
      <c r="G138" s="228">
        <f>CavityStatus[[#This Row],[Recipe Modification (Mod 9)]]</f>
        <v>0</v>
      </c>
      <c r="H138" s="228">
        <f>CavityStatus[[#This Row],[Caps            
 (Mod 10)]]</f>
        <v>0</v>
      </c>
      <c r="I138" s="228">
        <f>CavityStatus[[#This Row],[Delivery &amp; Acceptance]]</f>
        <v>40187.5</v>
      </c>
      <c r="J138" s="228">
        <f>CavityStatus[[#This Row],[Total]]</f>
        <v>40187.5</v>
      </c>
      <c r="K138" s="230" t="str">
        <f>IF(CavityStatus[[#This Row],[Accept Date]]&lt;&gt;0,CavityStatus[[#This Row],[Accept Date]],"")</f>
        <v/>
      </c>
    </row>
    <row r="139" spans="2:11" ht="14.4" hidden="1" thickBot="1" x14ac:dyDescent="0.3">
      <c r="B139" s="229" t="str">
        <f>IF(CavityStatus[[#This Row],[Unit '#]]&lt;&gt;0,CavityStatus[[#This Row],[Unit '#]],"")</f>
        <v/>
      </c>
      <c r="C139" s="226" t="str">
        <f>CavityStatus[[#This Row],[Serial '#]]</f>
        <v>CAV136</v>
      </c>
      <c r="D139" s="227" t="str">
        <f>IF(CavityStatus[[#This Row],[Actual Ship Date]]&lt;&gt;0,CavityStatus[[#This Row],[Actual Ship Date]],"")</f>
        <v/>
      </c>
      <c r="E139" s="228">
        <f>CavityStatus[[#This Row],[Incentive Earned]]</f>
        <v>0</v>
      </c>
      <c r="F139" s="233" t="str">
        <f>IF(CavityStatus[[#This Row],[Receipt Date]]&lt;&gt;0,CavityStatus[[#This Row],[Receipt Date]],"")</f>
        <v/>
      </c>
      <c r="G139" s="228">
        <f>CavityStatus[[#This Row],[Recipe Modification (Mod 9)]]</f>
        <v>0</v>
      </c>
      <c r="H139" s="228">
        <f>CavityStatus[[#This Row],[Caps            
 (Mod 10)]]</f>
        <v>0</v>
      </c>
      <c r="I139" s="228">
        <f>CavityStatus[[#This Row],[Delivery &amp; Acceptance]]</f>
        <v>40187.5</v>
      </c>
      <c r="J139" s="228">
        <f>CavityStatus[[#This Row],[Total]]</f>
        <v>40187.5</v>
      </c>
      <c r="K139" s="230" t="str">
        <f>IF(CavityStatus[[#This Row],[Accept Date]]&lt;&gt;0,CavityStatus[[#This Row],[Accept Date]],"")</f>
        <v/>
      </c>
    </row>
    <row r="140" spans="2:11" ht="14.4" hidden="1" thickBot="1" x14ac:dyDescent="0.3">
      <c r="B140" s="229" t="str">
        <f>IF(CavityStatus[[#This Row],[Unit '#]]&lt;&gt;0,CavityStatus[[#This Row],[Unit '#]],"")</f>
        <v/>
      </c>
      <c r="C140" s="226" t="str">
        <f>CavityStatus[[#This Row],[Serial '#]]</f>
        <v>CAV137</v>
      </c>
      <c r="D140" s="227" t="str">
        <f>IF(CavityStatus[[#This Row],[Actual Ship Date]]&lt;&gt;0,CavityStatus[[#This Row],[Actual Ship Date]],"")</f>
        <v/>
      </c>
      <c r="E140" s="228">
        <f>CavityStatus[[#This Row],[Incentive Earned]]</f>
        <v>0</v>
      </c>
      <c r="F140" s="233" t="str">
        <f>IF(CavityStatus[[#This Row],[Receipt Date]]&lt;&gt;0,CavityStatus[[#This Row],[Receipt Date]],"")</f>
        <v/>
      </c>
      <c r="G140" s="228">
        <f>CavityStatus[[#This Row],[Recipe Modification (Mod 9)]]</f>
        <v>0</v>
      </c>
      <c r="H140" s="228">
        <f>CavityStatus[[#This Row],[Caps            
 (Mod 10)]]</f>
        <v>0</v>
      </c>
      <c r="I140" s="228">
        <f>CavityStatus[[#This Row],[Delivery &amp; Acceptance]]</f>
        <v>40187.5</v>
      </c>
      <c r="J140" s="228">
        <f>CavityStatus[[#This Row],[Total]]</f>
        <v>40187.5</v>
      </c>
      <c r="K140" s="230" t="str">
        <f>IF(CavityStatus[[#This Row],[Accept Date]]&lt;&gt;0,CavityStatus[[#This Row],[Accept Date]],"")</f>
        <v/>
      </c>
    </row>
    <row r="141" spans="2:11" ht="14.4" hidden="1" thickBot="1" x14ac:dyDescent="0.3">
      <c r="B141" s="229" t="str">
        <f>IF(CavityStatus[[#This Row],[Unit '#]]&lt;&gt;0,CavityStatus[[#This Row],[Unit '#]],"")</f>
        <v/>
      </c>
      <c r="C141" s="226" t="str">
        <f>CavityStatus[[#This Row],[Serial '#]]</f>
        <v>CAV138</v>
      </c>
      <c r="D141" s="227" t="str">
        <f>IF(CavityStatus[[#This Row],[Actual Ship Date]]&lt;&gt;0,CavityStatus[[#This Row],[Actual Ship Date]],"")</f>
        <v/>
      </c>
      <c r="E141" s="228">
        <f>CavityStatus[[#This Row],[Incentive Earned]]</f>
        <v>0</v>
      </c>
      <c r="F141" s="233" t="str">
        <f>IF(CavityStatus[[#This Row],[Receipt Date]]&lt;&gt;0,CavityStatus[[#This Row],[Receipt Date]],"")</f>
        <v/>
      </c>
      <c r="G141" s="228">
        <f>CavityStatus[[#This Row],[Recipe Modification (Mod 9)]]</f>
        <v>0</v>
      </c>
      <c r="H141" s="228">
        <f>CavityStatus[[#This Row],[Caps            
 (Mod 10)]]</f>
        <v>0</v>
      </c>
      <c r="I141" s="228">
        <f>CavityStatus[[#This Row],[Delivery &amp; Acceptance]]</f>
        <v>40187.5</v>
      </c>
      <c r="J141" s="228">
        <f>CavityStatus[[#This Row],[Total]]</f>
        <v>40187.5</v>
      </c>
      <c r="K141" s="230" t="str">
        <f>IF(CavityStatus[[#This Row],[Accept Date]]&lt;&gt;0,CavityStatus[[#This Row],[Accept Date]],"")</f>
        <v/>
      </c>
    </row>
    <row r="142" spans="2:11" ht="14.4" hidden="1" thickBot="1" x14ac:dyDescent="0.3">
      <c r="B142" s="229" t="str">
        <f>IF(CavityStatus[[#This Row],[Unit '#]]&lt;&gt;0,CavityStatus[[#This Row],[Unit '#]],"")</f>
        <v/>
      </c>
      <c r="C142" s="226" t="str">
        <f>CavityStatus[[#This Row],[Serial '#]]</f>
        <v>CAV139</v>
      </c>
      <c r="D142" s="227" t="str">
        <f>IF(CavityStatus[[#This Row],[Actual Ship Date]]&lt;&gt;0,CavityStatus[[#This Row],[Actual Ship Date]],"")</f>
        <v/>
      </c>
      <c r="E142" s="228">
        <f>CavityStatus[[#This Row],[Incentive Earned]]</f>
        <v>0</v>
      </c>
      <c r="F142" s="233" t="str">
        <f>IF(CavityStatus[[#This Row],[Receipt Date]]&lt;&gt;0,CavityStatus[[#This Row],[Receipt Date]],"")</f>
        <v/>
      </c>
      <c r="G142" s="228">
        <f>CavityStatus[[#This Row],[Recipe Modification (Mod 9)]]</f>
        <v>0</v>
      </c>
      <c r="H142" s="228">
        <f>CavityStatus[[#This Row],[Caps            
 (Mod 10)]]</f>
        <v>0</v>
      </c>
      <c r="I142" s="228">
        <f>CavityStatus[[#This Row],[Delivery &amp; Acceptance]]</f>
        <v>40187.5</v>
      </c>
      <c r="J142" s="228">
        <f>CavityStatus[[#This Row],[Total]]</f>
        <v>40187.5</v>
      </c>
      <c r="K142" s="230" t="str">
        <f>IF(CavityStatus[[#This Row],[Accept Date]]&lt;&gt;0,CavityStatus[[#This Row],[Accept Date]],"")</f>
        <v/>
      </c>
    </row>
    <row r="143" spans="2:11" ht="14.4" hidden="1" thickBot="1" x14ac:dyDescent="0.3">
      <c r="B143" s="229" t="str">
        <f>IF(CavityStatus[[#This Row],[Unit '#]]&lt;&gt;0,CavityStatus[[#This Row],[Unit '#]],"")</f>
        <v/>
      </c>
      <c r="C143" s="226" t="str">
        <f>CavityStatus[[#This Row],[Serial '#]]</f>
        <v>CAV140</v>
      </c>
      <c r="D143" s="227" t="str">
        <f>IF(CavityStatus[[#This Row],[Actual Ship Date]]&lt;&gt;0,CavityStatus[[#This Row],[Actual Ship Date]],"")</f>
        <v/>
      </c>
      <c r="E143" s="228">
        <f>CavityStatus[[#This Row],[Incentive Earned]]</f>
        <v>0</v>
      </c>
      <c r="F143" s="233" t="str">
        <f>IF(CavityStatus[[#This Row],[Receipt Date]]&lt;&gt;0,CavityStatus[[#This Row],[Receipt Date]],"")</f>
        <v/>
      </c>
      <c r="G143" s="228">
        <f>CavityStatus[[#This Row],[Recipe Modification (Mod 9)]]</f>
        <v>0</v>
      </c>
      <c r="H143" s="228">
        <f>CavityStatus[[#This Row],[Caps            
 (Mod 10)]]</f>
        <v>0</v>
      </c>
      <c r="I143" s="228">
        <f>CavityStatus[[#This Row],[Delivery &amp; Acceptance]]</f>
        <v>40187.5</v>
      </c>
      <c r="J143" s="228">
        <f>CavityStatus[[#This Row],[Total]]</f>
        <v>40187.5</v>
      </c>
      <c r="K143" s="230" t="str">
        <f>IF(CavityStatus[[#This Row],[Accept Date]]&lt;&gt;0,CavityStatus[[#This Row],[Accept Date]],"")</f>
        <v/>
      </c>
    </row>
    <row r="144" spans="2:11" ht="14.4" hidden="1" thickBot="1" x14ac:dyDescent="0.3">
      <c r="B144" s="229" t="str">
        <f>IF(CavityStatus[[#This Row],[Unit '#]]&lt;&gt;0,CavityStatus[[#This Row],[Unit '#]],"")</f>
        <v/>
      </c>
      <c r="C144" s="226" t="str">
        <f>CavityStatus[[#This Row],[Serial '#]]</f>
        <v>CAV141</v>
      </c>
      <c r="D144" s="227" t="str">
        <f>IF(CavityStatus[[#This Row],[Actual Ship Date]]&lt;&gt;0,CavityStatus[[#This Row],[Actual Ship Date]],"")</f>
        <v/>
      </c>
      <c r="E144" s="228">
        <f>CavityStatus[[#This Row],[Incentive Earned]]</f>
        <v>0</v>
      </c>
      <c r="F144" s="233" t="str">
        <f>IF(CavityStatus[[#This Row],[Receipt Date]]&lt;&gt;0,CavityStatus[[#This Row],[Receipt Date]],"")</f>
        <v/>
      </c>
      <c r="G144" s="228">
        <f>CavityStatus[[#This Row],[Recipe Modification (Mod 9)]]</f>
        <v>0</v>
      </c>
      <c r="H144" s="228">
        <f>CavityStatus[[#This Row],[Caps            
 (Mod 10)]]</f>
        <v>0</v>
      </c>
      <c r="I144" s="228">
        <f>CavityStatus[[#This Row],[Delivery &amp; Acceptance]]</f>
        <v>40187.5</v>
      </c>
      <c r="J144" s="228">
        <f>CavityStatus[[#This Row],[Total]]</f>
        <v>40187.5</v>
      </c>
      <c r="K144" s="230" t="str">
        <f>IF(CavityStatus[[#This Row],[Accept Date]]&lt;&gt;0,CavityStatus[[#This Row],[Accept Date]],"")</f>
        <v/>
      </c>
    </row>
    <row r="145" spans="2:11" ht="14.4" hidden="1" thickBot="1" x14ac:dyDescent="0.3">
      <c r="B145" s="229" t="str">
        <f>IF(CavityStatus[[#This Row],[Unit '#]]&lt;&gt;0,CavityStatus[[#This Row],[Unit '#]],"")</f>
        <v/>
      </c>
      <c r="C145" s="226" t="str">
        <f>CavityStatus[[#This Row],[Serial '#]]</f>
        <v>CAV142</v>
      </c>
      <c r="D145" s="227" t="str">
        <f>IF(CavityStatus[[#This Row],[Actual Ship Date]]&lt;&gt;0,CavityStatus[[#This Row],[Actual Ship Date]],"")</f>
        <v/>
      </c>
      <c r="E145" s="228">
        <f>CavityStatus[[#This Row],[Incentive Earned]]</f>
        <v>0</v>
      </c>
      <c r="F145" s="233" t="str">
        <f>IF(CavityStatus[[#This Row],[Receipt Date]]&lt;&gt;0,CavityStatus[[#This Row],[Receipt Date]],"")</f>
        <v/>
      </c>
      <c r="G145" s="228">
        <f>CavityStatus[[#This Row],[Recipe Modification (Mod 9)]]</f>
        <v>0</v>
      </c>
      <c r="H145" s="228">
        <f>CavityStatus[[#This Row],[Caps            
 (Mod 10)]]</f>
        <v>0</v>
      </c>
      <c r="I145" s="228">
        <f>CavityStatus[[#This Row],[Delivery &amp; Acceptance]]</f>
        <v>40187.5</v>
      </c>
      <c r="J145" s="228">
        <f>CavityStatus[[#This Row],[Total]]</f>
        <v>40187.5</v>
      </c>
      <c r="K145" s="230" t="str">
        <f>IF(CavityStatus[[#This Row],[Accept Date]]&lt;&gt;0,CavityStatus[[#This Row],[Accept Date]],"")</f>
        <v/>
      </c>
    </row>
    <row r="146" spans="2:11" ht="14.4" hidden="1" thickBot="1" x14ac:dyDescent="0.3">
      <c r="B146" s="229" t="str">
        <f>IF(CavityStatus[[#This Row],[Unit '#]]&lt;&gt;0,CavityStatus[[#This Row],[Unit '#]],"")</f>
        <v/>
      </c>
      <c r="C146" s="226" t="str">
        <f>CavityStatus[[#This Row],[Serial '#]]</f>
        <v>CAV143</v>
      </c>
      <c r="D146" s="227" t="str">
        <f>IF(CavityStatus[[#This Row],[Actual Ship Date]]&lt;&gt;0,CavityStatus[[#This Row],[Actual Ship Date]],"")</f>
        <v/>
      </c>
      <c r="E146" s="228">
        <f>CavityStatus[[#This Row],[Incentive Earned]]</f>
        <v>0</v>
      </c>
      <c r="F146" s="233" t="str">
        <f>IF(CavityStatus[[#This Row],[Receipt Date]]&lt;&gt;0,CavityStatus[[#This Row],[Receipt Date]],"")</f>
        <v/>
      </c>
      <c r="G146" s="228">
        <f>CavityStatus[[#This Row],[Recipe Modification (Mod 9)]]</f>
        <v>0</v>
      </c>
      <c r="H146" s="228">
        <f>CavityStatus[[#This Row],[Caps            
 (Mod 10)]]</f>
        <v>511.50442477876106</v>
      </c>
      <c r="I146" s="228">
        <f>CavityStatus[[#This Row],[Delivery &amp; Acceptance]]</f>
        <v>40187.5</v>
      </c>
      <c r="J146" s="228">
        <f>CavityStatus[[#This Row],[Total]]</f>
        <v>40699.004424778759</v>
      </c>
      <c r="K146" s="230" t="str">
        <f>IF(CavityStatus[[#This Row],[Accept Date]]&lt;&gt;0,CavityStatus[[#This Row],[Accept Date]],"")</f>
        <v/>
      </c>
    </row>
    <row r="147" spans="2:11" ht="14.4" hidden="1" thickBot="1" x14ac:dyDescent="0.3">
      <c r="B147" s="229" t="str">
        <f>IF(CavityStatus[[#This Row],[Unit '#]]&lt;&gt;0,CavityStatus[[#This Row],[Unit '#]],"")</f>
        <v/>
      </c>
      <c r="C147" s="226" t="str">
        <f>CavityStatus[[#This Row],[Serial '#]]</f>
        <v>CAV144</v>
      </c>
      <c r="D147" s="227" t="str">
        <f>IF(CavityStatus[[#This Row],[Actual Ship Date]]&lt;&gt;0,CavityStatus[[#This Row],[Actual Ship Date]],"")</f>
        <v/>
      </c>
      <c r="E147" s="228">
        <f>CavityStatus[[#This Row],[Incentive Earned]]</f>
        <v>0</v>
      </c>
      <c r="F147" s="233" t="str">
        <f>IF(CavityStatus[[#This Row],[Receipt Date]]&lt;&gt;0,CavityStatus[[#This Row],[Receipt Date]],"")</f>
        <v/>
      </c>
      <c r="G147" s="228">
        <f>CavityStatus[[#This Row],[Recipe Modification (Mod 9)]]</f>
        <v>0</v>
      </c>
      <c r="H147" s="228">
        <f>CavityStatus[[#This Row],[Caps            
 (Mod 10)]]</f>
        <v>511.50442477876106</v>
      </c>
      <c r="I147" s="228">
        <f>CavityStatus[[#This Row],[Delivery &amp; Acceptance]]</f>
        <v>40187.5</v>
      </c>
      <c r="J147" s="228">
        <f>CavityStatus[[#This Row],[Total]]</f>
        <v>40699.004424778759</v>
      </c>
      <c r="K147" s="230" t="str">
        <f>IF(CavityStatus[[#This Row],[Accept Date]]&lt;&gt;0,CavityStatus[[#This Row],[Accept Date]],"")</f>
        <v/>
      </c>
    </row>
    <row r="148" spans="2:11" ht="14.4" hidden="1" thickBot="1" x14ac:dyDescent="0.3">
      <c r="B148" s="229" t="str">
        <f>IF(CavityStatus[[#This Row],[Unit '#]]&lt;&gt;0,CavityStatus[[#This Row],[Unit '#]],"")</f>
        <v/>
      </c>
      <c r="C148" s="226" t="str">
        <f>CavityStatus[[#This Row],[Serial '#]]</f>
        <v>CAV145</v>
      </c>
      <c r="D148" s="227" t="str">
        <f>IF(CavityStatus[[#This Row],[Actual Ship Date]]&lt;&gt;0,CavityStatus[[#This Row],[Actual Ship Date]],"")</f>
        <v/>
      </c>
      <c r="E148" s="228">
        <f>CavityStatus[[#This Row],[Incentive Earned]]</f>
        <v>0</v>
      </c>
      <c r="F148" s="233" t="str">
        <f>IF(CavityStatus[[#This Row],[Receipt Date]]&lt;&gt;0,CavityStatus[[#This Row],[Receipt Date]],"")</f>
        <v/>
      </c>
      <c r="G148" s="228">
        <f>CavityStatus[[#This Row],[Recipe Modification (Mod 9)]]</f>
        <v>0</v>
      </c>
      <c r="H148" s="228">
        <f>CavityStatus[[#This Row],[Caps            
 (Mod 10)]]</f>
        <v>511.50442477876106</v>
      </c>
      <c r="I148" s="228">
        <f>CavityStatus[[#This Row],[Delivery &amp; Acceptance]]</f>
        <v>40187.5</v>
      </c>
      <c r="J148" s="228">
        <f>CavityStatus[[#This Row],[Total]]</f>
        <v>40699.004424778759</v>
      </c>
      <c r="K148" s="230" t="str">
        <f>IF(CavityStatus[[#This Row],[Accept Date]]&lt;&gt;0,CavityStatus[[#This Row],[Accept Date]],"")</f>
        <v/>
      </c>
    </row>
    <row r="149" spans="2:11" ht="14.4" hidden="1" thickBot="1" x14ac:dyDescent="0.3">
      <c r="B149" s="229" t="str">
        <f>IF(CavityStatus[[#This Row],[Unit '#]]&lt;&gt;0,CavityStatus[[#This Row],[Unit '#]],"")</f>
        <v/>
      </c>
      <c r="C149" s="226" t="str">
        <f>CavityStatus[[#This Row],[Serial '#]]</f>
        <v>CAV146</v>
      </c>
      <c r="D149" s="227" t="str">
        <f>IF(CavityStatus[[#This Row],[Actual Ship Date]]&lt;&gt;0,CavityStatus[[#This Row],[Actual Ship Date]],"")</f>
        <v/>
      </c>
      <c r="E149" s="228">
        <f>CavityStatus[[#This Row],[Incentive Earned]]</f>
        <v>0</v>
      </c>
      <c r="F149" s="233" t="str">
        <f>IF(CavityStatus[[#This Row],[Receipt Date]]&lt;&gt;0,CavityStatus[[#This Row],[Receipt Date]],"")</f>
        <v/>
      </c>
      <c r="G149" s="228">
        <f>CavityStatus[[#This Row],[Recipe Modification (Mod 9)]]</f>
        <v>0</v>
      </c>
      <c r="H149" s="228">
        <f>CavityStatus[[#This Row],[Caps            
 (Mod 10)]]</f>
        <v>511.50442477876106</v>
      </c>
      <c r="I149" s="228">
        <f>CavityStatus[[#This Row],[Delivery &amp; Acceptance]]</f>
        <v>40187.5</v>
      </c>
      <c r="J149" s="228">
        <f>CavityStatus[[#This Row],[Total]]</f>
        <v>40699.004424778759</v>
      </c>
      <c r="K149" s="230" t="str">
        <f>IF(CavityStatus[[#This Row],[Accept Date]]&lt;&gt;0,CavityStatus[[#This Row],[Accept Date]],"")</f>
        <v/>
      </c>
    </row>
    <row r="150" spans="2:11" ht="14.4" hidden="1" thickBot="1" x14ac:dyDescent="0.3">
      <c r="B150" s="229" t="str">
        <f>IF(CavityStatus[[#This Row],[Unit '#]]&lt;&gt;0,CavityStatus[[#This Row],[Unit '#]],"")</f>
        <v/>
      </c>
      <c r="C150" s="226" t="str">
        <f>CavityStatus[[#This Row],[Serial '#]]</f>
        <v>CAV147</v>
      </c>
      <c r="D150" s="227" t="str">
        <f>IF(CavityStatus[[#This Row],[Actual Ship Date]]&lt;&gt;0,CavityStatus[[#This Row],[Actual Ship Date]],"")</f>
        <v/>
      </c>
      <c r="E150" s="228">
        <f>CavityStatus[[#This Row],[Incentive Earned]]</f>
        <v>0</v>
      </c>
      <c r="F150" s="233" t="str">
        <f>IF(CavityStatus[[#This Row],[Receipt Date]]&lt;&gt;0,CavityStatus[[#This Row],[Receipt Date]],"")</f>
        <v/>
      </c>
      <c r="G150" s="228">
        <f>CavityStatus[[#This Row],[Recipe Modification (Mod 9)]]</f>
        <v>0</v>
      </c>
      <c r="H150" s="228">
        <f>CavityStatus[[#This Row],[Caps            
 (Mod 10)]]</f>
        <v>511.50442477876106</v>
      </c>
      <c r="I150" s="228">
        <f>CavityStatus[[#This Row],[Delivery &amp; Acceptance]]</f>
        <v>40187.5</v>
      </c>
      <c r="J150" s="228">
        <f>CavityStatus[[#This Row],[Total]]</f>
        <v>40699.004424778759</v>
      </c>
      <c r="K150" s="230" t="str">
        <f>IF(CavityStatus[[#This Row],[Accept Date]]&lt;&gt;0,CavityStatus[[#This Row],[Accept Date]],"")</f>
        <v/>
      </c>
    </row>
    <row r="151" spans="2:11" ht="14.4" hidden="1" thickBot="1" x14ac:dyDescent="0.3">
      <c r="B151" s="229" t="str">
        <f>IF(CavityStatus[[#This Row],[Unit '#]]&lt;&gt;0,CavityStatus[[#This Row],[Unit '#]],"")</f>
        <v/>
      </c>
      <c r="C151" s="226" t="str">
        <f>CavityStatus[[#This Row],[Serial '#]]</f>
        <v>CAV148</v>
      </c>
      <c r="D151" s="227" t="str">
        <f>IF(CavityStatus[[#This Row],[Actual Ship Date]]&lt;&gt;0,CavityStatus[[#This Row],[Actual Ship Date]],"")</f>
        <v/>
      </c>
      <c r="E151" s="228">
        <f>CavityStatus[[#This Row],[Incentive Earned]]</f>
        <v>0</v>
      </c>
      <c r="F151" s="233" t="str">
        <f>IF(CavityStatus[[#This Row],[Receipt Date]]&lt;&gt;0,CavityStatus[[#This Row],[Receipt Date]],"")</f>
        <v/>
      </c>
      <c r="G151" s="228">
        <f>CavityStatus[[#This Row],[Recipe Modification (Mod 9)]]</f>
        <v>0</v>
      </c>
      <c r="H151" s="228">
        <f>CavityStatus[[#This Row],[Caps            
 (Mod 10)]]</f>
        <v>511.50442477876106</v>
      </c>
      <c r="I151" s="228">
        <f>CavityStatus[[#This Row],[Delivery &amp; Acceptance]]</f>
        <v>40187.5</v>
      </c>
      <c r="J151" s="228">
        <f>CavityStatus[[#This Row],[Total]]</f>
        <v>40699.004424778759</v>
      </c>
      <c r="K151" s="230" t="str">
        <f>IF(CavityStatus[[#This Row],[Accept Date]]&lt;&gt;0,CavityStatus[[#This Row],[Accept Date]],"")</f>
        <v/>
      </c>
    </row>
    <row r="152" spans="2:11" ht="14.4" hidden="1" thickBot="1" x14ac:dyDescent="0.3">
      <c r="B152" s="229" t="str">
        <f>IF(CavityStatus[[#This Row],[Unit '#]]&lt;&gt;0,CavityStatus[[#This Row],[Unit '#]],"")</f>
        <v/>
      </c>
      <c r="C152" s="226" t="str">
        <f>CavityStatus[[#This Row],[Serial '#]]</f>
        <v>CAV149</v>
      </c>
      <c r="D152" s="227" t="str">
        <f>IF(CavityStatus[[#This Row],[Actual Ship Date]]&lt;&gt;0,CavityStatus[[#This Row],[Actual Ship Date]],"")</f>
        <v/>
      </c>
      <c r="E152" s="228">
        <f>CavityStatus[[#This Row],[Incentive Earned]]</f>
        <v>0</v>
      </c>
      <c r="F152" s="233" t="str">
        <f>IF(CavityStatus[[#This Row],[Receipt Date]]&lt;&gt;0,CavityStatus[[#This Row],[Receipt Date]],"")</f>
        <v/>
      </c>
      <c r="G152" s="228">
        <f>CavityStatus[[#This Row],[Recipe Modification (Mod 9)]]</f>
        <v>0</v>
      </c>
      <c r="H152" s="228">
        <f>CavityStatus[[#This Row],[Caps            
 (Mod 10)]]</f>
        <v>511.50442477876106</v>
      </c>
      <c r="I152" s="228">
        <f>CavityStatus[[#This Row],[Delivery &amp; Acceptance]]</f>
        <v>40187.5</v>
      </c>
      <c r="J152" s="228">
        <f>CavityStatus[[#This Row],[Total]]</f>
        <v>40699.004424778759</v>
      </c>
      <c r="K152" s="230" t="str">
        <f>IF(CavityStatus[[#This Row],[Accept Date]]&lt;&gt;0,CavityStatus[[#This Row],[Accept Date]],"")</f>
        <v/>
      </c>
    </row>
    <row r="153" spans="2:11" ht="14.4" hidden="1" thickBot="1" x14ac:dyDescent="0.3">
      <c r="B153" s="229" t="str">
        <f>IF(CavityStatus[[#This Row],[Unit '#]]&lt;&gt;0,CavityStatus[[#This Row],[Unit '#]],"")</f>
        <v/>
      </c>
      <c r="C153" s="226" t="str">
        <f>CavityStatus[[#This Row],[Serial '#]]</f>
        <v>CAV150</v>
      </c>
      <c r="D153" s="227" t="str">
        <f>IF(CavityStatus[[#This Row],[Actual Ship Date]]&lt;&gt;0,CavityStatus[[#This Row],[Actual Ship Date]],"")</f>
        <v/>
      </c>
      <c r="E153" s="228">
        <f>CavityStatus[[#This Row],[Incentive Earned]]</f>
        <v>0</v>
      </c>
      <c r="F153" s="233" t="str">
        <f>IF(CavityStatus[[#This Row],[Receipt Date]]&lt;&gt;0,CavityStatus[[#This Row],[Receipt Date]],"")</f>
        <v/>
      </c>
      <c r="G153" s="228">
        <f>CavityStatus[[#This Row],[Recipe Modification (Mod 9)]]</f>
        <v>0</v>
      </c>
      <c r="H153" s="228">
        <f>CavityStatus[[#This Row],[Caps            
 (Mod 10)]]</f>
        <v>511.50442477876106</v>
      </c>
      <c r="I153" s="228">
        <f>CavityStatus[[#This Row],[Delivery &amp; Acceptance]]</f>
        <v>40187.5</v>
      </c>
      <c r="J153" s="228">
        <f>CavityStatus[[#This Row],[Total]]</f>
        <v>40699.004424778759</v>
      </c>
      <c r="K153" s="230" t="str">
        <f>IF(CavityStatus[[#This Row],[Accept Date]]&lt;&gt;0,CavityStatus[[#This Row],[Accept Date]],"")</f>
        <v/>
      </c>
    </row>
    <row r="154" spans="2:11" ht="14.4" hidden="1" thickBot="1" x14ac:dyDescent="0.3">
      <c r="B154" s="229" t="str">
        <f>IF(CavityStatus[[#This Row],[Unit '#]]&lt;&gt;0,CavityStatus[[#This Row],[Unit '#]],"")</f>
        <v/>
      </c>
      <c r="C154" s="226" t="str">
        <f>CavityStatus[[#This Row],[Serial '#]]</f>
        <v>CAV150</v>
      </c>
      <c r="D154" s="227" t="str">
        <f>IF(CavityStatus[[#This Row],[Actual Ship Date]]&lt;&gt;0,CavityStatus[[#This Row],[Actual Ship Date]],"")</f>
        <v/>
      </c>
      <c r="E154" s="228">
        <f>CavityStatus[[#This Row],[Incentive Earned]]</f>
        <v>0</v>
      </c>
      <c r="F154" s="233" t="str">
        <f>IF(CavityStatus[[#This Row],[Receipt Date]]&lt;&gt;0,CavityStatus[[#This Row],[Receipt Date]],"")</f>
        <v/>
      </c>
      <c r="G154" s="228">
        <f>CavityStatus[[#This Row],[Recipe Modification (Mod 9)]]</f>
        <v>0</v>
      </c>
      <c r="H154" s="228">
        <f>CavityStatus[[#This Row],[Caps            
 (Mod 10)]]</f>
        <v>511.50442477876106</v>
      </c>
      <c r="I154" s="228">
        <f>CavityStatus[[#This Row],[Delivery &amp; Acceptance]]</f>
        <v>40187.5</v>
      </c>
      <c r="J154" s="228">
        <f>CavityStatus[[#This Row],[Total]]</f>
        <v>40699.004424778759</v>
      </c>
      <c r="K154" s="230" t="str">
        <f>IF(CavityStatus[[#This Row],[Accept Date]]&lt;&gt;0,CavityStatus[[#This Row],[Accept Date]],"")</f>
        <v/>
      </c>
    </row>
    <row r="155" spans="2:11" ht="14.4" hidden="1" thickBot="1" x14ac:dyDescent="0.3">
      <c r="B155" s="229" t="str">
        <f>IF(CavityStatus[[#This Row],[Unit '#]]&lt;&gt;0,CavityStatus[[#This Row],[Unit '#]],"")</f>
        <v/>
      </c>
      <c r="C155" s="226" t="str">
        <f>CavityStatus[[#This Row],[Serial '#]]</f>
        <v>CAV151</v>
      </c>
      <c r="D155" s="227" t="str">
        <f>IF(CavityStatus[[#This Row],[Actual Ship Date]]&lt;&gt;0,CavityStatus[[#This Row],[Actual Ship Date]],"")</f>
        <v/>
      </c>
      <c r="E155" s="228">
        <f>CavityStatus[[#This Row],[Incentive Earned]]</f>
        <v>0</v>
      </c>
      <c r="F155" s="233" t="str">
        <f>IF(CavityStatus[[#This Row],[Receipt Date]]&lt;&gt;0,CavityStatus[[#This Row],[Receipt Date]],"")</f>
        <v/>
      </c>
      <c r="G155" s="228">
        <f>CavityStatus[[#This Row],[Recipe Modification (Mod 9)]]</f>
        <v>0</v>
      </c>
      <c r="H155" s="228">
        <f>CavityStatus[[#This Row],[Caps            
 (Mod 10)]]</f>
        <v>511.50442477876106</v>
      </c>
      <c r="I155" s="228">
        <f>CavityStatus[[#This Row],[Delivery &amp; Acceptance]]</f>
        <v>40187.5</v>
      </c>
      <c r="J155" s="228">
        <f>CavityStatus[[#This Row],[Total]]</f>
        <v>40699.004424778759</v>
      </c>
      <c r="K155" s="230" t="str">
        <f>IF(CavityStatus[[#This Row],[Accept Date]]&lt;&gt;0,CavityStatus[[#This Row],[Accept Date]],"")</f>
        <v/>
      </c>
    </row>
    <row r="156" spans="2:11" ht="14.4" hidden="1" thickBot="1" x14ac:dyDescent="0.3">
      <c r="B156" s="229" t="str">
        <f>IF(CavityStatus[[#This Row],[Unit '#]]&lt;&gt;0,CavityStatus[[#This Row],[Unit '#]],"")</f>
        <v/>
      </c>
      <c r="C156" s="226" t="str">
        <f>CavityStatus[[#This Row],[Serial '#]]</f>
        <v>CAV151</v>
      </c>
      <c r="D156" s="227" t="str">
        <f>IF(CavityStatus[[#This Row],[Actual Ship Date]]&lt;&gt;0,CavityStatus[[#This Row],[Actual Ship Date]],"")</f>
        <v/>
      </c>
      <c r="E156" s="228">
        <f>CavityStatus[[#This Row],[Incentive Earned]]</f>
        <v>0</v>
      </c>
      <c r="F156" s="233" t="str">
        <f>IF(CavityStatus[[#This Row],[Receipt Date]]&lt;&gt;0,CavityStatus[[#This Row],[Receipt Date]],"")</f>
        <v/>
      </c>
      <c r="G156" s="228">
        <f>CavityStatus[[#This Row],[Recipe Modification (Mod 9)]]</f>
        <v>0</v>
      </c>
      <c r="H156" s="228">
        <f>CavityStatus[[#This Row],[Caps            
 (Mod 10)]]</f>
        <v>511.50442477876106</v>
      </c>
      <c r="I156" s="228">
        <f>CavityStatus[[#This Row],[Delivery &amp; Acceptance]]</f>
        <v>40187.5</v>
      </c>
      <c r="J156" s="228">
        <f>CavityStatus[[#This Row],[Total]]</f>
        <v>40699.004424778759</v>
      </c>
      <c r="K156" s="230" t="str">
        <f>IF(CavityStatus[[#This Row],[Accept Date]]&lt;&gt;0,CavityStatus[[#This Row],[Accept Date]],"")</f>
        <v/>
      </c>
    </row>
    <row r="157" spans="2:11" ht="14.4" hidden="1" thickBot="1" x14ac:dyDescent="0.3">
      <c r="B157" s="229" t="str">
        <f>IF(CavityStatus[[#This Row],[Unit '#]]&lt;&gt;0,CavityStatus[[#This Row],[Unit '#]],"")</f>
        <v/>
      </c>
      <c r="C157" s="226" t="str">
        <f>CavityStatus[[#This Row],[Serial '#]]</f>
        <v>CAV152</v>
      </c>
      <c r="D157" s="227" t="str">
        <f>IF(CavityStatus[[#This Row],[Actual Ship Date]]&lt;&gt;0,CavityStatus[[#This Row],[Actual Ship Date]],"")</f>
        <v/>
      </c>
      <c r="E157" s="228">
        <f>CavityStatus[[#This Row],[Incentive Earned]]</f>
        <v>0</v>
      </c>
      <c r="F157" s="233" t="str">
        <f>IF(CavityStatus[[#This Row],[Receipt Date]]&lt;&gt;0,CavityStatus[[#This Row],[Receipt Date]],"")</f>
        <v/>
      </c>
      <c r="G157" s="228">
        <f>CavityStatus[[#This Row],[Recipe Modification (Mod 9)]]</f>
        <v>0</v>
      </c>
      <c r="H157" s="228">
        <f>CavityStatus[[#This Row],[Caps            
 (Mod 10)]]</f>
        <v>511.50442477876106</v>
      </c>
      <c r="I157" s="228">
        <f>CavityStatus[[#This Row],[Delivery &amp; Acceptance]]</f>
        <v>40187.5</v>
      </c>
      <c r="J157" s="228">
        <f>CavityStatus[[#This Row],[Total]]</f>
        <v>40699.004424778759</v>
      </c>
      <c r="K157" s="230" t="str">
        <f>IF(CavityStatus[[#This Row],[Accept Date]]&lt;&gt;0,CavityStatus[[#This Row],[Accept Date]],"")</f>
        <v/>
      </c>
    </row>
    <row r="158" spans="2:11" ht="14.4" hidden="1" thickBot="1" x14ac:dyDescent="0.3">
      <c r="B158" s="229" t="str">
        <f>IF(CavityStatus[[#This Row],[Unit '#]]&lt;&gt;0,CavityStatus[[#This Row],[Unit '#]],"")</f>
        <v/>
      </c>
      <c r="C158" s="226" t="str">
        <f>CavityStatus[[#This Row],[Serial '#]]</f>
        <v>CAV152</v>
      </c>
      <c r="D158" s="227" t="str">
        <f>IF(CavityStatus[[#This Row],[Actual Ship Date]]&lt;&gt;0,CavityStatus[[#This Row],[Actual Ship Date]],"")</f>
        <v/>
      </c>
      <c r="E158" s="228">
        <f>CavityStatus[[#This Row],[Incentive Earned]]</f>
        <v>0</v>
      </c>
      <c r="F158" s="233" t="str">
        <f>IF(CavityStatus[[#This Row],[Receipt Date]]&lt;&gt;0,CavityStatus[[#This Row],[Receipt Date]],"")</f>
        <v/>
      </c>
      <c r="G158" s="228">
        <f>CavityStatus[[#This Row],[Recipe Modification (Mod 9)]]</f>
        <v>0</v>
      </c>
      <c r="H158" s="228">
        <f>CavityStatus[[#This Row],[Caps            
 (Mod 10)]]</f>
        <v>511.50442477876106</v>
      </c>
      <c r="I158" s="228">
        <f>CavityStatus[[#This Row],[Delivery &amp; Acceptance]]</f>
        <v>40187.5</v>
      </c>
      <c r="J158" s="228">
        <f>CavityStatus[[#This Row],[Total]]</f>
        <v>40699.004424778759</v>
      </c>
      <c r="K158" s="230" t="str">
        <f>IF(CavityStatus[[#This Row],[Accept Date]]&lt;&gt;0,CavityStatus[[#This Row],[Accept Date]],"")</f>
        <v/>
      </c>
    </row>
    <row r="159" spans="2:11" ht="14.4" hidden="1" thickBot="1" x14ac:dyDescent="0.3">
      <c r="B159" s="229" t="str">
        <f>IF(CavityStatus[[#This Row],[Unit '#]]&lt;&gt;0,CavityStatus[[#This Row],[Unit '#]],"")</f>
        <v/>
      </c>
      <c r="C159" s="226" t="str">
        <f>CavityStatus[[#This Row],[Serial '#]]</f>
        <v>CAV153</v>
      </c>
      <c r="D159" s="227" t="str">
        <f>IF(CavityStatus[[#This Row],[Actual Ship Date]]&lt;&gt;0,CavityStatus[[#This Row],[Actual Ship Date]],"")</f>
        <v/>
      </c>
      <c r="E159" s="228">
        <f>CavityStatus[[#This Row],[Incentive Earned]]</f>
        <v>0</v>
      </c>
      <c r="F159" s="233" t="str">
        <f>IF(CavityStatus[[#This Row],[Receipt Date]]&lt;&gt;0,CavityStatus[[#This Row],[Receipt Date]],"")</f>
        <v/>
      </c>
      <c r="G159" s="228">
        <f>CavityStatus[[#This Row],[Recipe Modification (Mod 9)]]</f>
        <v>0</v>
      </c>
      <c r="H159" s="228">
        <f>CavityStatus[[#This Row],[Caps            
 (Mod 10)]]</f>
        <v>511.50442477876106</v>
      </c>
      <c r="I159" s="228">
        <f>CavityStatus[[#This Row],[Delivery &amp; Acceptance]]</f>
        <v>40187.5</v>
      </c>
      <c r="J159" s="228">
        <f>CavityStatus[[#This Row],[Total]]</f>
        <v>40699.004424778759</v>
      </c>
      <c r="K159" s="230" t="str">
        <f>IF(CavityStatus[[#This Row],[Accept Date]]&lt;&gt;0,CavityStatus[[#This Row],[Accept Date]],"")</f>
        <v/>
      </c>
    </row>
    <row r="160" spans="2:11" ht="14.4" hidden="1" thickBot="1" x14ac:dyDescent="0.3">
      <c r="B160" s="229" t="str">
        <f>IF(CavityStatus[[#This Row],[Unit '#]]&lt;&gt;0,CavityStatus[[#This Row],[Unit '#]],"")</f>
        <v/>
      </c>
      <c r="C160" s="226" t="str">
        <f>CavityStatus[[#This Row],[Serial '#]]</f>
        <v>CAV153</v>
      </c>
      <c r="D160" s="227" t="str">
        <f>IF(CavityStatus[[#This Row],[Actual Ship Date]]&lt;&gt;0,CavityStatus[[#This Row],[Actual Ship Date]],"")</f>
        <v/>
      </c>
      <c r="E160" s="228">
        <f>CavityStatus[[#This Row],[Incentive Earned]]</f>
        <v>0</v>
      </c>
      <c r="F160" s="233" t="str">
        <f>IF(CavityStatus[[#This Row],[Receipt Date]]&lt;&gt;0,CavityStatus[[#This Row],[Receipt Date]],"")</f>
        <v/>
      </c>
      <c r="G160" s="228">
        <f>CavityStatus[[#This Row],[Recipe Modification (Mod 9)]]</f>
        <v>0</v>
      </c>
      <c r="H160" s="228">
        <f>CavityStatus[[#This Row],[Caps            
 (Mod 10)]]</f>
        <v>511.50442477876106</v>
      </c>
      <c r="I160" s="228">
        <f>CavityStatus[[#This Row],[Delivery &amp; Acceptance]]</f>
        <v>40187.5</v>
      </c>
      <c r="J160" s="228">
        <f>CavityStatus[[#This Row],[Total]]</f>
        <v>40699.004424778759</v>
      </c>
      <c r="K160" s="230" t="str">
        <f>IF(CavityStatus[[#This Row],[Accept Date]]&lt;&gt;0,CavityStatus[[#This Row],[Accept Date]],"")</f>
        <v/>
      </c>
    </row>
    <row r="161" spans="2:11" ht="14.4" hidden="1" thickBot="1" x14ac:dyDescent="0.3">
      <c r="B161" s="229" t="str">
        <f>IF(CavityStatus[[#This Row],[Unit '#]]&lt;&gt;0,CavityStatus[[#This Row],[Unit '#]],"")</f>
        <v/>
      </c>
      <c r="C161" s="226" t="str">
        <f>CavityStatus[[#This Row],[Serial '#]]</f>
        <v>CAV154</v>
      </c>
      <c r="D161" s="227" t="str">
        <f>IF(CavityStatus[[#This Row],[Actual Ship Date]]&lt;&gt;0,CavityStatus[[#This Row],[Actual Ship Date]],"")</f>
        <v/>
      </c>
      <c r="E161" s="228">
        <f>CavityStatus[[#This Row],[Incentive Earned]]</f>
        <v>0</v>
      </c>
      <c r="F161" s="233" t="str">
        <f>IF(CavityStatus[[#This Row],[Receipt Date]]&lt;&gt;0,CavityStatus[[#This Row],[Receipt Date]],"")</f>
        <v/>
      </c>
      <c r="G161" s="228">
        <f>CavityStatus[[#This Row],[Recipe Modification (Mod 9)]]</f>
        <v>0</v>
      </c>
      <c r="H161" s="228">
        <f>CavityStatus[[#This Row],[Caps            
 (Mod 10)]]</f>
        <v>511.50442477876106</v>
      </c>
      <c r="I161" s="228">
        <f>CavityStatus[[#This Row],[Delivery &amp; Acceptance]]</f>
        <v>40187.5</v>
      </c>
      <c r="J161" s="228">
        <f>CavityStatus[[#This Row],[Total]]</f>
        <v>40699.004424778759</v>
      </c>
      <c r="K161" s="230" t="str">
        <f>IF(CavityStatus[[#This Row],[Accept Date]]&lt;&gt;0,CavityStatus[[#This Row],[Accept Date]],"")</f>
        <v/>
      </c>
    </row>
    <row r="162" spans="2:11" ht="14.4" hidden="1" thickBot="1" x14ac:dyDescent="0.3">
      <c r="B162" s="229" t="str">
        <f>IF(CavityStatus[[#This Row],[Unit '#]]&lt;&gt;0,CavityStatus[[#This Row],[Unit '#]],"")</f>
        <v/>
      </c>
      <c r="C162" s="226" t="str">
        <f>CavityStatus[[#This Row],[Serial '#]]</f>
        <v>CAV154</v>
      </c>
      <c r="D162" s="227" t="str">
        <f>IF(CavityStatus[[#This Row],[Actual Ship Date]]&lt;&gt;0,CavityStatus[[#This Row],[Actual Ship Date]],"")</f>
        <v/>
      </c>
      <c r="E162" s="228">
        <f>CavityStatus[[#This Row],[Incentive Earned]]</f>
        <v>0</v>
      </c>
      <c r="F162" s="233" t="str">
        <f>IF(CavityStatus[[#This Row],[Receipt Date]]&lt;&gt;0,CavityStatus[[#This Row],[Receipt Date]],"")</f>
        <v/>
      </c>
      <c r="G162" s="228">
        <f>CavityStatus[[#This Row],[Recipe Modification (Mod 9)]]</f>
        <v>0</v>
      </c>
      <c r="H162" s="228">
        <f>CavityStatus[[#This Row],[Caps            
 (Mod 10)]]</f>
        <v>511.50442477876106</v>
      </c>
      <c r="I162" s="228">
        <f>CavityStatus[[#This Row],[Delivery &amp; Acceptance]]</f>
        <v>40187.5</v>
      </c>
      <c r="J162" s="228">
        <f>CavityStatus[[#This Row],[Total]]</f>
        <v>40699.004424778759</v>
      </c>
      <c r="K162" s="230" t="str">
        <f>IF(CavityStatus[[#This Row],[Accept Date]]&lt;&gt;0,CavityStatus[[#This Row],[Accept Date]],"")</f>
        <v/>
      </c>
    </row>
    <row r="163" spans="2:11" ht="14.4" hidden="1" thickBot="1" x14ac:dyDescent="0.3">
      <c r="B163" s="229" t="str">
        <f>IF(CavityStatus[[#This Row],[Unit '#]]&lt;&gt;0,CavityStatus[[#This Row],[Unit '#]],"")</f>
        <v/>
      </c>
      <c r="C163" s="226" t="str">
        <f>CavityStatus[[#This Row],[Serial '#]]</f>
        <v>CAV155</v>
      </c>
      <c r="D163" s="227" t="str">
        <f>IF(CavityStatus[[#This Row],[Actual Ship Date]]&lt;&gt;0,CavityStatus[[#This Row],[Actual Ship Date]],"")</f>
        <v/>
      </c>
      <c r="E163" s="228">
        <f>CavityStatus[[#This Row],[Incentive Earned]]</f>
        <v>0</v>
      </c>
      <c r="F163" s="233" t="str">
        <f>IF(CavityStatus[[#This Row],[Receipt Date]]&lt;&gt;0,CavityStatus[[#This Row],[Receipt Date]],"")</f>
        <v/>
      </c>
      <c r="G163" s="228">
        <f>CavityStatus[[#This Row],[Recipe Modification (Mod 9)]]</f>
        <v>0</v>
      </c>
      <c r="H163" s="228">
        <f>CavityStatus[[#This Row],[Caps            
 (Mod 10)]]</f>
        <v>511.50442477876106</v>
      </c>
      <c r="I163" s="228">
        <f>CavityStatus[[#This Row],[Delivery &amp; Acceptance]]</f>
        <v>40187.5</v>
      </c>
      <c r="J163" s="228">
        <f>CavityStatus[[#This Row],[Total]]</f>
        <v>40699.004424778759</v>
      </c>
      <c r="K163" s="230" t="str">
        <f>IF(CavityStatus[[#This Row],[Accept Date]]&lt;&gt;0,CavityStatus[[#This Row],[Accept Date]],"")</f>
        <v/>
      </c>
    </row>
    <row r="164" spans="2:11" ht="14.4" hidden="1" thickBot="1" x14ac:dyDescent="0.3">
      <c r="B164" s="229" t="str">
        <f>IF(CavityStatus[[#This Row],[Unit '#]]&lt;&gt;0,CavityStatus[[#This Row],[Unit '#]],"")</f>
        <v/>
      </c>
      <c r="C164" s="226" t="str">
        <f>CavityStatus[[#This Row],[Serial '#]]</f>
        <v>CAV155</v>
      </c>
      <c r="D164" s="227" t="str">
        <f>IF(CavityStatus[[#This Row],[Actual Ship Date]]&lt;&gt;0,CavityStatus[[#This Row],[Actual Ship Date]],"")</f>
        <v/>
      </c>
      <c r="E164" s="228">
        <f>CavityStatus[[#This Row],[Incentive Earned]]</f>
        <v>0</v>
      </c>
      <c r="F164" s="233" t="str">
        <f>IF(CavityStatus[[#This Row],[Receipt Date]]&lt;&gt;0,CavityStatus[[#This Row],[Receipt Date]],"")</f>
        <v/>
      </c>
      <c r="G164" s="228">
        <f>CavityStatus[[#This Row],[Recipe Modification (Mod 9)]]</f>
        <v>0</v>
      </c>
      <c r="H164" s="228">
        <f>CavityStatus[[#This Row],[Caps            
 (Mod 10)]]</f>
        <v>511.50442477876106</v>
      </c>
      <c r="I164" s="228">
        <f>CavityStatus[[#This Row],[Delivery &amp; Acceptance]]</f>
        <v>40187.5</v>
      </c>
      <c r="J164" s="228">
        <f>CavityStatus[[#This Row],[Total]]</f>
        <v>40699.004424778759</v>
      </c>
      <c r="K164" s="230" t="str">
        <f>IF(CavityStatus[[#This Row],[Accept Date]]&lt;&gt;0,CavityStatus[[#This Row],[Accept Date]],"")</f>
        <v/>
      </c>
    </row>
    <row r="165" spans="2:11" ht="14.4" hidden="1" thickBot="1" x14ac:dyDescent="0.3">
      <c r="B165" s="229" t="str">
        <f>IF(CavityStatus[[#This Row],[Unit '#]]&lt;&gt;0,CavityStatus[[#This Row],[Unit '#]],"")</f>
        <v/>
      </c>
      <c r="C165" s="226" t="str">
        <f>CavityStatus[[#This Row],[Serial '#]]</f>
        <v>CAV156</v>
      </c>
      <c r="D165" s="227" t="str">
        <f>IF(CavityStatus[[#This Row],[Actual Ship Date]]&lt;&gt;0,CavityStatus[[#This Row],[Actual Ship Date]],"")</f>
        <v/>
      </c>
      <c r="E165" s="228">
        <f>CavityStatus[[#This Row],[Incentive Earned]]</f>
        <v>0</v>
      </c>
      <c r="F165" s="233" t="str">
        <f>IF(CavityStatus[[#This Row],[Receipt Date]]&lt;&gt;0,CavityStatus[[#This Row],[Receipt Date]],"")</f>
        <v/>
      </c>
      <c r="G165" s="228">
        <f>CavityStatus[[#This Row],[Recipe Modification (Mod 9)]]</f>
        <v>0</v>
      </c>
      <c r="H165" s="228">
        <f>CavityStatus[[#This Row],[Caps            
 (Mod 10)]]</f>
        <v>511.50442477876106</v>
      </c>
      <c r="I165" s="228">
        <f>CavityStatus[[#This Row],[Delivery &amp; Acceptance]]</f>
        <v>40187.5</v>
      </c>
      <c r="J165" s="228">
        <f>CavityStatus[[#This Row],[Total]]</f>
        <v>40699.004424778759</v>
      </c>
      <c r="K165" s="230" t="str">
        <f>IF(CavityStatus[[#This Row],[Accept Date]]&lt;&gt;0,CavityStatus[[#This Row],[Accept Date]],"")</f>
        <v/>
      </c>
    </row>
    <row r="166" spans="2:11" ht="14.4" hidden="1" thickBot="1" x14ac:dyDescent="0.3">
      <c r="B166" s="229" t="str">
        <f>IF(CavityStatus[[#This Row],[Unit '#]]&lt;&gt;0,CavityStatus[[#This Row],[Unit '#]],"")</f>
        <v/>
      </c>
      <c r="C166" s="226" t="str">
        <f>CavityStatus[[#This Row],[Serial '#]]</f>
        <v>CAV156</v>
      </c>
      <c r="D166" s="227" t="str">
        <f>IF(CavityStatus[[#This Row],[Actual Ship Date]]&lt;&gt;0,CavityStatus[[#This Row],[Actual Ship Date]],"")</f>
        <v/>
      </c>
      <c r="E166" s="228">
        <f>CavityStatus[[#This Row],[Incentive Earned]]</f>
        <v>0</v>
      </c>
      <c r="F166" s="233" t="str">
        <f>IF(CavityStatus[[#This Row],[Receipt Date]]&lt;&gt;0,CavityStatus[[#This Row],[Receipt Date]],"")</f>
        <v/>
      </c>
      <c r="G166" s="228">
        <f>CavityStatus[[#This Row],[Recipe Modification (Mod 9)]]</f>
        <v>0</v>
      </c>
      <c r="H166" s="228">
        <f>CavityStatus[[#This Row],[Caps            
 (Mod 10)]]</f>
        <v>511.50442477876106</v>
      </c>
      <c r="I166" s="228">
        <f>CavityStatus[[#This Row],[Delivery &amp; Acceptance]]</f>
        <v>40187.5</v>
      </c>
      <c r="J166" s="228">
        <f>CavityStatus[[#This Row],[Total]]</f>
        <v>40699.004424778759</v>
      </c>
      <c r="K166" s="230" t="str">
        <f>IF(CavityStatus[[#This Row],[Accept Date]]&lt;&gt;0,CavityStatus[[#This Row],[Accept Date]],"")</f>
        <v/>
      </c>
    </row>
    <row r="167" spans="2:11" ht="14.4" hidden="1" thickBot="1" x14ac:dyDescent="0.3">
      <c r="B167" s="229" t="str">
        <f>IF(CavityStatus[[#This Row],[Unit '#]]&lt;&gt;0,CavityStatus[[#This Row],[Unit '#]],"")</f>
        <v/>
      </c>
      <c r="C167" s="226" t="str">
        <f>CavityStatus[[#This Row],[Serial '#]]</f>
        <v>CAV157</v>
      </c>
      <c r="D167" s="227" t="str">
        <f>IF(CavityStatus[[#This Row],[Actual Ship Date]]&lt;&gt;0,CavityStatus[[#This Row],[Actual Ship Date]],"")</f>
        <v/>
      </c>
      <c r="E167" s="228">
        <f>CavityStatus[[#This Row],[Incentive Earned]]</f>
        <v>0</v>
      </c>
      <c r="F167" s="233" t="str">
        <f>IF(CavityStatus[[#This Row],[Receipt Date]]&lt;&gt;0,CavityStatus[[#This Row],[Receipt Date]],"")</f>
        <v/>
      </c>
      <c r="G167" s="228">
        <f>CavityStatus[[#This Row],[Recipe Modification (Mod 9)]]</f>
        <v>0</v>
      </c>
      <c r="H167" s="228">
        <f>CavityStatus[[#This Row],[Caps            
 (Mod 10)]]</f>
        <v>511.50442477876106</v>
      </c>
      <c r="I167" s="228">
        <f>CavityStatus[[#This Row],[Delivery &amp; Acceptance]]</f>
        <v>40187.5</v>
      </c>
      <c r="J167" s="228">
        <f>CavityStatus[[#This Row],[Total]]</f>
        <v>40699.004424778759</v>
      </c>
      <c r="K167" s="230" t="str">
        <f>IF(CavityStatus[[#This Row],[Accept Date]]&lt;&gt;0,CavityStatus[[#This Row],[Accept Date]],"")</f>
        <v/>
      </c>
    </row>
    <row r="168" spans="2:11" ht="14.4" hidden="1" thickBot="1" x14ac:dyDescent="0.3">
      <c r="B168" s="229" t="str">
        <f>IF(CavityStatus[[#This Row],[Unit '#]]&lt;&gt;0,CavityStatus[[#This Row],[Unit '#]],"")</f>
        <v/>
      </c>
      <c r="C168" s="226" t="str">
        <f>CavityStatus[[#This Row],[Serial '#]]</f>
        <v>CAV157</v>
      </c>
      <c r="D168" s="227" t="str">
        <f>IF(CavityStatus[[#This Row],[Actual Ship Date]]&lt;&gt;0,CavityStatus[[#This Row],[Actual Ship Date]],"")</f>
        <v/>
      </c>
      <c r="E168" s="228">
        <f>CavityStatus[[#This Row],[Incentive Earned]]</f>
        <v>0</v>
      </c>
      <c r="F168" s="233" t="str">
        <f>IF(CavityStatus[[#This Row],[Receipt Date]]&lt;&gt;0,CavityStatus[[#This Row],[Receipt Date]],"")</f>
        <v/>
      </c>
      <c r="G168" s="228">
        <f>CavityStatus[[#This Row],[Recipe Modification (Mod 9)]]</f>
        <v>0</v>
      </c>
      <c r="H168" s="228">
        <f>CavityStatus[[#This Row],[Caps            
 (Mod 10)]]</f>
        <v>511.50442477876106</v>
      </c>
      <c r="I168" s="228">
        <f>CavityStatus[[#This Row],[Delivery &amp; Acceptance]]</f>
        <v>40187.5</v>
      </c>
      <c r="J168" s="228">
        <f>CavityStatus[[#This Row],[Total]]</f>
        <v>40699.004424778759</v>
      </c>
      <c r="K168" s="230" t="str">
        <f>IF(CavityStatus[[#This Row],[Accept Date]]&lt;&gt;0,CavityStatus[[#This Row],[Accept Date]],"")</f>
        <v/>
      </c>
    </row>
    <row r="169" spans="2:11" ht="14.4" hidden="1" thickBot="1" x14ac:dyDescent="0.3">
      <c r="B169" s="229" t="str">
        <f>IF(CavityStatus[[#This Row],[Unit '#]]&lt;&gt;0,CavityStatus[[#This Row],[Unit '#]],"")</f>
        <v/>
      </c>
      <c r="C169" s="226" t="str">
        <f>CavityStatus[[#This Row],[Serial '#]]</f>
        <v>CAV158</v>
      </c>
      <c r="D169" s="227" t="str">
        <f>IF(CavityStatus[[#This Row],[Actual Ship Date]]&lt;&gt;0,CavityStatus[[#This Row],[Actual Ship Date]],"")</f>
        <v/>
      </c>
      <c r="E169" s="228">
        <f>CavityStatus[[#This Row],[Incentive Earned]]</f>
        <v>0</v>
      </c>
      <c r="F169" s="233" t="str">
        <f>IF(CavityStatus[[#This Row],[Receipt Date]]&lt;&gt;0,CavityStatus[[#This Row],[Receipt Date]],"")</f>
        <v/>
      </c>
      <c r="G169" s="228">
        <f>CavityStatus[[#This Row],[Recipe Modification (Mod 9)]]</f>
        <v>0</v>
      </c>
      <c r="H169" s="228">
        <f>CavityStatus[[#This Row],[Caps            
 (Mod 10)]]</f>
        <v>511.50442477876106</v>
      </c>
      <c r="I169" s="228">
        <f>CavityStatus[[#This Row],[Delivery &amp; Acceptance]]</f>
        <v>40187.5</v>
      </c>
      <c r="J169" s="228">
        <f>CavityStatus[[#This Row],[Total]]</f>
        <v>40699.004424778759</v>
      </c>
      <c r="K169" s="230" t="str">
        <f>IF(CavityStatus[[#This Row],[Accept Date]]&lt;&gt;0,CavityStatus[[#This Row],[Accept Date]],"")</f>
        <v/>
      </c>
    </row>
    <row r="170" spans="2:11" ht="14.4" hidden="1" thickBot="1" x14ac:dyDescent="0.3">
      <c r="B170" s="229" t="str">
        <f>IF(CavityStatus[[#This Row],[Unit '#]]&lt;&gt;0,CavityStatus[[#This Row],[Unit '#]],"")</f>
        <v/>
      </c>
      <c r="C170" s="226" t="str">
        <f>CavityStatus[[#This Row],[Serial '#]]</f>
        <v>CAV158</v>
      </c>
      <c r="D170" s="227" t="str">
        <f>IF(CavityStatus[[#This Row],[Actual Ship Date]]&lt;&gt;0,CavityStatus[[#This Row],[Actual Ship Date]],"")</f>
        <v/>
      </c>
      <c r="E170" s="228">
        <f>CavityStatus[[#This Row],[Incentive Earned]]</f>
        <v>0</v>
      </c>
      <c r="F170" s="233" t="str">
        <f>IF(CavityStatus[[#This Row],[Receipt Date]]&lt;&gt;0,CavityStatus[[#This Row],[Receipt Date]],"")</f>
        <v/>
      </c>
      <c r="G170" s="228">
        <f>CavityStatus[[#This Row],[Recipe Modification (Mod 9)]]</f>
        <v>0</v>
      </c>
      <c r="H170" s="228">
        <f>CavityStatus[[#This Row],[Caps            
 (Mod 10)]]</f>
        <v>511.50442477876106</v>
      </c>
      <c r="I170" s="228">
        <f>CavityStatus[[#This Row],[Delivery &amp; Acceptance]]</f>
        <v>40187.5</v>
      </c>
      <c r="J170" s="228">
        <f>CavityStatus[[#This Row],[Total]]</f>
        <v>40699.004424778759</v>
      </c>
      <c r="K170" s="230" t="str">
        <f>IF(CavityStatus[[#This Row],[Accept Date]]&lt;&gt;0,CavityStatus[[#This Row],[Accept Date]],"")</f>
        <v/>
      </c>
    </row>
    <row r="171" spans="2:11" ht="14.4" hidden="1" thickBot="1" x14ac:dyDescent="0.3">
      <c r="B171" s="229" t="str">
        <f>IF(CavityStatus[[#This Row],[Unit '#]]&lt;&gt;0,CavityStatus[[#This Row],[Unit '#]],"")</f>
        <v/>
      </c>
      <c r="C171" s="226" t="str">
        <f>CavityStatus[[#This Row],[Serial '#]]</f>
        <v>CAV159</v>
      </c>
      <c r="D171" s="227" t="str">
        <f>IF(CavityStatus[[#This Row],[Actual Ship Date]]&lt;&gt;0,CavityStatus[[#This Row],[Actual Ship Date]],"")</f>
        <v/>
      </c>
      <c r="E171" s="228">
        <f>CavityStatus[[#This Row],[Incentive Earned]]</f>
        <v>0</v>
      </c>
      <c r="F171" s="233" t="str">
        <f>IF(CavityStatus[[#This Row],[Receipt Date]]&lt;&gt;0,CavityStatus[[#This Row],[Receipt Date]],"")</f>
        <v/>
      </c>
      <c r="G171" s="228">
        <f>CavityStatus[[#This Row],[Recipe Modification (Mod 9)]]</f>
        <v>0</v>
      </c>
      <c r="H171" s="228">
        <f>CavityStatus[[#This Row],[Caps            
 (Mod 10)]]</f>
        <v>511.50442477876106</v>
      </c>
      <c r="I171" s="228">
        <f>CavityStatus[[#This Row],[Delivery &amp; Acceptance]]</f>
        <v>40187.5</v>
      </c>
      <c r="J171" s="228">
        <f>CavityStatus[[#This Row],[Total]]</f>
        <v>40699.004424778759</v>
      </c>
      <c r="K171" s="230" t="str">
        <f>IF(CavityStatus[[#This Row],[Accept Date]]&lt;&gt;0,CavityStatus[[#This Row],[Accept Date]],"")</f>
        <v/>
      </c>
    </row>
    <row r="172" spans="2:11" ht="14.4" hidden="1" thickBot="1" x14ac:dyDescent="0.3">
      <c r="B172" s="229" t="str">
        <f>IF(CavityStatus[[#This Row],[Unit '#]]&lt;&gt;0,CavityStatus[[#This Row],[Unit '#]],"")</f>
        <v/>
      </c>
      <c r="C172" s="226" t="str">
        <f>CavityStatus[[#This Row],[Serial '#]]</f>
        <v>CAV159</v>
      </c>
      <c r="D172" s="227" t="str">
        <f>IF(CavityStatus[[#This Row],[Actual Ship Date]]&lt;&gt;0,CavityStatus[[#This Row],[Actual Ship Date]],"")</f>
        <v/>
      </c>
      <c r="E172" s="228">
        <f>CavityStatus[[#This Row],[Incentive Earned]]</f>
        <v>0</v>
      </c>
      <c r="F172" s="233" t="str">
        <f>IF(CavityStatus[[#This Row],[Receipt Date]]&lt;&gt;0,CavityStatus[[#This Row],[Receipt Date]],"")</f>
        <v/>
      </c>
      <c r="G172" s="228">
        <f>CavityStatus[[#This Row],[Recipe Modification (Mod 9)]]</f>
        <v>0</v>
      </c>
      <c r="H172" s="228">
        <f>CavityStatus[[#This Row],[Caps            
 (Mod 10)]]</f>
        <v>511.50442477876106</v>
      </c>
      <c r="I172" s="228">
        <f>CavityStatus[[#This Row],[Delivery &amp; Acceptance]]</f>
        <v>40187.5</v>
      </c>
      <c r="J172" s="228">
        <f>CavityStatus[[#This Row],[Total]]</f>
        <v>40699.004424778759</v>
      </c>
      <c r="K172" s="230" t="str">
        <f>IF(CavityStatus[[#This Row],[Accept Date]]&lt;&gt;0,CavityStatus[[#This Row],[Accept Date]],"")</f>
        <v/>
      </c>
    </row>
    <row r="173" spans="2:11" ht="14.4" hidden="1" thickBot="1" x14ac:dyDescent="0.3">
      <c r="B173" s="229" t="str">
        <f>IF(CavityStatus[[#This Row],[Unit '#]]&lt;&gt;0,CavityStatus[[#This Row],[Unit '#]],"")</f>
        <v/>
      </c>
      <c r="C173" s="226" t="str">
        <f>CavityStatus[[#This Row],[Serial '#]]</f>
        <v>CAV160</v>
      </c>
      <c r="D173" s="227" t="str">
        <f>IF(CavityStatus[[#This Row],[Actual Ship Date]]&lt;&gt;0,CavityStatus[[#This Row],[Actual Ship Date]],"")</f>
        <v/>
      </c>
      <c r="E173" s="228">
        <f>CavityStatus[[#This Row],[Incentive Earned]]</f>
        <v>0</v>
      </c>
      <c r="F173" s="233" t="str">
        <f>IF(CavityStatus[[#This Row],[Receipt Date]]&lt;&gt;0,CavityStatus[[#This Row],[Receipt Date]],"")</f>
        <v/>
      </c>
      <c r="G173" s="228">
        <f>CavityStatus[[#This Row],[Recipe Modification (Mod 9)]]</f>
        <v>0</v>
      </c>
      <c r="H173" s="228">
        <f>CavityStatus[[#This Row],[Caps            
 (Mod 10)]]</f>
        <v>511.50442477876106</v>
      </c>
      <c r="I173" s="228">
        <f>CavityStatus[[#This Row],[Delivery &amp; Acceptance]]</f>
        <v>40187.5</v>
      </c>
      <c r="J173" s="228">
        <f>CavityStatus[[#This Row],[Total]]</f>
        <v>40699.004424778759</v>
      </c>
      <c r="K173" s="230" t="str">
        <f>IF(CavityStatus[[#This Row],[Accept Date]]&lt;&gt;0,CavityStatus[[#This Row],[Accept Date]],"")</f>
        <v/>
      </c>
    </row>
    <row r="174" spans="2:11" ht="14.4" hidden="1" thickBot="1" x14ac:dyDescent="0.3">
      <c r="B174" s="229" t="str">
        <f>IF(CavityStatus[[#This Row],[Unit '#]]&lt;&gt;0,CavityStatus[[#This Row],[Unit '#]],"")</f>
        <v/>
      </c>
      <c r="C174" s="226" t="str">
        <f>CavityStatus[[#This Row],[Serial '#]]</f>
        <v>CAV160</v>
      </c>
      <c r="D174" s="227" t="str">
        <f>IF(CavityStatus[[#This Row],[Actual Ship Date]]&lt;&gt;0,CavityStatus[[#This Row],[Actual Ship Date]],"")</f>
        <v/>
      </c>
      <c r="E174" s="228">
        <f>CavityStatus[[#This Row],[Incentive Earned]]</f>
        <v>0</v>
      </c>
      <c r="F174" s="233" t="str">
        <f>IF(CavityStatus[[#This Row],[Receipt Date]]&lt;&gt;0,CavityStatus[[#This Row],[Receipt Date]],"")</f>
        <v/>
      </c>
      <c r="G174" s="228">
        <f>CavityStatus[[#This Row],[Recipe Modification (Mod 9)]]</f>
        <v>0</v>
      </c>
      <c r="H174" s="228">
        <f>CavityStatus[[#This Row],[Caps            
 (Mod 10)]]</f>
        <v>511.50442477876106</v>
      </c>
      <c r="I174" s="228">
        <f>CavityStatus[[#This Row],[Delivery &amp; Acceptance]]</f>
        <v>40187.5</v>
      </c>
      <c r="J174" s="228">
        <f>CavityStatus[[#This Row],[Total]]</f>
        <v>40699.004424778759</v>
      </c>
      <c r="K174" s="230" t="str">
        <f>IF(CavityStatus[[#This Row],[Accept Date]]&lt;&gt;0,CavityStatus[[#This Row],[Accept Date]],"")</f>
        <v/>
      </c>
    </row>
    <row r="175" spans="2:11" ht="14.4" hidden="1" thickBot="1" x14ac:dyDescent="0.3">
      <c r="B175" s="229" t="str">
        <f>IF(CavityStatus[[#This Row],[Unit '#]]&lt;&gt;0,CavityStatus[[#This Row],[Unit '#]],"")</f>
        <v/>
      </c>
      <c r="C175" s="226" t="str">
        <f>CavityStatus[[#This Row],[Serial '#]]</f>
        <v>CAV161</v>
      </c>
      <c r="D175" s="227" t="str">
        <f>IF(CavityStatus[[#This Row],[Actual Ship Date]]&lt;&gt;0,CavityStatus[[#This Row],[Actual Ship Date]],"")</f>
        <v/>
      </c>
      <c r="E175" s="228">
        <f>CavityStatus[[#This Row],[Incentive Earned]]</f>
        <v>0</v>
      </c>
      <c r="F175" s="233" t="str">
        <f>IF(CavityStatus[[#This Row],[Receipt Date]]&lt;&gt;0,CavityStatus[[#This Row],[Receipt Date]],"")</f>
        <v/>
      </c>
      <c r="G175" s="228">
        <f>CavityStatus[[#This Row],[Recipe Modification (Mod 9)]]</f>
        <v>0</v>
      </c>
      <c r="H175" s="228">
        <f>CavityStatus[[#This Row],[Caps            
 (Mod 10)]]</f>
        <v>511.50442477876106</v>
      </c>
      <c r="I175" s="228">
        <f>CavityStatus[[#This Row],[Delivery &amp; Acceptance]]</f>
        <v>40187.5</v>
      </c>
      <c r="J175" s="228">
        <f>CavityStatus[[#This Row],[Total]]</f>
        <v>40699.004424778759</v>
      </c>
      <c r="K175" s="230" t="str">
        <f>IF(CavityStatus[[#This Row],[Accept Date]]&lt;&gt;0,CavityStatus[[#This Row],[Accept Date]],"")</f>
        <v/>
      </c>
    </row>
    <row r="176" spans="2:11" ht="14.4" hidden="1" thickBot="1" x14ac:dyDescent="0.3">
      <c r="B176" s="229" t="str">
        <f>IF(CavityStatus[[#This Row],[Unit '#]]&lt;&gt;0,CavityStatus[[#This Row],[Unit '#]],"")</f>
        <v/>
      </c>
      <c r="C176" s="226" t="str">
        <f>CavityStatus[[#This Row],[Serial '#]]</f>
        <v>CAV161</v>
      </c>
      <c r="D176" s="227" t="str">
        <f>IF(CavityStatus[[#This Row],[Actual Ship Date]]&lt;&gt;0,CavityStatus[[#This Row],[Actual Ship Date]],"")</f>
        <v/>
      </c>
      <c r="E176" s="228">
        <f>CavityStatus[[#This Row],[Incentive Earned]]</f>
        <v>0</v>
      </c>
      <c r="F176" s="233" t="str">
        <f>IF(CavityStatus[[#This Row],[Receipt Date]]&lt;&gt;0,CavityStatus[[#This Row],[Receipt Date]],"")</f>
        <v/>
      </c>
      <c r="G176" s="228">
        <f>CavityStatus[[#This Row],[Recipe Modification (Mod 9)]]</f>
        <v>0</v>
      </c>
      <c r="H176" s="228">
        <f>CavityStatus[[#This Row],[Caps            
 (Mod 10)]]</f>
        <v>511.50442477876106</v>
      </c>
      <c r="I176" s="228">
        <f>CavityStatus[[#This Row],[Delivery &amp; Acceptance]]</f>
        <v>40187.5</v>
      </c>
      <c r="J176" s="228">
        <f>CavityStatus[[#This Row],[Total]]</f>
        <v>40699.004424778759</v>
      </c>
      <c r="K176" s="230" t="str">
        <f>IF(CavityStatus[[#This Row],[Accept Date]]&lt;&gt;0,CavityStatus[[#This Row],[Accept Date]],"")</f>
        <v/>
      </c>
    </row>
    <row r="177" spans="2:11" ht="14.4" hidden="1" thickBot="1" x14ac:dyDescent="0.3">
      <c r="B177" s="229" t="str">
        <f>IF(CavityStatus[[#This Row],[Unit '#]]&lt;&gt;0,CavityStatus[[#This Row],[Unit '#]],"")</f>
        <v/>
      </c>
      <c r="C177" s="226" t="str">
        <f>CavityStatus[[#This Row],[Serial '#]]</f>
        <v>CAV162</v>
      </c>
      <c r="D177" s="227" t="str">
        <f>IF(CavityStatus[[#This Row],[Actual Ship Date]]&lt;&gt;0,CavityStatus[[#This Row],[Actual Ship Date]],"")</f>
        <v/>
      </c>
      <c r="E177" s="228">
        <f>CavityStatus[[#This Row],[Incentive Earned]]</f>
        <v>0</v>
      </c>
      <c r="F177" s="233" t="str">
        <f>IF(CavityStatus[[#This Row],[Receipt Date]]&lt;&gt;0,CavityStatus[[#This Row],[Receipt Date]],"")</f>
        <v/>
      </c>
      <c r="G177" s="228">
        <f>CavityStatus[[#This Row],[Recipe Modification (Mod 9)]]</f>
        <v>0</v>
      </c>
      <c r="H177" s="228">
        <f>CavityStatus[[#This Row],[Caps            
 (Mod 10)]]</f>
        <v>511.50442477876106</v>
      </c>
      <c r="I177" s="228">
        <f>CavityStatus[[#This Row],[Delivery &amp; Acceptance]]</f>
        <v>40187.5</v>
      </c>
      <c r="J177" s="228">
        <f>CavityStatus[[#This Row],[Total]]</f>
        <v>40699.004424778759</v>
      </c>
      <c r="K177" s="230" t="str">
        <f>IF(CavityStatus[[#This Row],[Accept Date]]&lt;&gt;0,CavityStatus[[#This Row],[Accept Date]],"")</f>
        <v/>
      </c>
    </row>
    <row r="178" spans="2:11" ht="14.4" hidden="1" thickBot="1" x14ac:dyDescent="0.3">
      <c r="B178" s="229" t="str">
        <f>IF(CavityStatus[[#This Row],[Unit '#]]&lt;&gt;0,CavityStatus[[#This Row],[Unit '#]],"")</f>
        <v/>
      </c>
      <c r="C178" s="226" t="str">
        <f>CavityStatus[[#This Row],[Serial '#]]</f>
        <v>CAV162</v>
      </c>
      <c r="D178" s="227" t="str">
        <f>IF(CavityStatus[[#This Row],[Actual Ship Date]]&lt;&gt;0,CavityStatus[[#This Row],[Actual Ship Date]],"")</f>
        <v/>
      </c>
      <c r="E178" s="228">
        <f>CavityStatus[[#This Row],[Incentive Earned]]</f>
        <v>0</v>
      </c>
      <c r="F178" s="233" t="str">
        <f>IF(CavityStatus[[#This Row],[Receipt Date]]&lt;&gt;0,CavityStatus[[#This Row],[Receipt Date]],"")</f>
        <v/>
      </c>
      <c r="G178" s="228">
        <f>CavityStatus[[#This Row],[Recipe Modification (Mod 9)]]</f>
        <v>0</v>
      </c>
      <c r="H178" s="228">
        <f>CavityStatus[[#This Row],[Caps            
 (Mod 10)]]</f>
        <v>511.50442477876106</v>
      </c>
      <c r="I178" s="228">
        <f>CavityStatus[[#This Row],[Delivery &amp; Acceptance]]</f>
        <v>40187.5</v>
      </c>
      <c r="J178" s="228">
        <f>CavityStatus[[#This Row],[Total]]</f>
        <v>40699.004424778759</v>
      </c>
      <c r="K178" s="230" t="str">
        <f>IF(CavityStatus[[#This Row],[Accept Date]]&lt;&gt;0,CavityStatus[[#This Row],[Accept Date]],"")</f>
        <v/>
      </c>
    </row>
    <row r="179" spans="2:11" ht="14.4" hidden="1" thickBot="1" x14ac:dyDescent="0.3">
      <c r="B179" s="229" t="str">
        <f>IF(CavityStatus[[#This Row],[Unit '#]]&lt;&gt;0,CavityStatus[[#This Row],[Unit '#]],"")</f>
        <v/>
      </c>
      <c r="C179" s="226" t="str">
        <f>CavityStatus[[#This Row],[Serial '#]]</f>
        <v>CAV163</v>
      </c>
      <c r="D179" s="227" t="str">
        <f>IF(CavityStatus[[#This Row],[Actual Ship Date]]&lt;&gt;0,CavityStatus[[#This Row],[Actual Ship Date]],"")</f>
        <v/>
      </c>
      <c r="E179" s="228">
        <f>CavityStatus[[#This Row],[Incentive Earned]]</f>
        <v>0</v>
      </c>
      <c r="F179" s="233" t="str">
        <f>IF(CavityStatus[[#This Row],[Receipt Date]]&lt;&gt;0,CavityStatus[[#This Row],[Receipt Date]],"")</f>
        <v/>
      </c>
      <c r="G179" s="228">
        <f>CavityStatus[[#This Row],[Recipe Modification (Mod 9)]]</f>
        <v>0</v>
      </c>
      <c r="H179" s="228">
        <f>CavityStatus[[#This Row],[Caps            
 (Mod 10)]]</f>
        <v>511.50442477876106</v>
      </c>
      <c r="I179" s="228">
        <f>CavityStatus[[#This Row],[Delivery &amp; Acceptance]]</f>
        <v>40187.5</v>
      </c>
      <c r="J179" s="228">
        <f>CavityStatus[[#This Row],[Total]]</f>
        <v>40699.004424778759</v>
      </c>
      <c r="K179" s="230" t="str">
        <f>IF(CavityStatus[[#This Row],[Accept Date]]&lt;&gt;0,CavityStatus[[#This Row],[Accept Date]],"")</f>
        <v/>
      </c>
    </row>
    <row r="180" spans="2:11" ht="14.4" hidden="1" thickBot="1" x14ac:dyDescent="0.3">
      <c r="B180" s="229" t="str">
        <f>IF(CavityStatus[[#This Row],[Unit '#]]&lt;&gt;0,CavityStatus[[#This Row],[Unit '#]],"")</f>
        <v/>
      </c>
      <c r="C180" s="226" t="str">
        <f>CavityStatus[[#This Row],[Serial '#]]</f>
        <v>CAV163</v>
      </c>
      <c r="D180" s="227" t="str">
        <f>IF(CavityStatus[[#This Row],[Actual Ship Date]]&lt;&gt;0,CavityStatus[[#This Row],[Actual Ship Date]],"")</f>
        <v/>
      </c>
      <c r="E180" s="228">
        <f>CavityStatus[[#This Row],[Incentive Earned]]</f>
        <v>0</v>
      </c>
      <c r="F180" s="233" t="str">
        <f>IF(CavityStatus[[#This Row],[Receipt Date]]&lt;&gt;0,CavityStatus[[#This Row],[Receipt Date]],"")</f>
        <v/>
      </c>
      <c r="G180" s="228">
        <f>CavityStatus[[#This Row],[Recipe Modification (Mod 9)]]</f>
        <v>0</v>
      </c>
      <c r="H180" s="228">
        <f>CavityStatus[[#This Row],[Caps            
 (Mod 10)]]</f>
        <v>511.50442477876106</v>
      </c>
      <c r="I180" s="228">
        <f>CavityStatus[[#This Row],[Delivery &amp; Acceptance]]</f>
        <v>40187.5</v>
      </c>
      <c r="J180" s="228">
        <f>CavityStatus[[#This Row],[Total]]</f>
        <v>40699.004424778759</v>
      </c>
      <c r="K180" s="230" t="str">
        <f>IF(CavityStatus[[#This Row],[Accept Date]]&lt;&gt;0,CavityStatus[[#This Row],[Accept Date]],"")</f>
        <v/>
      </c>
    </row>
    <row r="181" spans="2:11" ht="14.4" hidden="1" thickBot="1" x14ac:dyDescent="0.3">
      <c r="B181" s="229" t="str">
        <f>IF(CavityStatus[[#This Row],[Unit '#]]&lt;&gt;0,CavityStatus[[#This Row],[Unit '#]],"")</f>
        <v/>
      </c>
      <c r="C181" s="226" t="str">
        <f>CavityStatus[[#This Row],[Serial '#]]</f>
        <v>CAV164</v>
      </c>
      <c r="D181" s="227" t="str">
        <f>IF(CavityStatus[[#This Row],[Actual Ship Date]]&lt;&gt;0,CavityStatus[[#This Row],[Actual Ship Date]],"")</f>
        <v/>
      </c>
      <c r="E181" s="228">
        <f>CavityStatus[[#This Row],[Incentive Earned]]</f>
        <v>0</v>
      </c>
      <c r="F181" s="233" t="str">
        <f>IF(CavityStatus[[#This Row],[Receipt Date]]&lt;&gt;0,CavityStatus[[#This Row],[Receipt Date]],"")</f>
        <v/>
      </c>
      <c r="G181" s="228">
        <f>CavityStatus[[#This Row],[Recipe Modification (Mod 9)]]</f>
        <v>0</v>
      </c>
      <c r="H181" s="228">
        <f>CavityStatus[[#This Row],[Caps            
 (Mod 10)]]</f>
        <v>511.50442477876106</v>
      </c>
      <c r="I181" s="228">
        <f>CavityStatus[[#This Row],[Delivery &amp; Acceptance]]</f>
        <v>40187.5</v>
      </c>
      <c r="J181" s="228">
        <f>CavityStatus[[#This Row],[Total]]</f>
        <v>40699.004424778759</v>
      </c>
      <c r="K181" s="230" t="str">
        <f>IF(CavityStatus[[#This Row],[Accept Date]]&lt;&gt;0,CavityStatus[[#This Row],[Accept Date]],"")</f>
        <v/>
      </c>
    </row>
    <row r="182" spans="2:11" ht="14.4" hidden="1" thickBot="1" x14ac:dyDescent="0.3">
      <c r="B182" s="229" t="str">
        <f>IF(CavityStatus[[#This Row],[Unit '#]]&lt;&gt;0,CavityStatus[[#This Row],[Unit '#]],"")</f>
        <v/>
      </c>
      <c r="C182" s="226" t="str">
        <f>CavityStatus[[#This Row],[Serial '#]]</f>
        <v>CAV164</v>
      </c>
      <c r="D182" s="227" t="str">
        <f>IF(CavityStatus[[#This Row],[Actual Ship Date]]&lt;&gt;0,CavityStatus[[#This Row],[Actual Ship Date]],"")</f>
        <v/>
      </c>
      <c r="E182" s="228">
        <f>CavityStatus[[#This Row],[Incentive Earned]]</f>
        <v>0</v>
      </c>
      <c r="F182" s="233" t="str">
        <f>IF(CavityStatus[[#This Row],[Receipt Date]]&lt;&gt;0,CavityStatus[[#This Row],[Receipt Date]],"")</f>
        <v/>
      </c>
      <c r="G182" s="228">
        <f>CavityStatus[[#This Row],[Recipe Modification (Mod 9)]]</f>
        <v>0</v>
      </c>
      <c r="H182" s="228">
        <f>CavityStatus[[#This Row],[Caps            
 (Mod 10)]]</f>
        <v>511.50442477876106</v>
      </c>
      <c r="I182" s="228">
        <f>CavityStatus[[#This Row],[Delivery &amp; Acceptance]]</f>
        <v>40187.5</v>
      </c>
      <c r="J182" s="228">
        <f>CavityStatus[[#This Row],[Total]]</f>
        <v>40699.004424778759</v>
      </c>
      <c r="K182" s="230" t="str">
        <f>IF(CavityStatus[[#This Row],[Accept Date]]&lt;&gt;0,CavityStatus[[#This Row],[Accept Date]],"")</f>
        <v/>
      </c>
    </row>
    <row r="183" spans="2:11" ht="14.4" hidden="1" thickBot="1" x14ac:dyDescent="0.3">
      <c r="B183" s="229" t="str">
        <f>IF(CavityStatus[[#This Row],[Unit '#]]&lt;&gt;0,CavityStatus[[#This Row],[Unit '#]],"")</f>
        <v/>
      </c>
      <c r="C183" s="226" t="str">
        <f>CavityStatus[[#This Row],[Serial '#]]</f>
        <v>CAV165</v>
      </c>
      <c r="D183" s="227" t="str">
        <f>IF(CavityStatus[[#This Row],[Actual Ship Date]]&lt;&gt;0,CavityStatus[[#This Row],[Actual Ship Date]],"")</f>
        <v/>
      </c>
      <c r="E183" s="228">
        <f>CavityStatus[[#This Row],[Incentive Earned]]</f>
        <v>0</v>
      </c>
      <c r="F183" s="233" t="str">
        <f>IF(CavityStatus[[#This Row],[Receipt Date]]&lt;&gt;0,CavityStatus[[#This Row],[Receipt Date]],"")</f>
        <v/>
      </c>
      <c r="G183" s="228">
        <f>CavityStatus[[#This Row],[Recipe Modification (Mod 9)]]</f>
        <v>0</v>
      </c>
      <c r="H183" s="228">
        <f>CavityStatus[[#This Row],[Caps            
 (Mod 10)]]</f>
        <v>511.50442477876106</v>
      </c>
      <c r="I183" s="228">
        <f>CavityStatus[[#This Row],[Delivery &amp; Acceptance]]</f>
        <v>40187.5</v>
      </c>
      <c r="J183" s="228">
        <f>CavityStatus[[#This Row],[Total]]</f>
        <v>40699.004424778759</v>
      </c>
      <c r="K183" s="230" t="str">
        <f>IF(CavityStatus[[#This Row],[Accept Date]]&lt;&gt;0,CavityStatus[[#This Row],[Accept Date]],"")</f>
        <v/>
      </c>
    </row>
    <row r="184" spans="2:11" ht="14.4" hidden="1" thickBot="1" x14ac:dyDescent="0.3">
      <c r="B184" s="229" t="str">
        <f>IF(CavityStatus[[#This Row],[Unit '#]]&lt;&gt;0,CavityStatus[[#This Row],[Unit '#]],"")</f>
        <v/>
      </c>
      <c r="C184" s="226" t="str">
        <f>CavityStatus[[#This Row],[Serial '#]]</f>
        <v>CAV165</v>
      </c>
      <c r="D184" s="227" t="str">
        <f>IF(CavityStatus[[#This Row],[Actual Ship Date]]&lt;&gt;0,CavityStatus[[#This Row],[Actual Ship Date]],"")</f>
        <v/>
      </c>
      <c r="E184" s="228">
        <f>CavityStatus[[#This Row],[Incentive Earned]]</f>
        <v>0</v>
      </c>
      <c r="F184" s="233" t="str">
        <f>IF(CavityStatus[[#This Row],[Receipt Date]]&lt;&gt;0,CavityStatus[[#This Row],[Receipt Date]],"")</f>
        <v/>
      </c>
      <c r="G184" s="228">
        <f>CavityStatus[[#This Row],[Recipe Modification (Mod 9)]]</f>
        <v>0</v>
      </c>
      <c r="H184" s="228">
        <f>CavityStatus[[#This Row],[Caps            
 (Mod 10)]]</f>
        <v>511.50442477876106</v>
      </c>
      <c r="I184" s="228">
        <f>CavityStatus[[#This Row],[Delivery &amp; Acceptance]]</f>
        <v>40187.5</v>
      </c>
      <c r="J184" s="228">
        <f>CavityStatus[[#This Row],[Total]]</f>
        <v>40699.004424778759</v>
      </c>
      <c r="K184" s="230" t="str">
        <f>IF(CavityStatus[[#This Row],[Accept Date]]&lt;&gt;0,CavityStatus[[#This Row],[Accept Date]],"")</f>
        <v/>
      </c>
    </row>
    <row r="185" spans="2:11" ht="14.4" hidden="1" thickBot="1" x14ac:dyDescent="0.3">
      <c r="B185" s="229" t="str">
        <f>IF(CavityStatus[[#This Row],[Unit '#]]&lt;&gt;0,CavityStatus[[#This Row],[Unit '#]],"")</f>
        <v/>
      </c>
      <c r="C185" s="226" t="str">
        <f>CavityStatus[[#This Row],[Serial '#]]</f>
        <v>CAV166</v>
      </c>
      <c r="D185" s="227" t="str">
        <f>IF(CavityStatus[[#This Row],[Actual Ship Date]]&lt;&gt;0,CavityStatus[[#This Row],[Actual Ship Date]],"")</f>
        <v/>
      </c>
      <c r="E185" s="228">
        <f>CavityStatus[[#This Row],[Incentive Earned]]</f>
        <v>0</v>
      </c>
      <c r="F185" s="233" t="str">
        <f>IF(CavityStatus[[#This Row],[Receipt Date]]&lt;&gt;0,CavityStatus[[#This Row],[Receipt Date]],"")</f>
        <v/>
      </c>
      <c r="G185" s="228">
        <f>CavityStatus[[#This Row],[Recipe Modification (Mod 9)]]</f>
        <v>0</v>
      </c>
      <c r="H185" s="228">
        <f>CavityStatus[[#This Row],[Caps            
 (Mod 10)]]</f>
        <v>511.50442477876106</v>
      </c>
      <c r="I185" s="228">
        <f>CavityStatus[[#This Row],[Delivery &amp; Acceptance]]</f>
        <v>40187.5</v>
      </c>
      <c r="J185" s="228">
        <f>CavityStatus[[#This Row],[Total]]</f>
        <v>40699.004424778759</v>
      </c>
      <c r="K185" s="230" t="str">
        <f>IF(CavityStatus[[#This Row],[Accept Date]]&lt;&gt;0,CavityStatus[[#This Row],[Accept Date]],"")</f>
        <v/>
      </c>
    </row>
    <row r="186" spans="2:11" ht="14.4" hidden="1" thickBot="1" x14ac:dyDescent="0.3">
      <c r="B186" s="229" t="str">
        <f>IF(CavityStatus[[#This Row],[Unit '#]]&lt;&gt;0,CavityStatus[[#This Row],[Unit '#]],"")</f>
        <v/>
      </c>
      <c r="C186" s="226" t="str">
        <f>CavityStatus[[#This Row],[Serial '#]]</f>
        <v>CAV166</v>
      </c>
      <c r="D186" s="227" t="str">
        <f>IF(CavityStatus[[#This Row],[Actual Ship Date]]&lt;&gt;0,CavityStatus[[#This Row],[Actual Ship Date]],"")</f>
        <v/>
      </c>
      <c r="E186" s="228">
        <f>CavityStatus[[#This Row],[Incentive Earned]]</f>
        <v>0</v>
      </c>
      <c r="F186" s="233" t="str">
        <f>IF(CavityStatus[[#This Row],[Receipt Date]]&lt;&gt;0,CavityStatus[[#This Row],[Receipt Date]],"")</f>
        <v/>
      </c>
      <c r="G186" s="228">
        <f>CavityStatus[[#This Row],[Recipe Modification (Mod 9)]]</f>
        <v>0</v>
      </c>
      <c r="H186" s="228">
        <f>CavityStatus[[#This Row],[Caps            
 (Mod 10)]]</f>
        <v>511.50442477876106</v>
      </c>
      <c r="I186" s="228">
        <f>CavityStatus[[#This Row],[Delivery &amp; Acceptance]]</f>
        <v>40187.5</v>
      </c>
      <c r="J186" s="228">
        <f>CavityStatus[[#This Row],[Total]]</f>
        <v>40699.004424778759</v>
      </c>
      <c r="K186" s="230" t="str">
        <f>IF(CavityStatus[[#This Row],[Accept Date]]&lt;&gt;0,CavityStatus[[#This Row],[Accept Date]],"")</f>
        <v/>
      </c>
    </row>
    <row r="187" spans="2:11" ht="14.4" hidden="1" thickBot="1" x14ac:dyDescent="0.3">
      <c r="B187" s="229" t="str">
        <f>IF(CavityStatus[[#This Row],[Unit '#]]&lt;&gt;0,CavityStatus[[#This Row],[Unit '#]],"")</f>
        <v/>
      </c>
      <c r="C187" s="226" t="str">
        <f>CavityStatus[[#This Row],[Serial '#]]</f>
        <v>CAV167</v>
      </c>
      <c r="D187" s="227" t="str">
        <f>IF(CavityStatus[[#This Row],[Actual Ship Date]]&lt;&gt;0,CavityStatus[[#This Row],[Actual Ship Date]],"")</f>
        <v/>
      </c>
      <c r="E187" s="228">
        <f>CavityStatus[[#This Row],[Incentive Earned]]</f>
        <v>0</v>
      </c>
      <c r="F187" s="233" t="str">
        <f>IF(CavityStatus[[#This Row],[Receipt Date]]&lt;&gt;0,CavityStatus[[#This Row],[Receipt Date]],"")</f>
        <v/>
      </c>
      <c r="G187" s="228">
        <f>CavityStatus[[#This Row],[Recipe Modification (Mod 9)]]</f>
        <v>0</v>
      </c>
      <c r="H187" s="228">
        <f>CavityStatus[[#This Row],[Caps            
 (Mod 10)]]</f>
        <v>511.50442477876106</v>
      </c>
      <c r="I187" s="228">
        <f>CavityStatus[[#This Row],[Delivery &amp; Acceptance]]</f>
        <v>40187.5</v>
      </c>
      <c r="J187" s="228">
        <f>CavityStatus[[#This Row],[Total]]</f>
        <v>40699.004424778759</v>
      </c>
      <c r="K187" s="230" t="str">
        <f>IF(CavityStatus[[#This Row],[Accept Date]]&lt;&gt;0,CavityStatus[[#This Row],[Accept Date]],"")</f>
        <v/>
      </c>
    </row>
    <row r="188" spans="2:11" ht="14.4" hidden="1" thickBot="1" x14ac:dyDescent="0.3">
      <c r="B188" s="229" t="str">
        <f>IF(CavityStatus[[#This Row],[Unit '#]]&lt;&gt;0,CavityStatus[[#This Row],[Unit '#]],"")</f>
        <v/>
      </c>
      <c r="C188" s="226" t="str">
        <f>CavityStatus[[#This Row],[Serial '#]]</f>
        <v>CAV167</v>
      </c>
      <c r="D188" s="227" t="str">
        <f>IF(CavityStatus[[#This Row],[Actual Ship Date]]&lt;&gt;0,CavityStatus[[#This Row],[Actual Ship Date]],"")</f>
        <v/>
      </c>
      <c r="E188" s="228">
        <f>CavityStatus[[#This Row],[Incentive Earned]]</f>
        <v>0</v>
      </c>
      <c r="F188" s="233" t="str">
        <f>IF(CavityStatus[[#This Row],[Receipt Date]]&lt;&gt;0,CavityStatus[[#This Row],[Receipt Date]],"")</f>
        <v/>
      </c>
      <c r="G188" s="228">
        <f>CavityStatus[[#This Row],[Recipe Modification (Mod 9)]]</f>
        <v>0</v>
      </c>
      <c r="H188" s="228">
        <f>CavityStatus[[#This Row],[Caps            
 (Mod 10)]]</f>
        <v>511.50442477876106</v>
      </c>
      <c r="I188" s="228">
        <f>CavityStatus[[#This Row],[Delivery &amp; Acceptance]]</f>
        <v>40187.5</v>
      </c>
      <c r="J188" s="228">
        <f>CavityStatus[[#This Row],[Total]]</f>
        <v>40699.004424778759</v>
      </c>
      <c r="K188" s="230" t="str">
        <f>IF(CavityStatus[[#This Row],[Accept Date]]&lt;&gt;0,CavityStatus[[#This Row],[Accept Date]],"")</f>
        <v/>
      </c>
    </row>
    <row r="189" spans="2:11" ht="14.4" hidden="1" thickBot="1" x14ac:dyDescent="0.3">
      <c r="B189" s="229" t="str">
        <f>IF(CavityStatus[[#This Row],[Unit '#]]&lt;&gt;0,CavityStatus[[#This Row],[Unit '#]],"")</f>
        <v/>
      </c>
      <c r="C189" s="226" t="str">
        <f>CavityStatus[[#This Row],[Serial '#]]</f>
        <v>CAV168</v>
      </c>
      <c r="D189" s="227" t="str">
        <f>IF(CavityStatus[[#This Row],[Actual Ship Date]]&lt;&gt;0,CavityStatus[[#This Row],[Actual Ship Date]],"")</f>
        <v/>
      </c>
      <c r="E189" s="228">
        <f>CavityStatus[[#This Row],[Incentive Earned]]</f>
        <v>0</v>
      </c>
      <c r="F189" s="233" t="str">
        <f>IF(CavityStatus[[#This Row],[Receipt Date]]&lt;&gt;0,CavityStatus[[#This Row],[Receipt Date]],"")</f>
        <v/>
      </c>
      <c r="G189" s="228">
        <f>CavityStatus[[#This Row],[Recipe Modification (Mod 9)]]</f>
        <v>0</v>
      </c>
      <c r="H189" s="228">
        <f>CavityStatus[[#This Row],[Caps            
 (Mod 10)]]</f>
        <v>511.50442477876106</v>
      </c>
      <c r="I189" s="228">
        <f>CavityStatus[[#This Row],[Delivery &amp; Acceptance]]</f>
        <v>40187.5</v>
      </c>
      <c r="J189" s="228">
        <f>CavityStatus[[#This Row],[Total]]</f>
        <v>40699.004424778759</v>
      </c>
      <c r="K189" s="230" t="str">
        <f>IF(CavityStatus[[#This Row],[Accept Date]]&lt;&gt;0,CavityStatus[[#This Row],[Accept Date]],"")</f>
        <v/>
      </c>
    </row>
    <row r="190" spans="2:11" ht="14.4" hidden="1" thickBot="1" x14ac:dyDescent="0.3">
      <c r="B190" s="229" t="str">
        <f>IF(CavityStatus[[#This Row],[Unit '#]]&lt;&gt;0,CavityStatus[[#This Row],[Unit '#]],"")</f>
        <v/>
      </c>
      <c r="C190" s="226" t="str">
        <f>CavityStatus[[#This Row],[Serial '#]]</f>
        <v>CAV168</v>
      </c>
      <c r="D190" s="227" t="str">
        <f>IF(CavityStatus[[#This Row],[Actual Ship Date]]&lt;&gt;0,CavityStatus[[#This Row],[Actual Ship Date]],"")</f>
        <v/>
      </c>
      <c r="E190" s="228">
        <f>CavityStatus[[#This Row],[Incentive Earned]]</f>
        <v>0</v>
      </c>
      <c r="F190" s="233" t="str">
        <f>IF(CavityStatus[[#This Row],[Receipt Date]]&lt;&gt;0,CavityStatus[[#This Row],[Receipt Date]],"")</f>
        <v/>
      </c>
      <c r="G190" s="228">
        <f>CavityStatus[[#This Row],[Recipe Modification (Mod 9)]]</f>
        <v>0</v>
      </c>
      <c r="H190" s="228">
        <f>CavityStatus[[#This Row],[Caps            
 (Mod 10)]]</f>
        <v>511.50442477876106</v>
      </c>
      <c r="I190" s="228">
        <f>CavityStatus[[#This Row],[Delivery &amp; Acceptance]]</f>
        <v>40187.5</v>
      </c>
      <c r="J190" s="228">
        <f>CavityStatus[[#This Row],[Total]]</f>
        <v>40699.004424778759</v>
      </c>
      <c r="K190" s="230" t="str">
        <f>IF(CavityStatus[[#This Row],[Accept Date]]&lt;&gt;0,CavityStatus[[#This Row],[Accept Date]],"")</f>
        <v/>
      </c>
    </row>
    <row r="191" spans="2:11" ht="14.4" hidden="1" thickBot="1" x14ac:dyDescent="0.3">
      <c r="B191" s="229" t="str">
        <f>IF(CavityStatus[[#This Row],[Unit '#]]&lt;&gt;0,CavityStatus[[#This Row],[Unit '#]],"")</f>
        <v/>
      </c>
      <c r="C191" s="226" t="str">
        <f>CavityStatus[[#This Row],[Serial '#]]</f>
        <v>CAV169</v>
      </c>
      <c r="D191" s="227" t="str">
        <f>IF(CavityStatus[[#This Row],[Actual Ship Date]]&lt;&gt;0,CavityStatus[[#This Row],[Actual Ship Date]],"")</f>
        <v/>
      </c>
      <c r="E191" s="228">
        <f>CavityStatus[[#This Row],[Incentive Earned]]</f>
        <v>0</v>
      </c>
      <c r="F191" s="233" t="str">
        <f>IF(CavityStatus[[#This Row],[Receipt Date]]&lt;&gt;0,CavityStatus[[#This Row],[Receipt Date]],"")</f>
        <v/>
      </c>
      <c r="G191" s="228">
        <f>CavityStatus[[#This Row],[Recipe Modification (Mod 9)]]</f>
        <v>0</v>
      </c>
      <c r="H191" s="228">
        <f>CavityStatus[[#This Row],[Caps            
 (Mod 10)]]</f>
        <v>511.50442477876106</v>
      </c>
      <c r="I191" s="228">
        <f>CavityStatus[[#This Row],[Delivery &amp; Acceptance]]</f>
        <v>40187.5</v>
      </c>
      <c r="J191" s="228">
        <f>CavityStatus[[#This Row],[Total]]</f>
        <v>40699.004424778759</v>
      </c>
      <c r="K191" s="230" t="str">
        <f>IF(CavityStatus[[#This Row],[Accept Date]]&lt;&gt;0,CavityStatus[[#This Row],[Accept Date]],"")</f>
        <v/>
      </c>
    </row>
    <row r="192" spans="2:11" ht="14.4" hidden="1" thickBot="1" x14ac:dyDescent="0.3">
      <c r="B192" s="229" t="str">
        <f>IF(CavityStatus[[#This Row],[Unit '#]]&lt;&gt;0,CavityStatus[[#This Row],[Unit '#]],"")</f>
        <v/>
      </c>
      <c r="C192" s="226" t="str">
        <f>CavityStatus[[#This Row],[Serial '#]]</f>
        <v>CAV169</v>
      </c>
      <c r="D192" s="227" t="str">
        <f>IF(CavityStatus[[#This Row],[Actual Ship Date]]&lt;&gt;0,CavityStatus[[#This Row],[Actual Ship Date]],"")</f>
        <v/>
      </c>
      <c r="E192" s="228">
        <f>CavityStatus[[#This Row],[Incentive Earned]]</f>
        <v>0</v>
      </c>
      <c r="F192" s="233" t="str">
        <f>IF(CavityStatus[[#This Row],[Receipt Date]]&lt;&gt;0,CavityStatus[[#This Row],[Receipt Date]],"")</f>
        <v/>
      </c>
      <c r="G192" s="228">
        <f>CavityStatus[[#This Row],[Recipe Modification (Mod 9)]]</f>
        <v>0</v>
      </c>
      <c r="H192" s="228">
        <f>CavityStatus[[#This Row],[Caps            
 (Mod 10)]]</f>
        <v>511.50442477876106</v>
      </c>
      <c r="I192" s="228">
        <f>CavityStatus[[#This Row],[Delivery &amp; Acceptance]]</f>
        <v>40187.5</v>
      </c>
      <c r="J192" s="228">
        <f>CavityStatus[[#This Row],[Total]]</f>
        <v>40699.004424778759</v>
      </c>
      <c r="K192" s="230" t="str">
        <f>IF(CavityStatus[[#This Row],[Accept Date]]&lt;&gt;0,CavityStatus[[#This Row],[Accept Date]],"")</f>
        <v/>
      </c>
    </row>
    <row r="193" spans="2:11" ht="14.4" hidden="1" thickBot="1" x14ac:dyDescent="0.3">
      <c r="B193" s="229" t="str">
        <f>IF(CavityStatus[[#This Row],[Unit '#]]&lt;&gt;0,CavityStatus[[#This Row],[Unit '#]],"")</f>
        <v/>
      </c>
      <c r="C193" s="226" t="str">
        <f>CavityStatus[[#This Row],[Serial '#]]</f>
        <v>CAV170</v>
      </c>
      <c r="D193" s="227" t="str">
        <f>IF(CavityStatus[[#This Row],[Actual Ship Date]]&lt;&gt;0,CavityStatus[[#This Row],[Actual Ship Date]],"")</f>
        <v/>
      </c>
      <c r="E193" s="228">
        <f>CavityStatus[[#This Row],[Incentive Earned]]</f>
        <v>0</v>
      </c>
      <c r="F193" s="233" t="str">
        <f>IF(CavityStatus[[#This Row],[Receipt Date]]&lt;&gt;0,CavityStatus[[#This Row],[Receipt Date]],"")</f>
        <v/>
      </c>
      <c r="G193" s="228">
        <f>CavityStatus[[#This Row],[Recipe Modification (Mod 9)]]</f>
        <v>0</v>
      </c>
      <c r="H193" s="228">
        <f>CavityStatus[[#This Row],[Caps            
 (Mod 10)]]</f>
        <v>511.50442477876106</v>
      </c>
      <c r="I193" s="228">
        <f>CavityStatus[[#This Row],[Delivery &amp; Acceptance]]</f>
        <v>40187.5</v>
      </c>
      <c r="J193" s="228">
        <f>CavityStatus[[#This Row],[Total]]</f>
        <v>40699.004424778759</v>
      </c>
      <c r="K193" s="230" t="str">
        <f>IF(CavityStatus[[#This Row],[Accept Date]]&lt;&gt;0,CavityStatus[[#This Row],[Accept Date]],"")</f>
        <v/>
      </c>
    </row>
    <row r="194" spans="2:11" ht="14.4" hidden="1" thickBot="1" x14ac:dyDescent="0.3">
      <c r="B194" s="229" t="str">
        <f>IF(CavityStatus[[#This Row],[Unit '#]]&lt;&gt;0,CavityStatus[[#This Row],[Unit '#]],"")</f>
        <v/>
      </c>
      <c r="C194" s="226" t="str">
        <f>CavityStatus[[#This Row],[Serial '#]]</f>
        <v>CAV170</v>
      </c>
      <c r="D194" s="227" t="str">
        <f>IF(CavityStatus[[#This Row],[Actual Ship Date]]&lt;&gt;0,CavityStatus[[#This Row],[Actual Ship Date]],"")</f>
        <v/>
      </c>
      <c r="E194" s="228">
        <f>CavityStatus[[#This Row],[Incentive Earned]]</f>
        <v>0</v>
      </c>
      <c r="F194" s="233" t="str">
        <f>IF(CavityStatus[[#This Row],[Receipt Date]]&lt;&gt;0,CavityStatus[[#This Row],[Receipt Date]],"")</f>
        <v/>
      </c>
      <c r="G194" s="228">
        <f>CavityStatus[[#This Row],[Recipe Modification (Mod 9)]]</f>
        <v>0</v>
      </c>
      <c r="H194" s="228">
        <f>CavityStatus[[#This Row],[Caps            
 (Mod 10)]]</f>
        <v>511.50442477876106</v>
      </c>
      <c r="I194" s="228">
        <f>CavityStatus[[#This Row],[Delivery &amp; Acceptance]]</f>
        <v>40187.5</v>
      </c>
      <c r="J194" s="228">
        <f>CavityStatus[[#This Row],[Total]]</f>
        <v>40699.004424778759</v>
      </c>
      <c r="K194" s="230" t="str">
        <f>IF(CavityStatus[[#This Row],[Accept Date]]&lt;&gt;0,CavityStatus[[#This Row],[Accept Date]],"")</f>
        <v/>
      </c>
    </row>
    <row r="195" spans="2:11" ht="14.4" hidden="1" thickBot="1" x14ac:dyDescent="0.3">
      <c r="B195" s="229" t="str">
        <f>IF(CavityStatus[[#This Row],[Unit '#]]&lt;&gt;0,CavityStatus[[#This Row],[Unit '#]],"")</f>
        <v/>
      </c>
      <c r="C195" s="226" t="str">
        <f>CavityStatus[[#This Row],[Serial '#]]</f>
        <v>CAV171</v>
      </c>
      <c r="D195" s="227" t="str">
        <f>IF(CavityStatus[[#This Row],[Actual Ship Date]]&lt;&gt;0,CavityStatus[[#This Row],[Actual Ship Date]],"")</f>
        <v/>
      </c>
      <c r="E195" s="228">
        <f>CavityStatus[[#This Row],[Incentive Earned]]</f>
        <v>0</v>
      </c>
      <c r="F195" s="233" t="str">
        <f>IF(CavityStatus[[#This Row],[Receipt Date]]&lt;&gt;0,CavityStatus[[#This Row],[Receipt Date]],"")</f>
        <v/>
      </c>
      <c r="G195" s="228">
        <f>CavityStatus[[#This Row],[Recipe Modification (Mod 9)]]</f>
        <v>0</v>
      </c>
      <c r="H195" s="228">
        <f>CavityStatus[[#This Row],[Caps            
 (Mod 10)]]</f>
        <v>511.50442477876106</v>
      </c>
      <c r="I195" s="228">
        <f>CavityStatus[[#This Row],[Delivery &amp; Acceptance]]</f>
        <v>40187.5</v>
      </c>
      <c r="J195" s="228">
        <f>CavityStatus[[#This Row],[Total]]</f>
        <v>40699.004424778759</v>
      </c>
      <c r="K195" s="230" t="str">
        <f>IF(CavityStatus[[#This Row],[Accept Date]]&lt;&gt;0,CavityStatus[[#This Row],[Accept Date]],"")</f>
        <v/>
      </c>
    </row>
    <row r="196" spans="2:11" ht="14.4" hidden="1" thickBot="1" x14ac:dyDescent="0.3">
      <c r="B196" s="229" t="str">
        <f>IF(CavityStatus[[#This Row],[Unit '#]]&lt;&gt;0,CavityStatus[[#This Row],[Unit '#]],"")</f>
        <v/>
      </c>
      <c r="C196" s="226" t="str">
        <f>CavityStatus[[#This Row],[Serial '#]]</f>
        <v>CAV172</v>
      </c>
      <c r="D196" s="227" t="str">
        <f>IF(CavityStatus[[#This Row],[Actual Ship Date]]&lt;&gt;0,CavityStatus[[#This Row],[Actual Ship Date]],"")</f>
        <v/>
      </c>
      <c r="E196" s="228">
        <f>CavityStatus[[#This Row],[Incentive Earned]]</f>
        <v>0</v>
      </c>
      <c r="F196" s="233" t="str">
        <f>IF(CavityStatus[[#This Row],[Receipt Date]]&lt;&gt;0,CavityStatus[[#This Row],[Receipt Date]],"")</f>
        <v/>
      </c>
      <c r="G196" s="228">
        <f>CavityStatus[[#This Row],[Recipe Modification (Mod 9)]]</f>
        <v>0</v>
      </c>
      <c r="H196" s="228">
        <f>CavityStatus[[#This Row],[Caps            
 (Mod 10)]]</f>
        <v>511.50442477876106</v>
      </c>
      <c r="I196" s="228">
        <f>CavityStatus[[#This Row],[Delivery &amp; Acceptance]]</f>
        <v>40187.5</v>
      </c>
      <c r="J196" s="228">
        <f>CavityStatus[[#This Row],[Total]]</f>
        <v>40699.004424778759</v>
      </c>
      <c r="K196" s="230" t="str">
        <f>IF(CavityStatus[[#This Row],[Accept Date]]&lt;&gt;0,CavityStatus[[#This Row],[Accept Date]],"")</f>
        <v/>
      </c>
    </row>
    <row r="197" spans="2:11" ht="14.4" hidden="1" thickBot="1" x14ac:dyDescent="0.3">
      <c r="B197" s="229" t="str">
        <f>IF(CavityStatus[[#This Row],[Unit '#]]&lt;&gt;0,CavityStatus[[#This Row],[Unit '#]],"")</f>
        <v/>
      </c>
      <c r="C197" s="226" t="str">
        <f>CavityStatus[[#This Row],[Serial '#]]</f>
        <v>CAV173</v>
      </c>
      <c r="D197" s="227" t="str">
        <f>IF(CavityStatus[[#This Row],[Actual Ship Date]]&lt;&gt;0,CavityStatus[[#This Row],[Actual Ship Date]],"")</f>
        <v/>
      </c>
      <c r="E197" s="228">
        <f>CavityStatus[[#This Row],[Incentive Earned]]</f>
        <v>0</v>
      </c>
      <c r="F197" s="233" t="str">
        <f>IF(CavityStatus[[#This Row],[Receipt Date]]&lt;&gt;0,CavityStatus[[#This Row],[Receipt Date]],"")</f>
        <v/>
      </c>
      <c r="G197" s="228">
        <f>CavityStatus[[#This Row],[Recipe Modification (Mod 9)]]</f>
        <v>0</v>
      </c>
      <c r="H197" s="228">
        <f>CavityStatus[[#This Row],[Caps            
 (Mod 10)]]</f>
        <v>511.50442477876106</v>
      </c>
      <c r="I197" s="228">
        <f>CavityStatus[[#This Row],[Delivery &amp; Acceptance]]</f>
        <v>40187.5</v>
      </c>
      <c r="J197" s="228">
        <f>CavityStatus[[#This Row],[Total]]</f>
        <v>40699.004424778759</v>
      </c>
      <c r="K197" s="230" t="str">
        <f>IF(CavityStatus[[#This Row],[Accept Date]]&lt;&gt;0,CavityStatus[[#This Row],[Accept Date]],"")</f>
        <v/>
      </c>
    </row>
    <row r="198" spans="2:11" ht="14.4" hidden="1" thickBot="1" x14ac:dyDescent="0.3">
      <c r="B198" s="229" t="str">
        <f>IF(CavityStatus[[#This Row],[Unit '#]]&lt;&gt;0,CavityStatus[[#This Row],[Unit '#]],"")</f>
        <v/>
      </c>
      <c r="C198" s="226" t="str">
        <f>CavityStatus[[#This Row],[Serial '#]]</f>
        <v>CAV174</v>
      </c>
      <c r="D198" s="227" t="str">
        <f>IF(CavityStatus[[#This Row],[Actual Ship Date]]&lt;&gt;0,CavityStatus[[#This Row],[Actual Ship Date]],"")</f>
        <v/>
      </c>
      <c r="E198" s="228">
        <f>CavityStatus[[#This Row],[Incentive Earned]]</f>
        <v>0</v>
      </c>
      <c r="F198" s="233" t="str">
        <f>IF(CavityStatus[[#This Row],[Receipt Date]]&lt;&gt;0,CavityStatus[[#This Row],[Receipt Date]],"")</f>
        <v/>
      </c>
      <c r="G198" s="228">
        <f>CavityStatus[[#This Row],[Recipe Modification (Mod 9)]]</f>
        <v>0</v>
      </c>
      <c r="H198" s="228">
        <f>CavityStatus[[#This Row],[Caps            
 (Mod 10)]]</f>
        <v>0</v>
      </c>
      <c r="I198" s="228">
        <f>CavityStatus[[#This Row],[Delivery &amp; Acceptance]]</f>
        <v>40187.5</v>
      </c>
      <c r="J198" s="228">
        <f>CavityStatus[[#This Row],[Total]]</f>
        <v>40187.5</v>
      </c>
      <c r="K198" s="230" t="str">
        <f>IF(CavityStatus[[#This Row],[Accept Date]]&lt;&gt;0,CavityStatus[[#This Row],[Accept Date]],"")</f>
        <v/>
      </c>
    </row>
    <row r="199" spans="2:11" ht="14.4" hidden="1" thickBot="1" x14ac:dyDescent="0.3">
      <c r="B199" s="229" t="str">
        <f>IF(CavityStatus[[#This Row],[Unit '#]]&lt;&gt;0,CavityStatus[[#This Row],[Unit '#]],"")</f>
        <v/>
      </c>
      <c r="C199" s="226" t="str">
        <f>CavityStatus[[#This Row],[Serial '#]]</f>
        <v>CAV175</v>
      </c>
      <c r="D199" s="227" t="str">
        <f>IF(CavityStatus[[#This Row],[Actual Ship Date]]&lt;&gt;0,CavityStatus[[#This Row],[Actual Ship Date]],"")</f>
        <v/>
      </c>
      <c r="E199" s="228">
        <f>CavityStatus[[#This Row],[Incentive Earned]]</f>
        <v>0</v>
      </c>
      <c r="F199" s="233" t="str">
        <f>IF(CavityStatus[[#This Row],[Receipt Date]]&lt;&gt;0,CavityStatus[[#This Row],[Receipt Date]],"")</f>
        <v/>
      </c>
      <c r="G199" s="228">
        <f>CavityStatus[[#This Row],[Recipe Modification (Mod 9)]]</f>
        <v>0</v>
      </c>
      <c r="H199" s="228">
        <f>CavityStatus[[#This Row],[Caps            
 (Mod 10)]]</f>
        <v>0</v>
      </c>
      <c r="I199" s="228">
        <f>CavityStatus[[#This Row],[Delivery &amp; Acceptance]]</f>
        <v>40187.5</v>
      </c>
      <c r="J199" s="228">
        <f>CavityStatus[[#This Row],[Total]]</f>
        <v>40187.5</v>
      </c>
      <c r="K199" s="230" t="str">
        <f>IF(CavityStatus[[#This Row],[Accept Date]]&lt;&gt;0,CavityStatus[[#This Row],[Accept Date]],"")</f>
        <v/>
      </c>
    </row>
    <row r="200" spans="2:11" ht="14.4" hidden="1" thickBot="1" x14ac:dyDescent="0.3">
      <c r="B200" s="229" t="str">
        <f>IF(CavityStatus[[#This Row],[Unit '#]]&lt;&gt;0,CavityStatus[[#This Row],[Unit '#]],"")</f>
        <v/>
      </c>
      <c r="C200" s="226" t="str">
        <f>CavityStatus[[#This Row],[Serial '#]]</f>
        <v>CAV176</v>
      </c>
      <c r="D200" s="227" t="str">
        <f>IF(CavityStatus[[#This Row],[Actual Ship Date]]&lt;&gt;0,CavityStatus[[#This Row],[Actual Ship Date]],"")</f>
        <v/>
      </c>
      <c r="E200" s="228">
        <f>CavityStatus[[#This Row],[Incentive Earned]]</f>
        <v>0</v>
      </c>
      <c r="F200" s="233" t="str">
        <f>IF(CavityStatus[[#This Row],[Receipt Date]]&lt;&gt;0,CavityStatus[[#This Row],[Receipt Date]],"")</f>
        <v/>
      </c>
      <c r="G200" s="228">
        <f>CavityStatus[[#This Row],[Recipe Modification (Mod 9)]]</f>
        <v>0</v>
      </c>
      <c r="H200" s="228">
        <f>CavityStatus[[#This Row],[Caps            
 (Mod 10)]]</f>
        <v>0</v>
      </c>
      <c r="I200" s="228">
        <f>CavityStatus[[#This Row],[Delivery &amp; Acceptance]]</f>
        <v>40187.5</v>
      </c>
      <c r="J200" s="228">
        <f>CavityStatus[[#This Row],[Total]]</f>
        <v>40187.5</v>
      </c>
      <c r="K200" s="230" t="str">
        <f>IF(CavityStatus[[#This Row],[Accept Date]]&lt;&gt;0,CavityStatus[[#This Row],[Accept Date]],"")</f>
        <v/>
      </c>
    </row>
    <row r="201" spans="2:11" ht="14.4" hidden="1" thickBot="1" x14ac:dyDescent="0.3">
      <c r="B201" s="229" t="str">
        <f>IF(CavityStatus[[#This Row],[Unit '#]]&lt;&gt;0,CavityStatus[[#This Row],[Unit '#]],"")</f>
        <v/>
      </c>
      <c r="C201" s="226" t="str">
        <f>CavityStatus[[#This Row],[Serial '#]]</f>
        <v>CAV177</v>
      </c>
      <c r="D201" s="227" t="str">
        <f>IF(CavityStatus[[#This Row],[Actual Ship Date]]&lt;&gt;0,CavityStatus[[#This Row],[Actual Ship Date]],"")</f>
        <v/>
      </c>
      <c r="E201" s="228">
        <f>CavityStatus[[#This Row],[Incentive Earned]]</f>
        <v>0</v>
      </c>
      <c r="F201" s="233" t="str">
        <f>IF(CavityStatus[[#This Row],[Receipt Date]]&lt;&gt;0,CavityStatus[[#This Row],[Receipt Date]],"")</f>
        <v/>
      </c>
      <c r="G201" s="228">
        <f>CavityStatus[[#This Row],[Recipe Modification (Mod 9)]]</f>
        <v>0</v>
      </c>
      <c r="H201" s="228">
        <f>CavityStatus[[#This Row],[Caps            
 (Mod 10)]]</f>
        <v>511.50442477876106</v>
      </c>
      <c r="I201" s="228">
        <f>CavityStatus[[#This Row],[Delivery &amp; Acceptance]]</f>
        <v>40187.5</v>
      </c>
      <c r="J201" s="228">
        <f>CavityStatus[[#This Row],[Total]]</f>
        <v>40699.004424778759</v>
      </c>
      <c r="K201" s="230" t="str">
        <f>IF(CavityStatus[[#This Row],[Accept Date]]&lt;&gt;0,CavityStatus[[#This Row],[Accept Date]],"")</f>
        <v/>
      </c>
    </row>
    <row r="202" spans="2:11" ht="14.4" hidden="1" thickBot="1" x14ac:dyDescent="0.3">
      <c r="B202" s="229" t="str">
        <f>IF(CavityStatus[[#This Row],[Unit '#]]&lt;&gt;0,CavityStatus[[#This Row],[Unit '#]],"")</f>
        <v/>
      </c>
      <c r="C202" s="226" t="str">
        <f>CavityStatus[[#This Row],[Serial '#]]</f>
        <v>CAV178</v>
      </c>
      <c r="D202" s="227" t="str">
        <f>IF(CavityStatus[[#This Row],[Actual Ship Date]]&lt;&gt;0,CavityStatus[[#This Row],[Actual Ship Date]],"")</f>
        <v/>
      </c>
      <c r="E202" s="228">
        <f>CavityStatus[[#This Row],[Incentive Earned]]</f>
        <v>0</v>
      </c>
      <c r="F202" s="233" t="str">
        <f>IF(CavityStatus[[#This Row],[Receipt Date]]&lt;&gt;0,CavityStatus[[#This Row],[Receipt Date]],"")</f>
        <v/>
      </c>
      <c r="G202" s="228">
        <f>CavityStatus[[#This Row],[Recipe Modification (Mod 9)]]</f>
        <v>0</v>
      </c>
      <c r="H202" s="228">
        <f>CavityStatus[[#This Row],[Caps            
 (Mod 10)]]</f>
        <v>511.50442477876106</v>
      </c>
      <c r="I202" s="228">
        <f>CavityStatus[[#This Row],[Delivery &amp; Acceptance]]</f>
        <v>40187.5</v>
      </c>
      <c r="J202" s="228">
        <f>CavityStatus[[#This Row],[Total]]</f>
        <v>40699.004424778759</v>
      </c>
      <c r="K202" s="230" t="str">
        <f>IF(CavityStatus[[#This Row],[Accept Date]]&lt;&gt;0,CavityStatus[[#This Row],[Accept Date]],"")</f>
        <v/>
      </c>
    </row>
    <row r="203" spans="2:11" ht="14.4" hidden="1" thickBot="1" x14ac:dyDescent="0.3">
      <c r="B203" s="229" t="str">
        <f>IF(CavityStatus[[#This Row],[Unit '#]]&lt;&gt;0,CavityStatus[[#This Row],[Unit '#]],"")</f>
        <v/>
      </c>
      <c r="C203" s="226" t="str">
        <f>CavityStatus[[#This Row],[Serial '#]]</f>
        <v>CAV179</v>
      </c>
      <c r="D203" s="227" t="str">
        <f>IF(CavityStatus[[#This Row],[Actual Ship Date]]&lt;&gt;0,CavityStatus[[#This Row],[Actual Ship Date]],"")</f>
        <v/>
      </c>
      <c r="E203" s="228">
        <f>CavityStatus[[#This Row],[Incentive Earned]]</f>
        <v>0</v>
      </c>
      <c r="F203" s="233" t="str">
        <f>IF(CavityStatus[[#This Row],[Receipt Date]]&lt;&gt;0,CavityStatus[[#This Row],[Receipt Date]],"")</f>
        <v/>
      </c>
      <c r="G203" s="228">
        <f>CavityStatus[[#This Row],[Recipe Modification (Mod 9)]]</f>
        <v>0</v>
      </c>
      <c r="H203" s="228">
        <f>CavityStatus[[#This Row],[Caps            
 (Mod 10)]]</f>
        <v>511.50442477876106</v>
      </c>
      <c r="I203" s="228">
        <f>CavityStatus[[#This Row],[Delivery &amp; Acceptance]]</f>
        <v>40187.5</v>
      </c>
      <c r="J203" s="228">
        <f>CavityStatus[[#This Row],[Total]]</f>
        <v>40699.004424778759</v>
      </c>
      <c r="K203" s="230" t="str">
        <f>IF(CavityStatus[[#This Row],[Accept Date]]&lt;&gt;0,CavityStatus[[#This Row],[Accept Date]],"")</f>
        <v/>
      </c>
    </row>
    <row r="204" spans="2:11" ht="14.4" hidden="1" thickBot="1" x14ac:dyDescent="0.3">
      <c r="B204" s="229" t="str">
        <f>IF(CavityStatus[[#This Row],[Unit '#]]&lt;&gt;0,CavityStatus[[#This Row],[Unit '#]],"")</f>
        <v/>
      </c>
      <c r="C204" s="226" t="str">
        <f>CavityStatus[[#This Row],[Serial '#]]</f>
        <v>CAV180</v>
      </c>
      <c r="D204" s="227" t="str">
        <f>IF(CavityStatus[[#This Row],[Actual Ship Date]]&lt;&gt;0,CavityStatus[[#This Row],[Actual Ship Date]],"")</f>
        <v/>
      </c>
      <c r="E204" s="228">
        <f>CavityStatus[[#This Row],[Incentive Earned]]</f>
        <v>0</v>
      </c>
      <c r="F204" s="233" t="str">
        <f>IF(CavityStatus[[#This Row],[Receipt Date]]&lt;&gt;0,CavityStatus[[#This Row],[Receipt Date]],"")</f>
        <v/>
      </c>
      <c r="G204" s="228">
        <f>CavityStatus[[#This Row],[Recipe Modification (Mod 9)]]</f>
        <v>0</v>
      </c>
      <c r="H204" s="228">
        <f>CavityStatus[[#This Row],[Caps            
 (Mod 10)]]</f>
        <v>511.50442477876106</v>
      </c>
      <c r="I204" s="228">
        <f>CavityStatus[[#This Row],[Delivery &amp; Acceptance]]</f>
        <v>40187.5</v>
      </c>
      <c r="J204" s="228">
        <f>CavityStatus[[#This Row],[Total]]</f>
        <v>40699.004424778759</v>
      </c>
      <c r="K204" s="230" t="str">
        <f>IF(CavityStatus[[#This Row],[Accept Date]]&lt;&gt;0,CavityStatus[[#This Row],[Accept Date]],"")</f>
        <v/>
      </c>
    </row>
    <row r="205" spans="2:11" ht="14.4" hidden="1" thickBot="1" x14ac:dyDescent="0.3">
      <c r="B205" s="229" t="str">
        <f>IF(CavityStatus[[#This Row],[Unit '#]]&lt;&gt;0,CavityStatus[[#This Row],[Unit '#]],"")</f>
        <v/>
      </c>
      <c r="C205" s="226" t="str">
        <f>CavityStatus[[#This Row],[Serial '#]]</f>
        <v>CAV181</v>
      </c>
      <c r="D205" s="227" t="str">
        <f>IF(CavityStatus[[#This Row],[Actual Ship Date]]&lt;&gt;0,CavityStatus[[#This Row],[Actual Ship Date]],"")</f>
        <v/>
      </c>
      <c r="E205" s="228">
        <f>CavityStatus[[#This Row],[Incentive Earned]]</f>
        <v>0</v>
      </c>
      <c r="F205" s="233" t="str">
        <f>IF(CavityStatus[[#This Row],[Receipt Date]]&lt;&gt;0,CavityStatus[[#This Row],[Receipt Date]],"")</f>
        <v/>
      </c>
      <c r="G205" s="228">
        <f>CavityStatus[[#This Row],[Recipe Modification (Mod 9)]]</f>
        <v>0</v>
      </c>
      <c r="H205" s="228">
        <f>CavityStatus[[#This Row],[Caps            
 (Mod 10)]]</f>
        <v>511.50442477876106</v>
      </c>
      <c r="I205" s="228">
        <f>CavityStatus[[#This Row],[Delivery &amp; Acceptance]]</f>
        <v>40187.5</v>
      </c>
      <c r="J205" s="228">
        <f>CavityStatus[[#This Row],[Total]]</f>
        <v>40699.004424778759</v>
      </c>
      <c r="K205" s="230" t="str">
        <f>IF(CavityStatus[[#This Row],[Accept Date]]&lt;&gt;0,CavityStatus[[#This Row],[Accept Date]],"")</f>
        <v/>
      </c>
    </row>
    <row r="206" spans="2:11" ht="14.4" hidden="1" thickBot="1" x14ac:dyDescent="0.3">
      <c r="B206" s="229" t="str">
        <f>IF(CavityStatus[[#This Row],[Unit '#]]&lt;&gt;0,CavityStatus[[#This Row],[Unit '#]],"")</f>
        <v/>
      </c>
      <c r="C206" s="226" t="str">
        <f>CavityStatus[[#This Row],[Serial '#]]</f>
        <v>CAV182</v>
      </c>
      <c r="D206" s="227" t="str">
        <f>IF(CavityStatus[[#This Row],[Actual Ship Date]]&lt;&gt;0,CavityStatus[[#This Row],[Actual Ship Date]],"")</f>
        <v/>
      </c>
      <c r="E206" s="228">
        <f>CavityStatus[[#This Row],[Incentive Earned]]</f>
        <v>0</v>
      </c>
      <c r="F206" s="233" t="str">
        <f>IF(CavityStatus[[#This Row],[Receipt Date]]&lt;&gt;0,CavityStatus[[#This Row],[Receipt Date]],"")</f>
        <v/>
      </c>
      <c r="G206" s="228">
        <f>CavityStatus[[#This Row],[Recipe Modification (Mod 9)]]</f>
        <v>0</v>
      </c>
      <c r="H206" s="228">
        <f>CavityStatus[[#This Row],[Caps            
 (Mod 10)]]</f>
        <v>511.50442477876106</v>
      </c>
      <c r="I206" s="228">
        <f>CavityStatus[[#This Row],[Delivery &amp; Acceptance]]</f>
        <v>40187.5</v>
      </c>
      <c r="J206" s="228">
        <f>CavityStatus[[#This Row],[Total]]</f>
        <v>40699.004424778759</v>
      </c>
      <c r="K206" s="230" t="str">
        <f>IF(CavityStatus[[#This Row],[Accept Date]]&lt;&gt;0,CavityStatus[[#This Row],[Accept Date]],"")</f>
        <v/>
      </c>
    </row>
    <row r="207" spans="2:11" ht="14.4" hidden="1" thickBot="1" x14ac:dyDescent="0.3">
      <c r="B207" s="229" t="str">
        <f>IF(CavityStatus[[#This Row],[Unit '#]]&lt;&gt;0,CavityStatus[[#This Row],[Unit '#]],"")</f>
        <v/>
      </c>
      <c r="C207" s="226" t="str">
        <f>CavityStatus[[#This Row],[Serial '#]]</f>
        <v>CAV183</v>
      </c>
      <c r="D207" s="227" t="str">
        <f>IF(CavityStatus[[#This Row],[Actual Ship Date]]&lt;&gt;0,CavityStatus[[#This Row],[Actual Ship Date]],"")</f>
        <v/>
      </c>
      <c r="E207" s="228">
        <f>CavityStatus[[#This Row],[Incentive Earned]]</f>
        <v>0</v>
      </c>
      <c r="F207" s="233" t="str">
        <f>IF(CavityStatus[[#This Row],[Receipt Date]]&lt;&gt;0,CavityStatus[[#This Row],[Receipt Date]],"")</f>
        <v/>
      </c>
      <c r="G207" s="228">
        <f>CavityStatus[[#This Row],[Recipe Modification (Mod 9)]]</f>
        <v>0</v>
      </c>
      <c r="H207" s="228">
        <f>CavityStatus[[#This Row],[Caps            
 (Mod 10)]]</f>
        <v>511.50442477876106</v>
      </c>
      <c r="I207" s="228">
        <f>CavityStatus[[#This Row],[Delivery &amp; Acceptance]]</f>
        <v>40187.5</v>
      </c>
      <c r="J207" s="228">
        <f>CavityStatus[[#This Row],[Total]]</f>
        <v>40699.004424778759</v>
      </c>
      <c r="K207" s="230" t="str">
        <f>IF(CavityStatus[[#This Row],[Accept Date]]&lt;&gt;0,CavityStatus[[#This Row],[Accept Date]],"")</f>
        <v/>
      </c>
    </row>
    <row r="208" spans="2:11" ht="14.4" hidden="1" thickBot="1" x14ac:dyDescent="0.3">
      <c r="B208" s="229" t="str">
        <f>IF(CavityStatus[[#This Row],[Unit '#]]&lt;&gt;0,CavityStatus[[#This Row],[Unit '#]],"")</f>
        <v/>
      </c>
      <c r="C208" s="226" t="str">
        <f>CavityStatus[[#This Row],[Serial '#]]</f>
        <v>CAV184</v>
      </c>
      <c r="D208" s="227" t="str">
        <f>IF(CavityStatus[[#This Row],[Actual Ship Date]]&lt;&gt;0,CavityStatus[[#This Row],[Actual Ship Date]],"")</f>
        <v/>
      </c>
      <c r="E208" s="228">
        <f>CavityStatus[[#This Row],[Incentive Earned]]</f>
        <v>0</v>
      </c>
      <c r="F208" s="233" t="str">
        <f>IF(CavityStatus[[#This Row],[Receipt Date]]&lt;&gt;0,CavityStatus[[#This Row],[Receipt Date]],"")</f>
        <v/>
      </c>
      <c r="G208" s="228">
        <f>CavityStatus[[#This Row],[Recipe Modification (Mod 9)]]</f>
        <v>0</v>
      </c>
      <c r="H208" s="228">
        <f>CavityStatus[[#This Row],[Caps            
 (Mod 10)]]</f>
        <v>511.50442477876106</v>
      </c>
      <c r="I208" s="228">
        <f>CavityStatus[[#This Row],[Delivery &amp; Acceptance]]</f>
        <v>40187.5</v>
      </c>
      <c r="J208" s="228">
        <f>CavityStatus[[#This Row],[Total]]</f>
        <v>40699.004424778759</v>
      </c>
      <c r="K208" s="230" t="str">
        <f>IF(CavityStatus[[#This Row],[Accept Date]]&lt;&gt;0,CavityStatus[[#This Row],[Accept Date]],"")</f>
        <v/>
      </c>
    </row>
    <row r="209" spans="2:11" ht="14.4" hidden="1" thickBot="1" x14ac:dyDescent="0.3">
      <c r="B209" s="229" t="str">
        <f>IF(CavityStatus[[#This Row],[Unit '#]]&lt;&gt;0,CavityStatus[[#This Row],[Unit '#]],"")</f>
        <v/>
      </c>
      <c r="C209" s="226" t="str">
        <f>CavityStatus[[#This Row],[Serial '#]]</f>
        <v>CAV185</v>
      </c>
      <c r="D209" s="227" t="str">
        <f>IF(CavityStatus[[#This Row],[Actual Ship Date]]&lt;&gt;0,CavityStatus[[#This Row],[Actual Ship Date]],"")</f>
        <v/>
      </c>
      <c r="E209" s="228">
        <f>CavityStatus[[#This Row],[Incentive Earned]]</f>
        <v>0</v>
      </c>
      <c r="F209" s="233" t="str">
        <f>IF(CavityStatus[[#This Row],[Receipt Date]]&lt;&gt;0,CavityStatus[[#This Row],[Receipt Date]],"")</f>
        <v/>
      </c>
      <c r="G209" s="228">
        <f>CavityStatus[[#This Row],[Recipe Modification (Mod 9)]]</f>
        <v>0</v>
      </c>
      <c r="H209" s="228">
        <f>CavityStatus[[#This Row],[Caps            
 (Mod 10)]]</f>
        <v>511.50442477876106</v>
      </c>
      <c r="I209" s="228">
        <f>CavityStatus[[#This Row],[Delivery &amp; Acceptance]]</f>
        <v>40187.5</v>
      </c>
      <c r="J209" s="228">
        <f>CavityStatus[[#This Row],[Total]]</f>
        <v>40699.004424778759</v>
      </c>
      <c r="K209" s="230" t="str">
        <f>IF(CavityStatus[[#This Row],[Accept Date]]&lt;&gt;0,CavityStatus[[#This Row],[Accept Date]],"")</f>
        <v/>
      </c>
    </row>
    <row r="210" spans="2:11" ht="14.4" hidden="1" thickBot="1" x14ac:dyDescent="0.3">
      <c r="B210" s="229" t="str">
        <f>IF(CavityStatus[[#This Row],[Unit '#]]&lt;&gt;0,CavityStatus[[#This Row],[Unit '#]],"")</f>
        <v/>
      </c>
      <c r="C210" s="226" t="str">
        <f>CavityStatus[[#This Row],[Serial '#]]</f>
        <v>CAV186</v>
      </c>
      <c r="D210" s="227" t="str">
        <f>IF(CavityStatus[[#This Row],[Actual Ship Date]]&lt;&gt;0,CavityStatus[[#This Row],[Actual Ship Date]],"")</f>
        <v/>
      </c>
      <c r="E210" s="228">
        <f>CavityStatus[[#This Row],[Incentive Earned]]</f>
        <v>0</v>
      </c>
      <c r="F210" s="233" t="str">
        <f>IF(CavityStatus[[#This Row],[Receipt Date]]&lt;&gt;0,CavityStatus[[#This Row],[Receipt Date]],"")</f>
        <v/>
      </c>
      <c r="G210" s="228">
        <f>CavityStatus[[#This Row],[Recipe Modification (Mod 9)]]</f>
        <v>0</v>
      </c>
      <c r="H210" s="228">
        <f>CavityStatus[[#This Row],[Caps            
 (Mod 10)]]</f>
        <v>511.50442477876106</v>
      </c>
      <c r="I210" s="228">
        <f>CavityStatus[[#This Row],[Delivery &amp; Acceptance]]</f>
        <v>40187.5</v>
      </c>
      <c r="J210" s="228">
        <f>CavityStatus[[#This Row],[Total]]</f>
        <v>40699.004424778759</v>
      </c>
      <c r="K210" s="230" t="str">
        <f>IF(CavityStatus[[#This Row],[Accept Date]]&lt;&gt;0,CavityStatus[[#This Row],[Accept Date]],"")</f>
        <v/>
      </c>
    </row>
    <row r="211" spans="2:11" ht="14.4" hidden="1" thickBot="1" x14ac:dyDescent="0.3">
      <c r="B211" s="229" t="str">
        <f>IF(CavityStatus[[#This Row],[Unit '#]]&lt;&gt;0,CavityStatus[[#This Row],[Unit '#]],"")</f>
        <v/>
      </c>
      <c r="C211" s="226" t="str">
        <f>CavityStatus[[#This Row],[Serial '#]]</f>
        <v>CAV187</v>
      </c>
      <c r="D211" s="227" t="str">
        <f>IF(CavityStatus[[#This Row],[Actual Ship Date]]&lt;&gt;0,CavityStatus[[#This Row],[Actual Ship Date]],"")</f>
        <v/>
      </c>
      <c r="E211" s="228">
        <f>CavityStatus[[#This Row],[Incentive Earned]]</f>
        <v>0</v>
      </c>
      <c r="F211" s="233" t="str">
        <f>IF(CavityStatus[[#This Row],[Receipt Date]]&lt;&gt;0,CavityStatus[[#This Row],[Receipt Date]],"")</f>
        <v/>
      </c>
      <c r="G211" s="228">
        <f>CavityStatus[[#This Row],[Recipe Modification (Mod 9)]]</f>
        <v>0</v>
      </c>
      <c r="H211" s="228">
        <f>CavityStatus[[#This Row],[Caps            
 (Mod 10)]]</f>
        <v>511.50442477876106</v>
      </c>
      <c r="I211" s="228">
        <f>CavityStatus[[#This Row],[Delivery &amp; Acceptance]]</f>
        <v>40187.5</v>
      </c>
      <c r="J211" s="228">
        <f>CavityStatus[[#This Row],[Total]]</f>
        <v>40699.004424778759</v>
      </c>
      <c r="K211" s="230" t="str">
        <f>IF(CavityStatus[[#This Row],[Accept Date]]&lt;&gt;0,CavityStatus[[#This Row],[Accept Date]],"")</f>
        <v/>
      </c>
    </row>
    <row r="212" spans="2:11" ht="14.4" hidden="1" thickBot="1" x14ac:dyDescent="0.3">
      <c r="B212" s="229" t="str">
        <f>IF(CavityStatus[[#This Row],[Unit '#]]&lt;&gt;0,CavityStatus[[#This Row],[Unit '#]],"")</f>
        <v/>
      </c>
      <c r="C212" s="226" t="str">
        <f>CavityStatus[[#This Row],[Serial '#]]</f>
        <v>CAV188</v>
      </c>
      <c r="D212" s="227" t="str">
        <f>IF(CavityStatus[[#This Row],[Actual Ship Date]]&lt;&gt;0,CavityStatus[[#This Row],[Actual Ship Date]],"")</f>
        <v/>
      </c>
      <c r="E212" s="228">
        <f>CavityStatus[[#This Row],[Incentive Earned]]</f>
        <v>0</v>
      </c>
      <c r="F212" s="233" t="str">
        <f>IF(CavityStatus[[#This Row],[Receipt Date]]&lt;&gt;0,CavityStatus[[#This Row],[Receipt Date]],"")</f>
        <v/>
      </c>
      <c r="G212" s="228">
        <f>CavityStatus[[#This Row],[Recipe Modification (Mod 9)]]</f>
        <v>0</v>
      </c>
      <c r="H212" s="228">
        <f>CavityStatus[[#This Row],[Caps            
 (Mod 10)]]</f>
        <v>511.50442477876106</v>
      </c>
      <c r="I212" s="228">
        <f>CavityStatus[[#This Row],[Delivery &amp; Acceptance]]</f>
        <v>40187.5</v>
      </c>
      <c r="J212" s="228">
        <f>CavityStatus[[#This Row],[Total]]</f>
        <v>40699.004424778759</v>
      </c>
      <c r="K212" s="230" t="str">
        <f>IF(CavityStatus[[#This Row],[Accept Date]]&lt;&gt;0,CavityStatus[[#This Row],[Accept Date]],"")</f>
        <v/>
      </c>
    </row>
    <row r="213" spans="2:11" ht="14.4" hidden="1" thickBot="1" x14ac:dyDescent="0.3">
      <c r="B213" s="229" t="str">
        <f>IF(CavityStatus[[#This Row],[Unit '#]]&lt;&gt;0,CavityStatus[[#This Row],[Unit '#]],"")</f>
        <v/>
      </c>
      <c r="C213" s="226" t="str">
        <f>CavityStatus[[#This Row],[Serial '#]]</f>
        <v>CAV189</v>
      </c>
      <c r="D213" s="227" t="str">
        <f>IF(CavityStatus[[#This Row],[Actual Ship Date]]&lt;&gt;0,CavityStatus[[#This Row],[Actual Ship Date]],"")</f>
        <v/>
      </c>
      <c r="E213" s="228">
        <f>CavityStatus[[#This Row],[Incentive Earned]]</f>
        <v>0</v>
      </c>
      <c r="F213" s="233" t="str">
        <f>IF(CavityStatus[[#This Row],[Receipt Date]]&lt;&gt;0,CavityStatus[[#This Row],[Receipt Date]],"")</f>
        <v/>
      </c>
      <c r="G213" s="228">
        <f>CavityStatus[[#This Row],[Recipe Modification (Mod 9)]]</f>
        <v>0</v>
      </c>
      <c r="H213" s="228">
        <f>CavityStatus[[#This Row],[Caps            
 (Mod 10)]]</f>
        <v>511.50442477876106</v>
      </c>
      <c r="I213" s="228">
        <f>CavityStatus[[#This Row],[Delivery &amp; Acceptance]]</f>
        <v>40187.5</v>
      </c>
      <c r="J213" s="228">
        <f>CavityStatus[[#This Row],[Total]]</f>
        <v>40699.004424778759</v>
      </c>
      <c r="K213" s="230" t="str">
        <f>IF(CavityStatus[[#This Row],[Accept Date]]&lt;&gt;0,CavityStatus[[#This Row],[Accept Date]],"")</f>
        <v/>
      </c>
    </row>
    <row r="214" spans="2:11" ht="14.4" hidden="1" thickBot="1" x14ac:dyDescent="0.3">
      <c r="B214" s="229" t="str">
        <f>IF(CavityStatus[[#This Row],[Unit '#]]&lt;&gt;0,CavityStatus[[#This Row],[Unit '#]],"")</f>
        <v/>
      </c>
      <c r="C214" s="226" t="str">
        <f>CavityStatus[[#This Row],[Serial '#]]</f>
        <v>CAV190</v>
      </c>
      <c r="D214" s="227" t="str">
        <f>IF(CavityStatus[[#This Row],[Actual Ship Date]]&lt;&gt;0,CavityStatus[[#This Row],[Actual Ship Date]],"")</f>
        <v/>
      </c>
      <c r="E214" s="228">
        <f>CavityStatus[[#This Row],[Incentive Earned]]</f>
        <v>0</v>
      </c>
      <c r="F214" s="233" t="str">
        <f>IF(CavityStatus[[#This Row],[Receipt Date]]&lt;&gt;0,CavityStatus[[#This Row],[Receipt Date]],"")</f>
        <v/>
      </c>
      <c r="G214" s="228">
        <f>CavityStatus[[#This Row],[Recipe Modification (Mod 9)]]</f>
        <v>0</v>
      </c>
      <c r="H214" s="228">
        <f>CavityStatus[[#This Row],[Caps            
 (Mod 10)]]</f>
        <v>511.50442477876106</v>
      </c>
      <c r="I214" s="228">
        <f>CavityStatus[[#This Row],[Delivery &amp; Acceptance]]</f>
        <v>40187.5</v>
      </c>
      <c r="J214" s="228">
        <f>CavityStatus[[#This Row],[Total]]</f>
        <v>40699.004424778759</v>
      </c>
      <c r="K214" s="230" t="str">
        <f>IF(CavityStatus[[#This Row],[Accept Date]]&lt;&gt;0,CavityStatus[[#This Row],[Accept Date]],"")</f>
        <v/>
      </c>
    </row>
    <row r="215" spans="2:11" ht="14.4" hidden="1" thickBot="1" x14ac:dyDescent="0.3">
      <c r="B215" s="229" t="str">
        <f>IF(CavityStatus[[#This Row],[Unit '#]]&lt;&gt;0,CavityStatus[[#This Row],[Unit '#]],"")</f>
        <v/>
      </c>
      <c r="C215" s="226" t="str">
        <f>CavityStatus[[#This Row],[Serial '#]]</f>
        <v>CAV191</v>
      </c>
      <c r="D215" s="227" t="str">
        <f>IF(CavityStatus[[#This Row],[Actual Ship Date]]&lt;&gt;0,CavityStatus[[#This Row],[Actual Ship Date]],"")</f>
        <v/>
      </c>
      <c r="E215" s="228">
        <f>CavityStatus[[#This Row],[Incentive Earned]]</f>
        <v>0</v>
      </c>
      <c r="F215" s="233" t="str">
        <f>IF(CavityStatus[[#This Row],[Receipt Date]]&lt;&gt;0,CavityStatus[[#This Row],[Receipt Date]],"")</f>
        <v/>
      </c>
      <c r="G215" s="228">
        <f>CavityStatus[[#This Row],[Recipe Modification (Mod 9)]]</f>
        <v>0</v>
      </c>
      <c r="H215" s="228">
        <f>CavityStatus[[#This Row],[Caps            
 (Mod 10)]]</f>
        <v>511.50442477876106</v>
      </c>
      <c r="I215" s="228">
        <f>CavityStatus[[#This Row],[Delivery &amp; Acceptance]]</f>
        <v>40187.5</v>
      </c>
      <c r="J215" s="228">
        <f>CavityStatus[[#This Row],[Total]]</f>
        <v>40699.004424778759</v>
      </c>
      <c r="K215" s="230" t="str">
        <f>IF(CavityStatus[[#This Row],[Accept Date]]&lt;&gt;0,CavityStatus[[#This Row],[Accept Date]],"")</f>
        <v/>
      </c>
    </row>
    <row r="216" spans="2:11" ht="14.4" hidden="1" thickBot="1" x14ac:dyDescent="0.3">
      <c r="B216" s="229" t="str">
        <f>IF(CavityStatus[[#This Row],[Unit '#]]&lt;&gt;0,CavityStatus[[#This Row],[Unit '#]],"")</f>
        <v/>
      </c>
      <c r="C216" s="226" t="str">
        <f>CavityStatus[[#This Row],[Serial '#]]</f>
        <v>CAV192</v>
      </c>
      <c r="D216" s="227" t="str">
        <f>IF(CavityStatus[[#This Row],[Actual Ship Date]]&lt;&gt;0,CavityStatus[[#This Row],[Actual Ship Date]],"")</f>
        <v/>
      </c>
      <c r="E216" s="228">
        <f>CavityStatus[[#This Row],[Incentive Earned]]</f>
        <v>0</v>
      </c>
      <c r="F216" s="233" t="str">
        <f>IF(CavityStatus[[#This Row],[Receipt Date]]&lt;&gt;0,CavityStatus[[#This Row],[Receipt Date]],"")</f>
        <v/>
      </c>
      <c r="G216" s="228">
        <f>CavityStatus[[#This Row],[Recipe Modification (Mod 9)]]</f>
        <v>0</v>
      </c>
      <c r="H216" s="228">
        <f>CavityStatus[[#This Row],[Caps            
 (Mod 10)]]</f>
        <v>511.50442477876106</v>
      </c>
      <c r="I216" s="228">
        <f>CavityStatus[[#This Row],[Delivery &amp; Acceptance]]</f>
        <v>40187.5</v>
      </c>
      <c r="J216" s="228">
        <f>CavityStatus[[#This Row],[Total]]</f>
        <v>40699.004424778759</v>
      </c>
      <c r="K216" s="230" t="str">
        <f>IF(CavityStatus[[#This Row],[Accept Date]]&lt;&gt;0,CavityStatus[[#This Row],[Accept Date]],"")</f>
        <v/>
      </c>
    </row>
    <row r="217" spans="2:11" ht="14.4" hidden="1" thickBot="1" x14ac:dyDescent="0.3">
      <c r="B217" s="229" t="str">
        <f>IF(CavityStatus[[#This Row],[Unit '#]]&lt;&gt;0,CavityStatus[[#This Row],[Unit '#]],"")</f>
        <v/>
      </c>
      <c r="C217" s="226" t="str">
        <f>CavityStatus[[#This Row],[Serial '#]]</f>
        <v>CAV193</v>
      </c>
      <c r="D217" s="227" t="str">
        <f>IF(CavityStatus[[#This Row],[Actual Ship Date]]&lt;&gt;0,CavityStatus[[#This Row],[Actual Ship Date]],"")</f>
        <v/>
      </c>
      <c r="E217" s="228">
        <f>CavityStatus[[#This Row],[Incentive Earned]]</f>
        <v>0</v>
      </c>
      <c r="F217" s="233" t="str">
        <f>IF(CavityStatus[[#This Row],[Receipt Date]]&lt;&gt;0,CavityStatus[[#This Row],[Receipt Date]],"")</f>
        <v/>
      </c>
      <c r="G217" s="228">
        <f>CavityStatus[[#This Row],[Recipe Modification (Mod 9)]]</f>
        <v>0</v>
      </c>
      <c r="H217" s="228">
        <f>CavityStatus[[#This Row],[Caps            
 (Mod 10)]]</f>
        <v>511.50442477876106</v>
      </c>
      <c r="I217" s="228">
        <f>CavityStatus[[#This Row],[Delivery &amp; Acceptance]]</f>
        <v>40187.5</v>
      </c>
      <c r="J217" s="228">
        <f>CavityStatus[[#This Row],[Total]]</f>
        <v>40699.004424778759</v>
      </c>
      <c r="K217" s="230" t="str">
        <f>IF(CavityStatus[[#This Row],[Accept Date]]&lt;&gt;0,CavityStatus[[#This Row],[Accept Date]],"")</f>
        <v/>
      </c>
    </row>
    <row r="218" spans="2:11" ht="14.4" hidden="1" thickBot="1" x14ac:dyDescent="0.3">
      <c r="B218" s="229" t="str">
        <f>IF(CavityStatus[[#This Row],[Unit '#]]&lt;&gt;0,CavityStatus[[#This Row],[Unit '#]],"")</f>
        <v/>
      </c>
      <c r="C218" s="226" t="str">
        <f>CavityStatus[[#This Row],[Serial '#]]</f>
        <v>CAV194</v>
      </c>
      <c r="D218" s="227" t="str">
        <f>IF(CavityStatus[[#This Row],[Actual Ship Date]]&lt;&gt;0,CavityStatus[[#This Row],[Actual Ship Date]],"")</f>
        <v/>
      </c>
      <c r="E218" s="228">
        <f>CavityStatus[[#This Row],[Incentive Earned]]</f>
        <v>0</v>
      </c>
      <c r="F218" s="233" t="str">
        <f>IF(CavityStatus[[#This Row],[Receipt Date]]&lt;&gt;0,CavityStatus[[#This Row],[Receipt Date]],"")</f>
        <v/>
      </c>
      <c r="G218" s="228">
        <f>CavityStatus[[#This Row],[Recipe Modification (Mod 9)]]</f>
        <v>0</v>
      </c>
      <c r="H218" s="228">
        <f>CavityStatus[[#This Row],[Caps            
 (Mod 10)]]</f>
        <v>511.50442477876106</v>
      </c>
      <c r="I218" s="228">
        <f>CavityStatus[[#This Row],[Delivery &amp; Acceptance]]</f>
        <v>40187.5</v>
      </c>
      <c r="J218" s="228">
        <f>CavityStatus[[#This Row],[Total]]</f>
        <v>40699.004424778759</v>
      </c>
      <c r="K218" s="230" t="str">
        <f>IF(CavityStatus[[#This Row],[Accept Date]]&lt;&gt;0,CavityStatus[[#This Row],[Accept Date]],"")</f>
        <v/>
      </c>
    </row>
    <row r="219" spans="2:11" ht="14.4" hidden="1" thickBot="1" x14ac:dyDescent="0.3">
      <c r="B219" s="229" t="str">
        <f>IF(CavityStatus[[#This Row],[Unit '#]]&lt;&gt;0,CavityStatus[[#This Row],[Unit '#]],"")</f>
        <v/>
      </c>
      <c r="C219" s="226" t="str">
        <f>CavityStatus[[#This Row],[Serial '#]]</f>
        <v>CAV195</v>
      </c>
      <c r="D219" s="227" t="str">
        <f>IF(CavityStatus[[#This Row],[Actual Ship Date]]&lt;&gt;0,CavityStatus[[#This Row],[Actual Ship Date]],"")</f>
        <v/>
      </c>
      <c r="E219" s="228">
        <f>CavityStatus[[#This Row],[Incentive Earned]]</f>
        <v>0</v>
      </c>
      <c r="F219" s="233" t="str">
        <f>IF(CavityStatus[[#This Row],[Receipt Date]]&lt;&gt;0,CavityStatus[[#This Row],[Receipt Date]],"")</f>
        <v/>
      </c>
      <c r="G219" s="228">
        <f>CavityStatus[[#This Row],[Recipe Modification (Mod 9)]]</f>
        <v>0</v>
      </c>
      <c r="H219" s="228">
        <f>CavityStatus[[#This Row],[Caps            
 (Mod 10)]]</f>
        <v>511.50442477876106</v>
      </c>
      <c r="I219" s="228">
        <f>CavityStatus[[#This Row],[Delivery &amp; Acceptance]]</f>
        <v>40187.5</v>
      </c>
      <c r="J219" s="228">
        <f>CavityStatus[[#This Row],[Total]]</f>
        <v>40699.004424778759</v>
      </c>
      <c r="K219" s="230" t="str">
        <f>IF(CavityStatus[[#This Row],[Accept Date]]&lt;&gt;0,CavityStatus[[#This Row],[Accept Date]],"")</f>
        <v/>
      </c>
    </row>
    <row r="220" spans="2:11" ht="14.4" hidden="1" thickBot="1" x14ac:dyDescent="0.3">
      <c r="B220" s="229" t="str">
        <f>IF(CavityStatus[[#This Row],[Unit '#]]&lt;&gt;0,CavityStatus[[#This Row],[Unit '#]],"")</f>
        <v/>
      </c>
      <c r="C220" s="226" t="str">
        <f>CavityStatus[[#This Row],[Serial '#]]</f>
        <v>CAV196</v>
      </c>
      <c r="D220" s="227" t="str">
        <f>IF(CavityStatus[[#This Row],[Actual Ship Date]]&lt;&gt;0,CavityStatus[[#This Row],[Actual Ship Date]],"")</f>
        <v/>
      </c>
      <c r="E220" s="228">
        <f>CavityStatus[[#This Row],[Incentive Earned]]</f>
        <v>0</v>
      </c>
      <c r="F220" s="233" t="str">
        <f>IF(CavityStatus[[#This Row],[Receipt Date]]&lt;&gt;0,CavityStatus[[#This Row],[Receipt Date]],"")</f>
        <v/>
      </c>
      <c r="G220" s="228">
        <f>CavityStatus[[#This Row],[Recipe Modification (Mod 9)]]</f>
        <v>0</v>
      </c>
      <c r="H220" s="228">
        <f>CavityStatus[[#This Row],[Caps            
 (Mod 10)]]</f>
        <v>511.50442477876106</v>
      </c>
      <c r="I220" s="228">
        <f>CavityStatus[[#This Row],[Delivery &amp; Acceptance]]</f>
        <v>40187.5</v>
      </c>
      <c r="J220" s="228">
        <f>CavityStatus[[#This Row],[Total]]</f>
        <v>40699.004424778759</v>
      </c>
      <c r="K220" s="230" t="str">
        <f>IF(CavityStatus[[#This Row],[Accept Date]]&lt;&gt;0,CavityStatus[[#This Row],[Accept Date]],"")</f>
        <v/>
      </c>
    </row>
    <row r="221" spans="2:11" ht="14.4" hidden="1" thickBot="1" x14ac:dyDescent="0.3">
      <c r="B221" s="229" t="str">
        <f>IF(CavityStatus[[#This Row],[Unit '#]]&lt;&gt;0,CavityStatus[[#This Row],[Unit '#]],"")</f>
        <v/>
      </c>
      <c r="C221" s="226" t="str">
        <f>CavityStatus[[#This Row],[Serial '#]]</f>
        <v>CAV197</v>
      </c>
      <c r="D221" s="227" t="str">
        <f>IF(CavityStatus[[#This Row],[Actual Ship Date]]&lt;&gt;0,CavityStatus[[#This Row],[Actual Ship Date]],"")</f>
        <v/>
      </c>
      <c r="E221" s="228">
        <f>CavityStatus[[#This Row],[Incentive Earned]]</f>
        <v>0</v>
      </c>
      <c r="F221" s="233" t="str">
        <f>IF(CavityStatus[[#This Row],[Receipt Date]]&lt;&gt;0,CavityStatus[[#This Row],[Receipt Date]],"")</f>
        <v/>
      </c>
      <c r="G221" s="228">
        <f>CavityStatus[[#This Row],[Recipe Modification (Mod 9)]]</f>
        <v>0</v>
      </c>
      <c r="H221" s="228">
        <f>CavityStatus[[#This Row],[Caps            
 (Mod 10)]]</f>
        <v>511.50442477876106</v>
      </c>
      <c r="I221" s="228">
        <f>CavityStatus[[#This Row],[Delivery &amp; Acceptance]]</f>
        <v>40187.5</v>
      </c>
      <c r="J221" s="228">
        <f>CavityStatus[[#This Row],[Total]]</f>
        <v>40699.004424778759</v>
      </c>
      <c r="K221" s="230" t="str">
        <f>IF(CavityStatus[[#This Row],[Accept Date]]&lt;&gt;0,CavityStatus[[#This Row],[Accept Date]],"")</f>
        <v/>
      </c>
    </row>
    <row r="222" spans="2:11" ht="14.4" hidden="1" thickBot="1" x14ac:dyDescent="0.3">
      <c r="B222" s="229" t="str">
        <f>IF(CavityStatus[[#This Row],[Unit '#]]&lt;&gt;0,CavityStatus[[#This Row],[Unit '#]],"")</f>
        <v/>
      </c>
      <c r="C222" s="226" t="str">
        <f>CavityStatus[[#This Row],[Serial '#]]</f>
        <v>CAV198</v>
      </c>
      <c r="D222" s="227" t="str">
        <f>IF(CavityStatus[[#This Row],[Actual Ship Date]]&lt;&gt;0,CavityStatus[[#This Row],[Actual Ship Date]],"")</f>
        <v/>
      </c>
      <c r="E222" s="228">
        <f>CavityStatus[[#This Row],[Incentive Earned]]</f>
        <v>0</v>
      </c>
      <c r="F222" s="233" t="str">
        <f>IF(CavityStatus[[#This Row],[Receipt Date]]&lt;&gt;0,CavityStatus[[#This Row],[Receipt Date]],"")</f>
        <v/>
      </c>
      <c r="G222" s="228">
        <f>CavityStatus[[#This Row],[Recipe Modification (Mod 9)]]</f>
        <v>0</v>
      </c>
      <c r="H222" s="228">
        <f>CavityStatus[[#This Row],[Caps            
 (Mod 10)]]</f>
        <v>511.50442477876106</v>
      </c>
      <c r="I222" s="228">
        <f>CavityStatus[[#This Row],[Delivery &amp; Acceptance]]</f>
        <v>40187.5</v>
      </c>
      <c r="J222" s="228">
        <f>CavityStatus[[#This Row],[Total]]</f>
        <v>40699.004424778759</v>
      </c>
      <c r="K222" s="230" t="str">
        <f>IF(CavityStatus[[#This Row],[Accept Date]]&lt;&gt;0,CavityStatus[[#This Row],[Accept Date]],"")</f>
        <v/>
      </c>
    </row>
    <row r="223" spans="2:11" ht="14.4" hidden="1" thickBot="1" x14ac:dyDescent="0.3">
      <c r="B223" s="229" t="str">
        <f>IF(CavityStatus[[#This Row],[Unit '#]]&lt;&gt;0,CavityStatus[[#This Row],[Unit '#]],"")</f>
        <v/>
      </c>
      <c r="C223" s="226" t="str">
        <f>CavityStatus[[#This Row],[Serial '#]]</f>
        <v>CAV199</v>
      </c>
      <c r="D223" s="227" t="str">
        <f>IF(CavityStatus[[#This Row],[Actual Ship Date]]&lt;&gt;0,CavityStatus[[#This Row],[Actual Ship Date]],"")</f>
        <v/>
      </c>
      <c r="E223" s="228">
        <f>CavityStatus[[#This Row],[Incentive Earned]]</f>
        <v>0</v>
      </c>
      <c r="F223" s="233" t="str">
        <f>IF(CavityStatus[[#This Row],[Receipt Date]]&lt;&gt;0,CavityStatus[[#This Row],[Receipt Date]],"")</f>
        <v/>
      </c>
      <c r="G223" s="228">
        <f>CavityStatus[[#This Row],[Recipe Modification (Mod 9)]]</f>
        <v>0</v>
      </c>
      <c r="H223" s="228">
        <f>CavityStatus[[#This Row],[Caps            
 (Mod 10)]]</f>
        <v>511.50442477876106</v>
      </c>
      <c r="I223" s="228">
        <f>CavityStatus[[#This Row],[Delivery &amp; Acceptance]]</f>
        <v>40187.5</v>
      </c>
      <c r="J223" s="228">
        <f>CavityStatus[[#This Row],[Total]]</f>
        <v>40699.004424778759</v>
      </c>
      <c r="K223" s="230" t="str">
        <f>IF(CavityStatus[[#This Row],[Accept Date]]&lt;&gt;0,CavityStatus[[#This Row],[Accept Date]],"")</f>
        <v/>
      </c>
    </row>
    <row r="224" spans="2:11" ht="14.4" hidden="1" thickBot="1" x14ac:dyDescent="0.3">
      <c r="B224" s="229" t="str">
        <f>IF(CavityStatus[[#This Row],[Unit '#]]&lt;&gt;0,CavityStatus[[#This Row],[Unit '#]],"")</f>
        <v/>
      </c>
      <c r="C224" s="226" t="str">
        <f>CavityStatus[[#This Row],[Serial '#]]</f>
        <v>CAV200</v>
      </c>
      <c r="D224" s="227" t="str">
        <f>IF(CavityStatus[[#This Row],[Actual Ship Date]]&lt;&gt;0,CavityStatus[[#This Row],[Actual Ship Date]],"")</f>
        <v/>
      </c>
      <c r="E224" s="228">
        <f>CavityStatus[[#This Row],[Incentive Earned]]</f>
        <v>0</v>
      </c>
      <c r="F224" s="233" t="str">
        <f>IF(CavityStatus[[#This Row],[Receipt Date]]&lt;&gt;0,CavityStatus[[#This Row],[Receipt Date]],"")</f>
        <v/>
      </c>
      <c r="G224" s="228">
        <f>CavityStatus[[#This Row],[Recipe Modification (Mod 9)]]</f>
        <v>0</v>
      </c>
      <c r="H224" s="228">
        <f>CavityStatus[[#This Row],[Caps            
 (Mod 10)]]</f>
        <v>0</v>
      </c>
      <c r="I224" s="228">
        <f>CavityStatus[[#This Row],[Delivery &amp; Acceptance]]</f>
        <v>40187.5</v>
      </c>
      <c r="J224" s="228">
        <f>CavityStatus[[#This Row],[Total]]</f>
        <v>40187.5</v>
      </c>
      <c r="K224" s="230" t="str">
        <f>IF(CavityStatus[[#This Row],[Accept Date]]&lt;&gt;0,CavityStatus[[#This Row],[Accept Date]],"")</f>
        <v/>
      </c>
    </row>
    <row r="225" spans="1:11" ht="14.4" hidden="1" thickBot="1" x14ac:dyDescent="0.3">
      <c r="B225" s="229" t="str">
        <f>IF(CavityStatus[[#This Row],[Unit '#]]&lt;&gt;0,CavityStatus[[#This Row],[Unit '#]],"")</f>
        <v/>
      </c>
      <c r="C225" s="226" t="str">
        <f>CavityStatus[[#This Row],[Serial '#]]</f>
        <v>CAV201</v>
      </c>
      <c r="D225" s="227" t="str">
        <f>IF(CavityStatus[[#This Row],[Actual Ship Date]]&lt;&gt;0,CavityStatus[[#This Row],[Actual Ship Date]],"")</f>
        <v/>
      </c>
      <c r="E225" s="228">
        <f>CavityStatus[[#This Row],[Incentive Earned]]</f>
        <v>0</v>
      </c>
      <c r="F225" s="227" t="str">
        <f>IF(CavityStatus[[#This Row],[Receipt Date]]&lt;&gt;0,CavityStatus[[#This Row],[Receipt Date]],"")</f>
        <v/>
      </c>
      <c r="G225" s="228">
        <f>CavityStatus[[#This Row],[Recipe Modification (Mod 9)]]</f>
        <v>0</v>
      </c>
      <c r="H225" s="228">
        <f>CavityStatus[[#This Row],[Caps            
 (Mod 10)]]</f>
        <v>0</v>
      </c>
      <c r="I225" s="228">
        <f>CavityStatus[[#This Row],[Delivery &amp; Acceptance]]</f>
        <v>40187.5</v>
      </c>
      <c r="J225" s="228">
        <f>CavityStatus[[#This Row],[Total]]</f>
        <v>40187.5</v>
      </c>
      <c r="K225" s="230" t="str">
        <f>IF(CavityStatus[[#This Row],[Accept Date]]&lt;&gt;0,CavityStatus[[#This Row],[Accept Date]],"")</f>
        <v/>
      </c>
    </row>
    <row r="226" spans="1:11" ht="14.4" hidden="1" thickBot="1" x14ac:dyDescent="0.3">
      <c r="B226" s="229" t="str">
        <f>IF(CavityStatus[[#This Row],[Unit '#]]&lt;&gt;0,CavityStatus[[#This Row],[Unit '#]],"")</f>
        <v/>
      </c>
      <c r="C226" s="226" t="str">
        <f>CavityStatus[[#This Row],[Serial '#]]</f>
        <v>CAV202</v>
      </c>
      <c r="D226" s="227" t="str">
        <f>IF(CavityStatus[[#This Row],[Actual Ship Date]]&lt;&gt;0,CavityStatus[[#This Row],[Actual Ship Date]],"")</f>
        <v/>
      </c>
      <c r="E226" s="228">
        <f>CavityStatus[[#This Row],[Incentive Earned]]</f>
        <v>0</v>
      </c>
      <c r="F226" s="227" t="str">
        <f>IF(CavityStatus[[#This Row],[Receipt Date]]&lt;&gt;0,CavityStatus[[#This Row],[Receipt Date]],"")</f>
        <v/>
      </c>
      <c r="G226" s="228">
        <f>CavityStatus[[#This Row],[Recipe Modification (Mod 9)]]</f>
        <v>0</v>
      </c>
      <c r="H226" s="228">
        <f>CavityStatus[[#This Row],[Caps            
 (Mod 10)]]</f>
        <v>0</v>
      </c>
      <c r="I226" s="228">
        <f>CavityStatus[[#This Row],[Delivery &amp; Acceptance]]</f>
        <v>40187.5</v>
      </c>
      <c r="J226" s="228">
        <f>CavityStatus[[#This Row],[Total]]</f>
        <v>40187.5</v>
      </c>
      <c r="K226" s="230" t="str">
        <f>IF(CavityStatus[[#This Row],[Accept Date]]&lt;&gt;0,CavityStatus[[#This Row],[Accept Date]],"")</f>
        <v/>
      </c>
    </row>
    <row r="227" spans="1:11" ht="14.4" hidden="1" thickBot="1" x14ac:dyDescent="0.3">
      <c r="B227" s="231" t="str">
        <f>IF(CavityStatus[[#This Row],[Unit '#]]&lt;&gt;0,CavityStatus[[#This Row],[Unit '#]],"")</f>
        <v/>
      </c>
      <c r="C227" s="232">
        <f>CavityStatus[[#This Row],[Serial '#]]</f>
        <v>0</v>
      </c>
      <c r="D227" s="233" t="str">
        <f>IF(CavityStatus[[#This Row],[Actual Ship Date]]&lt;&gt;0,CavityStatus[[#This Row],[Actual Ship Date]],"")</f>
        <v/>
      </c>
      <c r="E227" s="234">
        <f>CavityStatus[[#This Row],[Incentive Earned]]</f>
        <v>0</v>
      </c>
      <c r="F227" s="233" t="str">
        <f>IF(CavityStatus[[#This Row],[Receipt Date]]&lt;&gt;0,CavityStatus[[#This Row],[Receipt Date]],"")</f>
        <v/>
      </c>
      <c r="G227" s="234">
        <f>CavityStatus[[#This Row],[Recipe Modification (Mod 9)]]</f>
        <v>0</v>
      </c>
      <c r="H227" s="234">
        <f>CavityStatus[[#This Row],[Caps            
 (Mod 10)]]</f>
        <v>0</v>
      </c>
      <c r="I227" s="234">
        <f>CavityStatus[[#This Row],[Delivery &amp; Acceptance]]</f>
        <v>40187.5</v>
      </c>
      <c r="J227" s="234">
        <f>CavityStatus[[#This Row],[Total]]</f>
        <v>40187.5</v>
      </c>
      <c r="K227" s="235" t="str">
        <f>IF(CavityStatus[[#This Row],[Accept Date]]&lt;&gt;0,CavityStatus[[#This Row],[Accept Date]],"")</f>
        <v/>
      </c>
    </row>
    <row r="228" spans="1:11" s="250" customFormat="1" ht="15.6" thickTop="1" thickBot="1" x14ac:dyDescent="0.3">
      <c r="A228"/>
      <c r="B228" s="315" t="s">
        <v>108</v>
      </c>
      <c r="C228" s="316">
        <f>SUBTOTAL(103,CavityStatus5[Serial '#])</f>
        <v>18</v>
      </c>
      <c r="D228" s="316"/>
      <c r="E228" s="317">
        <f>SUBTOTAL(109,CavityStatus5[Incentive Earned])</f>
        <v>18000</v>
      </c>
      <c r="F228" s="318"/>
      <c r="G228" s="317">
        <f>SUBTOTAL(109,CavityStatus5[Recipe Mod (Mod 9)])</f>
        <v>77097.239999999991</v>
      </c>
      <c r="H228" s="319">
        <f>SUBTOTAL(109,CavityStatus5[Caps            
 (Mod 10)])</f>
        <v>8820</v>
      </c>
      <c r="I228" s="317">
        <f>SUBTOTAL(109,CavityStatus5[Delivery &amp; Acceptance])</f>
        <v>723375</v>
      </c>
      <c r="J228" s="317">
        <f>SUBTOTAL(109,CavityStatus5[Total])</f>
        <v>827292.24000000034</v>
      </c>
      <c r="K228" s="320"/>
    </row>
    <row r="229" spans="1:11" ht="13.8" thickTop="1" x14ac:dyDescent="0.25"/>
  </sheetData>
  <mergeCells count="1">
    <mergeCell ref="B1:K1"/>
  </mergeCell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4"/>
  <sheetViews>
    <sheetView topLeftCell="A91" workbookViewId="0">
      <selection activeCell="D134" sqref="D134"/>
    </sheetView>
  </sheetViews>
  <sheetFormatPr defaultRowHeight="13.2" x14ac:dyDescent="0.25"/>
  <cols>
    <col min="2" max="2" width="15.21875" customWidth="1"/>
    <col min="3" max="3" width="14.5546875" customWidth="1"/>
  </cols>
  <sheetData>
    <row r="1" spans="1:3" x14ac:dyDescent="0.25">
      <c r="A1" s="51" t="s">
        <v>234</v>
      </c>
      <c r="B1" s="51" t="s">
        <v>235</v>
      </c>
      <c r="C1" s="51" t="s">
        <v>236</v>
      </c>
    </row>
    <row r="2" spans="1:3" x14ac:dyDescent="0.25">
      <c r="A2">
        <v>1</v>
      </c>
      <c r="B2" s="180">
        <v>42552</v>
      </c>
      <c r="C2" s="161">
        <v>20196</v>
      </c>
    </row>
    <row r="3" spans="1:3" x14ac:dyDescent="0.25">
      <c r="A3">
        <v>2</v>
      </c>
      <c r="B3" s="180">
        <v>42552</v>
      </c>
      <c r="C3" s="161">
        <v>20196</v>
      </c>
    </row>
    <row r="4" spans="1:3" x14ac:dyDescent="0.25">
      <c r="A4">
        <v>3</v>
      </c>
      <c r="B4" s="180">
        <v>42552</v>
      </c>
      <c r="C4" s="161">
        <v>20196</v>
      </c>
    </row>
    <row r="5" spans="1:3" x14ac:dyDescent="0.25">
      <c r="A5">
        <v>4</v>
      </c>
      <c r="B5" s="180">
        <v>42552</v>
      </c>
      <c r="C5" s="161">
        <v>20196</v>
      </c>
    </row>
    <row r="6" spans="1:3" x14ac:dyDescent="0.25">
      <c r="A6">
        <v>5</v>
      </c>
      <c r="B6" s="180">
        <v>42552</v>
      </c>
      <c r="C6" s="161">
        <v>20196</v>
      </c>
    </row>
    <row r="7" spans="1:3" x14ac:dyDescent="0.25">
      <c r="A7">
        <v>6</v>
      </c>
      <c r="B7" s="180">
        <v>42552</v>
      </c>
      <c r="C7" s="161">
        <v>20196</v>
      </c>
    </row>
    <row r="8" spans="1:3" x14ac:dyDescent="0.25">
      <c r="A8">
        <v>7</v>
      </c>
      <c r="B8" s="180">
        <v>42552</v>
      </c>
      <c r="C8" s="161">
        <v>20196</v>
      </c>
    </row>
    <row r="9" spans="1:3" x14ac:dyDescent="0.25">
      <c r="A9">
        <v>8</v>
      </c>
      <c r="B9" s="180">
        <v>42552</v>
      </c>
      <c r="C9" s="161">
        <v>20196</v>
      </c>
    </row>
    <row r="10" spans="1:3" x14ac:dyDescent="0.25">
      <c r="A10">
        <v>9</v>
      </c>
      <c r="B10" s="180">
        <v>42583</v>
      </c>
      <c r="C10" s="161">
        <v>20196</v>
      </c>
    </row>
    <row r="11" spans="1:3" x14ac:dyDescent="0.25">
      <c r="A11">
        <v>10</v>
      </c>
      <c r="B11" s="180">
        <v>42583</v>
      </c>
      <c r="C11" s="161">
        <v>20196</v>
      </c>
    </row>
    <row r="12" spans="1:3" x14ac:dyDescent="0.25">
      <c r="A12">
        <v>11</v>
      </c>
      <c r="B12" s="180">
        <v>42583</v>
      </c>
      <c r="C12" s="161">
        <v>20196</v>
      </c>
    </row>
    <row r="13" spans="1:3" x14ac:dyDescent="0.25">
      <c r="A13">
        <v>12</v>
      </c>
      <c r="B13" s="180">
        <v>42583</v>
      </c>
      <c r="C13" s="161">
        <v>20196</v>
      </c>
    </row>
    <row r="14" spans="1:3" x14ac:dyDescent="0.25">
      <c r="A14">
        <v>13</v>
      </c>
      <c r="B14" s="180">
        <v>42583</v>
      </c>
      <c r="C14" s="161">
        <v>20196</v>
      </c>
    </row>
    <row r="15" spans="1:3" x14ac:dyDescent="0.25">
      <c r="A15">
        <v>14</v>
      </c>
      <c r="B15" s="180">
        <v>42583</v>
      </c>
      <c r="C15" s="161">
        <v>20196</v>
      </c>
    </row>
    <row r="16" spans="1:3" x14ac:dyDescent="0.25">
      <c r="A16">
        <v>15</v>
      </c>
      <c r="B16" s="180">
        <v>42583</v>
      </c>
      <c r="C16" s="161">
        <v>20196</v>
      </c>
    </row>
    <row r="17" spans="1:3" x14ac:dyDescent="0.25">
      <c r="A17">
        <v>16</v>
      </c>
      <c r="B17" s="180">
        <v>42583</v>
      </c>
      <c r="C17" s="161">
        <v>20196</v>
      </c>
    </row>
    <row r="18" spans="1:3" x14ac:dyDescent="0.25">
      <c r="A18">
        <v>17</v>
      </c>
      <c r="B18" s="180">
        <v>42676</v>
      </c>
      <c r="C18" s="160">
        <v>5750</v>
      </c>
    </row>
    <row r="19" spans="1:3" x14ac:dyDescent="0.25">
      <c r="A19">
        <v>18</v>
      </c>
      <c r="B19" s="180">
        <v>42676</v>
      </c>
      <c r="C19" s="160">
        <v>5750</v>
      </c>
    </row>
    <row r="20" spans="1:3" x14ac:dyDescent="0.25">
      <c r="A20">
        <v>19</v>
      </c>
      <c r="B20" s="180">
        <v>42676</v>
      </c>
      <c r="C20" s="160">
        <v>5750</v>
      </c>
    </row>
    <row r="21" spans="1:3" x14ac:dyDescent="0.25">
      <c r="A21">
        <v>20</v>
      </c>
      <c r="B21" s="180">
        <v>42676</v>
      </c>
      <c r="C21" s="160">
        <v>5750</v>
      </c>
    </row>
    <row r="22" spans="1:3" x14ac:dyDescent="0.25">
      <c r="A22">
        <v>21</v>
      </c>
      <c r="B22" s="180">
        <v>42676</v>
      </c>
      <c r="C22" s="160">
        <v>5750</v>
      </c>
    </row>
    <row r="23" spans="1:3" x14ac:dyDescent="0.25">
      <c r="A23">
        <v>22</v>
      </c>
      <c r="B23" s="180">
        <v>42676</v>
      </c>
      <c r="C23" s="160">
        <v>5750</v>
      </c>
    </row>
    <row r="24" spans="1:3" x14ac:dyDescent="0.25">
      <c r="A24">
        <v>23</v>
      </c>
      <c r="B24" s="180">
        <v>42676</v>
      </c>
      <c r="C24" s="160">
        <v>5750</v>
      </c>
    </row>
    <row r="25" spans="1:3" x14ac:dyDescent="0.25">
      <c r="A25">
        <v>24</v>
      </c>
      <c r="B25" s="180">
        <v>42676</v>
      </c>
      <c r="C25" s="160">
        <v>5750</v>
      </c>
    </row>
    <row r="26" spans="1:3" x14ac:dyDescent="0.25">
      <c r="A26">
        <v>25</v>
      </c>
      <c r="B26" s="180">
        <v>42676</v>
      </c>
      <c r="C26" s="160">
        <v>5750</v>
      </c>
    </row>
    <row r="27" spans="1:3" x14ac:dyDescent="0.25">
      <c r="A27">
        <v>26</v>
      </c>
      <c r="B27" s="180">
        <v>42676</v>
      </c>
      <c r="C27" s="160">
        <v>5750</v>
      </c>
    </row>
    <row r="28" spans="1:3" x14ac:dyDescent="0.25">
      <c r="A28">
        <v>27</v>
      </c>
      <c r="B28" s="180">
        <v>42676</v>
      </c>
      <c r="C28" s="160">
        <v>5750</v>
      </c>
    </row>
    <row r="29" spans="1:3" x14ac:dyDescent="0.25">
      <c r="A29">
        <v>28</v>
      </c>
      <c r="B29" s="180">
        <v>42676</v>
      </c>
      <c r="C29" s="160">
        <v>5750</v>
      </c>
    </row>
    <row r="30" spans="1:3" x14ac:dyDescent="0.25">
      <c r="A30">
        <v>29</v>
      </c>
      <c r="B30" s="180">
        <v>42704</v>
      </c>
      <c r="C30" s="160">
        <v>5750</v>
      </c>
    </row>
    <row r="31" spans="1:3" x14ac:dyDescent="0.25">
      <c r="A31">
        <v>30</v>
      </c>
      <c r="B31" s="180">
        <v>42704</v>
      </c>
      <c r="C31" s="160">
        <v>5750</v>
      </c>
    </row>
    <row r="32" spans="1:3" x14ac:dyDescent="0.25">
      <c r="A32">
        <v>31</v>
      </c>
      <c r="B32" s="180">
        <v>42704</v>
      </c>
      <c r="C32" s="160">
        <v>5750</v>
      </c>
    </row>
    <row r="33" spans="1:3" x14ac:dyDescent="0.25">
      <c r="A33">
        <v>32</v>
      </c>
      <c r="B33" s="180">
        <v>42704</v>
      </c>
      <c r="C33" s="160">
        <v>5750</v>
      </c>
    </row>
    <row r="34" spans="1:3" x14ac:dyDescent="0.25">
      <c r="A34">
        <v>33</v>
      </c>
      <c r="B34" s="180">
        <v>42704</v>
      </c>
      <c r="C34" s="160">
        <v>5750</v>
      </c>
    </row>
    <row r="35" spans="1:3" x14ac:dyDescent="0.25">
      <c r="A35">
        <v>34</v>
      </c>
      <c r="B35" s="180">
        <v>42704</v>
      </c>
      <c r="C35" s="160">
        <v>5750</v>
      </c>
    </row>
    <row r="36" spans="1:3" x14ac:dyDescent="0.25">
      <c r="A36">
        <v>35</v>
      </c>
      <c r="B36" s="180">
        <v>42704</v>
      </c>
      <c r="C36" s="160">
        <v>5750</v>
      </c>
    </row>
    <row r="37" spans="1:3" x14ac:dyDescent="0.25">
      <c r="A37">
        <v>36</v>
      </c>
      <c r="B37" s="180">
        <v>42704</v>
      </c>
      <c r="C37" s="160">
        <v>5750</v>
      </c>
    </row>
    <row r="38" spans="1:3" x14ac:dyDescent="0.25">
      <c r="A38">
        <v>37</v>
      </c>
      <c r="B38" s="180">
        <v>42704</v>
      </c>
      <c r="C38" s="160">
        <v>5750</v>
      </c>
    </row>
    <row r="39" spans="1:3" x14ac:dyDescent="0.25">
      <c r="A39">
        <v>38</v>
      </c>
      <c r="B39" s="180">
        <v>42704</v>
      </c>
      <c r="C39" s="160">
        <v>5750</v>
      </c>
    </row>
    <row r="40" spans="1:3" x14ac:dyDescent="0.25">
      <c r="A40">
        <v>39</v>
      </c>
      <c r="B40" s="180">
        <v>42704</v>
      </c>
      <c r="C40" s="160">
        <v>5750</v>
      </c>
    </row>
    <row r="41" spans="1:3" x14ac:dyDescent="0.25">
      <c r="A41">
        <v>40</v>
      </c>
      <c r="B41" s="180">
        <v>42704</v>
      </c>
      <c r="C41" s="160">
        <v>5750</v>
      </c>
    </row>
    <row r="42" spans="1:3" x14ac:dyDescent="0.25">
      <c r="A42">
        <v>41</v>
      </c>
      <c r="B42" s="180">
        <v>42732</v>
      </c>
      <c r="C42" s="160">
        <v>2270</v>
      </c>
    </row>
    <row r="43" spans="1:3" x14ac:dyDescent="0.25">
      <c r="A43">
        <v>42</v>
      </c>
      <c r="B43" s="180">
        <v>42732</v>
      </c>
      <c r="C43" s="160">
        <v>2270</v>
      </c>
    </row>
    <row r="44" spans="1:3" x14ac:dyDescent="0.25">
      <c r="A44">
        <v>43</v>
      </c>
      <c r="B44" s="180">
        <v>42732</v>
      </c>
      <c r="C44" s="160">
        <v>2270</v>
      </c>
    </row>
    <row r="45" spans="1:3" x14ac:dyDescent="0.25">
      <c r="A45">
        <v>44</v>
      </c>
      <c r="B45" s="180">
        <v>42732</v>
      </c>
      <c r="C45" s="160">
        <v>2270</v>
      </c>
    </row>
    <row r="46" spans="1:3" x14ac:dyDescent="0.25">
      <c r="A46">
        <v>45</v>
      </c>
      <c r="B46" s="180">
        <v>42732</v>
      </c>
      <c r="C46" s="160">
        <v>2270</v>
      </c>
    </row>
    <row r="47" spans="1:3" x14ac:dyDescent="0.25">
      <c r="A47">
        <v>46</v>
      </c>
      <c r="B47" s="180">
        <v>42732</v>
      </c>
      <c r="C47" s="160">
        <v>2270</v>
      </c>
    </row>
    <row r="48" spans="1:3" x14ac:dyDescent="0.25">
      <c r="A48">
        <v>47</v>
      </c>
      <c r="B48" s="180">
        <v>42732</v>
      </c>
      <c r="C48" s="160">
        <v>2270</v>
      </c>
    </row>
    <row r="49" spans="1:3" x14ac:dyDescent="0.25">
      <c r="A49">
        <v>48</v>
      </c>
      <c r="B49" s="180">
        <v>42732</v>
      </c>
      <c r="C49" s="160">
        <v>2270</v>
      </c>
    </row>
    <row r="50" spans="1:3" x14ac:dyDescent="0.25">
      <c r="A50">
        <v>49</v>
      </c>
      <c r="B50" s="180">
        <v>42732</v>
      </c>
      <c r="C50" s="160">
        <v>2270</v>
      </c>
    </row>
    <row r="51" spans="1:3" x14ac:dyDescent="0.25">
      <c r="A51">
        <v>50</v>
      </c>
      <c r="B51" s="180">
        <v>42732</v>
      </c>
      <c r="C51" s="160">
        <v>2270</v>
      </c>
    </row>
    <row r="52" spans="1:3" x14ac:dyDescent="0.25">
      <c r="A52">
        <v>51</v>
      </c>
      <c r="B52" s="180">
        <v>42732</v>
      </c>
      <c r="C52" s="160">
        <v>2270</v>
      </c>
    </row>
    <row r="53" spans="1:3" x14ac:dyDescent="0.25">
      <c r="A53">
        <v>52</v>
      </c>
      <c r="B53" s="180">
        <v>42732</v>
      </c>
      <c r="C53" s="160">
        <v>2270</v>
      </c>
    </row>
    <row r="54" spans="1:3" x14ac:dyDescent="0.25">
      <c r="A54">
        <v>53</v>
      </c>
      <c r="B54" s="180">
        <v>42760</v>
      </c>
      <c r="C54" s="160">
        <v>1000</v>
      </c>
    </row>
    <row r="55" spans="1:3" x14ac:dyDescent="0.25">
      <c r="A55">
        <v>54</v>
      </c>
      <c r="B55" s="180">
        <v>42760</v>
      </c>
      <c r="C55" s="160">
        <v>1000</v>
      </c>
    </row>
    <row r="56" spans="1:3" x14ac:dyDescent="0.25">
      <c r="A56">
        <v>55</v>
      </c>
      <c r="B56" s="180">
        <v>42760</v>
      </c>
      <c r="C56" s="160">
        <v>1000</v>
      </c>
    </row>
    <row r="57" spans="1:3" x14ac:dyDescent="0.25">
      <c r="A57">
        <v>56</v>
      </c>
      <c r="B57" s="180">
        <v>42760</v>
      </c>
      <c r="C57" s="160">
        <v>1000</v>
      </c>
    </row>
    <row r="58" spans="1:3" x14ac:dyDescent="0.25">
      <c r="A58">
        <v>57</v>
      </c>
      <c r="B58" s="180">
        <v>42760</v>
      </c>
      <c r="C58" s="160">
        <v>1000</v>
      </c>
    </row>
    <row r="59" spans="1:3" x14ac:dyDescent="0.25">
      <c r="A59">
        <v>58</v>
      </c>
      <c r="B59" s="180">
        <v>42760</v>
      </c>
      <c r="C59" s="160">
        <v>1000</v>
      </c>
    </row>
    <row r="60" spans="1:3" x14ac:dyDescent="0.25">
      <c r="A60">
        <v>59</v>
      </c>
      <c r="B60" s="180">
        <v>42760</v>
      </c>
      <c r="C60" s="160">
        <v>1000</v>
      </c>
    </row>
    <row r="61" spans="1:3" x14ac:dyDescent="0.25">
      <c r="A61">
        <v>60</v>
      </c>
      <c r="B61" s="180">
        <v>42760</v>
      </c>
      <c r="C61" s="160">
        <v>1000</v>
      </c>
    </row>
    <row r="62" spans="1:3" x14ac:dyDescent="0.25">
      <c r="A62">
        <v>61</v>
      </c>
      <c r="B62" s="180">
        <v>42760</v>
      </c>
      <c r="C62" s="160">
        <v>1000</v>
      </c>
    </row>
    <row r="63" spans="1:3" x14ac:dyDescent="0.25">
      <c r="A63">
        <v>62</v>
      </c>
      <c r="B63" s="180">
        <v>42760</v>
      </c>
      <c r="C63" s="160">
        <v>1000</v>
      </c>
    </row>
    <row r="64" spans="1:3" x14ac:dyDescent="0.25">
      <c r="A64">
        <v>63</v>
      </c>
      <c r="B64" s="180">
        <v>42760</v>
      </c>
      <c r="C64" s="160">
        <v>1000</v>
      </c>
    </row>
    <row r="65" spans="1:3" x14ac:dyDescent="0.25">
      <c r="A65">
        <v>64</v>
      </c>
      <c r="B65" s="180">
        <v>42760</v>
      </c>
      <c r="C65" s="160">
        <v>1000</v>
      </c>
    </row>
    <row r="66" spans="1:3" x14ac:dyDescent="0.25">
      <c r="A66">
        <v>65</v>
      </c>
      <c r="B66" s="180">
        <v>42788</v>
      </c>
      <c r="C66" s="160">
        <v>1000</v>
      </c>
    </row>
    <row r="67" spans="1:3" x14ac:dyDescent="0.25">
      <c r="A67">
        <v>66</v>
      </c>
      <c r="B67" s="180">
        <v>42788</v>
      </c>
      <c r="C67" s="160">
        <v>1000</v>
      </c>
    </row>
    <row r="68" spans="1:3" x14ac:dyDescent="0.25">
      <c r="A68">
        <v>67</v>
      </c>
      <c r="B68" s="180">
        <v>42788</v>
      </c>
      <c r="C68" s="160">
        <v>1000</v>
      </c>
    </row>
    <row r="69" spans="1:3" x14ac:dyDescent="0.25">
      <c r="A69">
        <v>68</v>
      </c>
      <c r="B69" s="180">
        <v>42788</v>
      </c>
      <c r="C69" s="160">
        <v>1000</v>
      </c>
    </row>
    <row r="70" spans="1:3" x14ac:dyDescent="0.25">
      <c r="A70">
        <v>69</v>
      </c>
      <c r="B70" s="180">
        <v>42788</v>
      </c>
      <c r="C70" s="160">
        <v>1000</v>
      </c>
    </row>
    <row r="71" spans="1:3" x14ac:dyDescent="0.25">
      <c r="A71">
        <v>70</v>
      </c>
      <c r="B71" s="180">
        <v>42788</v>
      </c>
      <c r="C71" s="160">
        <v>1000</v>
      </c>
    </row>
    <row r="72" spans="1:3" x14ac:dyDescent="0.25">
      <c r="A72">
        <v>71</v>
      </c>
      <c r="B72" s="180">
        <v>42788</v>
      </c>
      <c r="C72" s="160">
        <v>1000</v>
      </c>
    </row>
    <row r="73" spans="1:3" x14ac:dyDescent="0.25">
      <c r="A73">
        <v>72</v>
      </c>
      <c r="B73" s="180">
        <v>42788</v>
      </c>
      <c r="C73" s="160">
        <v>1000</v>
      </c>
    </row>
    <row r="74" spans="1:3" x14ac:dyDescent="0.25">
      <c r="A74">
        <v>73</v>
      </c>
      <c r="B74" s="180">
        <v>42788</v>
      </c>
      <c r="C74" s="160">
        <v>1000</v>
      </c>
    </row>
    <row r="75" spans="1:3" x14ac:dyDescent="0.25">
      <c r="A75">
        <v>74</v>
      </c>
      <c r="B75" s="180">
        <v>42788</v>
      </c>
      <c r="C75" s="160">
        <v>1000</v>
      </c>
    </row>
    <row r="76" spans="1:3" x14ac:dyDescent="0.25">
      <c r="A76">
        <v>75</v>
      </c>
      <c r="B76" s="180">
        <v>42788</v>
      </c>
      <c r="C76" s="160">
        <v>1000</v>
      </c>
    </row>
    <row r="77" spans="1:3" x14ac:dyDescent="0.25">
      <c r="A77">
        <v>76</v>
      </c>
      <c r="B77" s="180">
        <v>42788</v>
      </c>
      <c r="C77" s="160">
        <v>1000</v>
      </c>
    </row>
    <row r="78" spans="1:3" x14ac:dyDescent="0.25">
      <c r="A78">
        <v>77</v>
      </c>
      <c r="B78" s="180">
        <v>42816</v>
      </c>
      <c r="C78" s="160">
        <v>1000</v>
      </c>
    </row>
    <row r="79" spans="1:3" x14ac:dyDescent="0.25">
      <c r="A79">
        <v>78</v>
      </c>
      <c r="B79" s="180">
        <v>42816</v>
      </c>
      <c r="C79" s="160">
        <v>1000</v>
      </c>
    </row>
    <row r="80" spans="1:3" x14ac:dyDescent="0.25">
      <c r="A80">
        <v>79</v>
      </c>
      <c r="B80" s="180">
        <v>42816</v>
      </c>
      <c r="C80" s="160">
        <v>1000</v>
      </c>
    </row>
    <row r="81" spans="1:3" x14ac:dyDescent="0.25">
      <c r="A81">
        <v>80</v>
      </c>
      <c r="B81" s="180">
        <v>42816</v>
      </c>
      <c r="C81" s="160">
        <v>1000</v>
      </c>
    </row>
    <row r="82" spans="1:3" x14ac:dyDescent="0.25">
      <c r="A82">
        <v>81</v>
      </c>
      <c r="B82" s="180">
        <v>42816</v>
      </c>
      <c r="C82" s="160">
        <v>1000</v>
      </c>
    </row>
    <row r="83" spans="1:3" x14ac:dyDescent="0.25">
      <c r="A83">
        <v>82</v>
      </c>
      <c r="B83" s="180">
        <v>42816</v>
      </c>
      <c r="C83" s="160">
        <v>1000</v>
      </c>
    </row>
    <row r="84" spans="1:3" x14ac:dyDescent="0.25">
      <c r="A84">
        <v>83</v>
      </c>
      <c r="B84" s="180">
        <v>42816</v>
      </c>
      <c r="C84" s="160">
        <v>1000</v>
      </c>
    </row>
    <row r="85" spans="1:3" x14ac:dyDescent="0.25">
      <c r="A85">
        <v>84</v>
      </c>
      <c r="B85" s="180">
        <v>42816</v>
      </c>
      <c r="C85" s="160">
        <v>1000</v>
      </c>
    </row>
    <row r="86" spans="1:3" x14ac:dyDescent="0.25">
      <c r="A86">
        <v>85</v>
      </c>
      <c r="B86" s="180">
        <v>42816</v>
      </c>
      <c r="C86" s="160">
        <v>1000</v>
      </c>
    </row>
    <row r="87" spans="1:3" x14ac:dyDescent="0.25">
      <c r="A87">
        <v>86</v>
      </c>
      <c r="B87" s="180">
        <v>42816</v>
      </c>
      <c r="C87" s="160">
        <v>1000</v>
      </c>
    </row>
    <row r="88" spans="1:3" x14ac:dyDescent="0.25">
      <c r="A88">
        <v>87</v>
      </c>
      <c r="B88" s="180">
        <v>42816</v>
      </c>
      <c r="C88" s="160">
        <v>1000</v>
      </c>
    </row>
    <row r="89" spans="1:3" x14ac:dyDescent="0.25">
      <c r="A89">
        <v>88</v>
      </c>
      <c r="B89" s="180">
        <v>42816</v>
      </c>
      <c r="C89" s="160">
        <v>1000</v>
      </c>
    </row>
    <row r="90" spans="1:3" x14ac:dyDescent="0.25">
      <c r="A90">
        <v>89</v>
      </c>
      <c r="B90" s="180">
        <v>42844</v>
      </c>
      <c r="C90" s="160">
        <v>1000</v>
      </c>
    </row>
    <row r="91" spans="1:3" x14ac:dyDescent="0.25">
      <c r="A91">
        <v>90</v>
      </c>
      <c r="B91" s="180">
        <v>42844</v>
      </c>
      <c r="C91" s="160">
        <v>1000</v>
      </c>
    </row>
    <row r="92" spans="1:3" x14ac:dyDescent="0.25">
      <c r="A92">
        <v>91</v>
      </c>
      <c r="B92" s="180">
        <v>42844</v>
      </c>
      <c r="C92" s="160">
        <v>1000</v>
      </c>
    </row>
    <row r="93" spans="1:3" x14ac:dyDescent="0.25">
      <c r="A93">
        <v>92</v>
      </c>
      <c r="B93" s="180">
        <v>42844</v>
      </c>
      <c r="C93" s="160">
        <v>1000</v>
      </c>
    </row>
    <row r="94" spans="1:3" x14ac:dyDescent="0.25">
      <c r="A94">
        <v>93</v>
      </c>
      <c r="B94" s="180">
        <v>42844</v>
      </c>
      <c r="C94" s="160">
        <v>1000</v>
      </c>
    </row>
    <row r="95" spans="1:3" x14ac:dyDescent="0.25">
      <c r="A95">
        <v>94</v>
      </c>
      <c r="B95" s="180">
        <v>42844</v>
      </c>
      <c r="C95" s="160">
        <v>1000</v>
      </c>
    </row>
    <row r="96" spans="1:3" x14ac:dyDescent="0.25">
      <c r="A96">
        <v>95</v>
      </c>
      <c r="B96" s="180">
        <v>42844</v>
      </c>
      <c r="C96" s="160">
        <v>1000</v>
      </c>
    </row>
    <row r="97" spans="1:3" x14ac:dyDescent="0.25">
      <c r="A97">
        <v>96</v>
      </c>
      <c r="B97" s="180">
        <v>42844</v>
      </c>
      <c r="C97" s="160">
        <v>1000</v>
      </c>
    </row>
    <row r="98" spans="1:3" x14ac:dyDescent="0.25">
      <c r="A98">
        <v>97</v>
      </c>
      <c r="B98" s="180">
        <v>42844</v>
      </c>
      <c r="C98" s="160">
        <v>1000</v>
      </c>
    </row>
    <row r="99" spans="1:3" x14ac:dyDescent="0.25">
      <c r="A99">
        <v>98</v>
      </c>
      <c r="B99" s="180">
        <v>42844</v>
      </c>
      <c r="C99" s="160">
        <v>1000</v>
      </c>
    </row>
    <row r="100" spans="1:3" x14ac:dyDescent="0.25">
      <c r="A100">
        <v>99</v>
      </c>
      <c r="B100" s="180">
        <v>42844</v>
      </c>
      <c r="C100" s="160">
        <v>1000</v>
      </c>
    </row>
    <row r="101" spans="1:3" x14ac:dyDescent="0.25">
      <c r="A101">
        <v>100</v>
      </c>
      <c r="B101" s="180">
        <v>42844</v>
      </c>
      <c r="C101" s="160">
        <v>1000</v>
      </c>
    </row>
    <row r="102" spans="1:3" x14ac:dyDescent="0.25">
      <c r="A102">
        <v>101</v>
      </c>
      <c r="B102" s="180">
        <v>42872</v>
      </c>
      <c r="C102" s="160">
        <v>1000</v>
      </c>
    </row>
    <row r="103" spans="1:3" x14ac:dyDescent="0.25">
      <c r="A103">
        <v>102</v>
      </c>
      <c r="B103" s="180">
        <v>42872</v>
      </c>
      <c r="C103" s="160">
        <v>1000</v>
      </c>
    </row>
    <row r="104" spans="1:3" x14ac:dyDescent="0.25">
      <c r="A104">
        <v>103</v>
      </c>
      <c r="B104" s="180">
        <v>42872</v>
      </c>
      <c r="C104" s="160">
        <v>1000</v>
      </c>
    </row>
    <row r="105" spans="1:3" x14ac:dyDescent="0.25">
      <c r="A105">
        <v>104</v>
      </c>
      <c r="B105" s="180">
        <v>42872</v>
      </c>
      <c r="C105" s="160">
        <v>1000</v>
      </c>
    </row>
    <row r="106" spans="1:3" x14ac:dyDescent="0.25">
      <c r="A106">
        <v>105</v>
      </c>
      <c r="B106" s="180">
        <v>42872</v>
      </c>
      <c r="C106" s="160">
        <v>1000</v>
      </c>
    </row>
    <row r="107" spans="1:3" x14ac:dyDescent="0.25">
      <c r="A107">
        <v>106</v>
      </c>
      <c r="B107" s="180">
        <v>42872</v>
      </c>
      <c r="C107" s="160">
        <v>1000</v>
      </c>
    </row>
    <row r="108" spans="1:3" x14ac:dyDescent="0.25">
      <c r="A108">
        <v>107</v>
      </c>
      <c r="B108" s="180">
        <v>42872</v>
      </c>
      <c r="C108" s="160">
        <v>1000</v>
      </c>
    </row>
    <row r="109" spans="1:3" x14ac:dyDescent="0.25">
      <c r="A109">
        <v>108</v>
      </c>
      <c r="B109" s="180">
        <v>42872</v>
      </c>
      <c r="C109" s="160">
        <v>1000</v>
      </c>
    </row>
    <row r="110" spans="1:3" x14ac:dyDescent="0.25">
      <c r="A110">
        <v>109</v>
      </c>
      <c r="B110" s="180">
        <v>42872</v>
      </c>
      <c r="C110" s="160">
        <v>1000</v>
      </c>
    </row>
    <row r="111" spans="1:3" x14ac:dyDescent="0.25">
      <c r="A111">
        <v>110</v>
      </c>
      <c r="B111" s="180">
        <v>42872</v>
      </c>
      <c r="C111" s="160">
        <v>1000</v>
      </c>
    </row>
    <row r="112" spans="1:3" x14ac:dyDescent="0.25">
      <c r="A112">
        <v>111</v>
      </c>
      <c r="B112" s="180">
        <v>42872</v>
      </c>
      <c r="C112" s="160">
        <v>1000</v>
      </c>
    </row>
    <row r="113" spans="1:3" x14ac:dyDescent="0.25">
      <c r="A113">
        <v>112</v>
      </c>
      <c r="B113" s="180">
        <v>42872</v>
      </c>
      <c r="C113" s="160">
        <v>1000</v>
      </c>
    </row>
    <row r="114" spans="1:3" x14ac:dyDescent="0.25">
      <c r="A114">
        <v>113</v>
      </c>
      <c r="B114" s="180">
        <v>42900</v>
      </c>
      <c r="C114" s="160">
        <v>1000</v>
      </c>
    </row>
    <row r="115" spans="1:3" x14ac:dyDescent="0.25">
      <c r="A115">
        <v>114</v>
      </c>
      <c r="B115" s="180">
        <v>42900</v>
      </c>
      <c r="C115" s="160">
        <v>1000</v>
      </c>
    </row>
    <row r="116" spans="1:3" x14ac:dyDescent="0.25">
      <c r="A116">
        <v>115</v>
      </c>
      <c r="B116" s="180">
        <v>42900</v>
      </c>
      <c r="C116" s="160">
        <v>1000</v>
      </c>
    </row>
    <row r="117" spans="1:3" x14ac:dyDescent="0.25">
      <c r="A117">
        <v>116</v>
      </c>
      <c r="B117" s="180">
        <v>42900</v>
      </c>
      <c r="C117" s="160">
        <v>1000</v>
      </c>
    </row>
    <row r="118" spans="1:3" x14ac:dyDescent="0.25">
      <c r="A118">
        <v>117</v>
      </c>
      <c r="B118" s="180">
        <v>42900</v>
      </c>
      <c r="C118" s="160">
        <v>1000</v>
      </c>
    </row>
    <row r="119" spans="1:3" x14ac:dyDescent="0.25">
      <c r="A119">
        <v>118</v>
      </c>
      <c r="B119" s="180">
        <v>42900</v>
      </c>
      <c r="C119" s="160">
        <v>1000</v>
      </c>
    </row>
    <row r="120" spans="1:3" x14ac:dyDescent="0.25">
      <c r="A120">
        <v>119</v>
      </c>
      <c r="B120" s="180">
        <v>42900</v>
      </c>
      <c r="C120" s="160">
        <v>1000</v>
      </c>
    </row>
    <row r="121" spans="1:3" x14ac:dyDescent="0.25">
      <c r="A121">
        <v>120</v>
      </c>
      <c r="B121" s="180">
        <v>42900</v>
      </c>
      <c r="C121" s="160">
        <v>1000</v>
      </c>
    </row>
    <row r="122" spans="1:3" x14ac:dyDescent="0.25">
      <c r="A122">
        <v>121</v>
      </c>
      <c r="B122" s="180">
        <v>42900</v>
      </c>
      <c r="C122" s="160">
        <v>1000</v>
      </c>
    </row>
    <row r="123" spans="1:3" x14ac:dyDescent="0.25">
      <c r="A123">
        <v>122</v>
      </c>
      <c r="B123" s="180">
        <v>42900</v>
      </c>
      <c r="C123" s="160">
        <v>1000</v>
      </c>
    </row>
    <row r="124" spans="1:3" x14ac:dyDescent="0.25">
      <c r="A124">
        <v>123</v>
      </c>
      <c r="B124" s="180">
        <v>42900</v>
      </c>
      <c r="C124" s="160">
        <v>1000</v>
      </c>
    </row>
    <row r="125" spans="1:3" x14ac:dyDescent="0.25">
      <c r="A125">
        <v>124</v>
      </c>
      <c r="B125" s="180">
        <v>42900</v>
      </c>
      <c r="C125" s="160">
        <v>1000</v>
      </c>
    </row>
    <row r="126" spans="1:3" x14ac:dyDescent="0.25">
      <c r="A126">
        <v>125</v>
      </c>
      <c r="B126" s="180">
        <v>42928</v>
      </c>
      <c r="C126" s="160">
        <v>1000</v>
      </c>
    </row>
    <row r="127" spans="1:3" x14ac:dyDescent="0.25">
      <c r="A127">
        <v>126</v>
      </c>
      <c r="B127" s="180">
        <v>42928</v>
      </c>
      <c r="C127" s="160">
        <v>1000</v>
      </c>
    </row>
    <row r="128" spans="1:3" x14ac:dyDescent="0.25">
      <c r="A128">
        <v>127</v>
      </c>
      <c r="B128" s="180">
        <v>42928</v>
      </c>
      <c r="C128" s="160">
        <v>1000</v>
      </c>
    </row>
    <row r="129" spans="1:3" x14ac:dyDescent="0.25">
      <c r="A129">
        <v>128</v>
      </c>
      <c r="B129" s="180">
        <v>42928</v>
      </c>
      <c r="C129" s="160">
        <v>1000</v>
      </c>
    </row>
    <row r="130" spans="1:3" x14ac:dyDescent="0.25">
      <c r="A130">
        <v>129</v>
      </c>
      <c r="B130" s="180">
        <v>42928</v>
      </c>
      <c r="C130" s="160">
        <v>1000</v>
      </c>
    </row>
    <row r="131" spans="1:3" x14ac:dyDescent="0.25">
      <c r="A131">
        <v>130</v>
      </c>
      <c r="B131" s="180">
        <v>42928</v>
      </c>
      <c r="C131" s="160">
        <v>1000</v>
      </c>
    </row>
    <row r="132" spans="1:3" x14ac:dyDescent="0.25">
      <c r="A132">
        <v>131</v>
      </c>
      <c r="B132" s="180">
        <v>42928</v>
      </c>
      <c r="C132" s="160">
        <v>1000</v>
      </c>
    </row>
    <row r="133" spans="1:3" x14ac:dyDescent="0.25">
      <c r="A133">
        <v>132</v>
      </c>
      <c r="B133" s="180">
        <v>42928</v>
      </c>
      <c r="C133" s="160">
        <v>1000</v>
      </c>
    </row>
    <row r="134" spans="1:3" x14ac:dyDescent="0.25">
      <c r="A134">
        <v>133</v>
      </c>
      <c r="B134" s="180">
        <v>42928</v>
      </c>
      <c r="C134" s="160">
        <v>1000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C a v i t y S t a t u s & l t ; / K e y & g t ; & l t ; V a l u e   x m l n s : a = " h t t p : / / s c h e m a s . d a t a c o n t r a c t . o r g / 2 0 0 4 / 0 7 / M i c r o s o f t . A n a l y s i s S e r v i c e s . C o m m o n " & g t ; & l t ; a : H a s F o c u s & g t ; t r u e & l t ; / a : H a s F o c u s & g t ; & l t ; a : S i z e A t D p i 9 6 & g t ; 1 3 0 & l t ; / a : S i z e A t D p i 9 6 & g t ; & l t ; a : V i s i b l e & g t ; t r u e & l t ; / a : V i s i b l e & g t ; & l t ; / V a l u e & g t ; & l t ; / K e y V a l u e O f s t r i n g S a n d b o x E d i t o r . M e a s u r e G r i d S t a t e S c d E 3 5 R y & g t ; & l t ; K e y V a l u e O f s t r i n g S a n d b o x E d i t o r . M e a s u r e G r i d S t a t e S c d E 3 5 R y & g t ; & l t ; K e y & g t ; A c c r u a l s & l t ; / K e y & g t ; & l t ; V a l u e   x m l n s : a = " h t t p : / / s c h e m a s . d a t a c o n t r a c t . o r g / 2 0 0 4 / 0 7 / M i c r o s o f t . A n a l y s i s S e r v i c e s . C o m m o n " & g t ; & l t ; a : H a s F o c u s & g t ; t r u e & l t ; / a : H a s F o c u s & g t ; & l t ; a : S i z e A t D p i 9 6 & g t ; 1 2 4 & l t ; / a : S i z e A t D p i 9 6 & g t ; & l t ; a : V i s i b l e & g t ; t r u e & l t ; / a : V i s i b l e & g t ; & l t ; / V a l u e & g t ; & l t ; / K e y V a l u e O f s t r i n g S a n d b o x E d i t o r . M e a s u r e G r i d S t a t e S c d E 3 5 R y & g t ; & l t ; / A r r a y O f K e y V a l u e O f s t r i n g S a n d b o x E d i t o r . M e a s u r e G r i d S t a t e S c d E 3 5 R y & g t ; < / C u s t o m C o n t e n t > < / G e m i n i > 
</file>

<file path=customXml/item11.xml>��< ? x m l   v e r s i o n = " 1 . 0 "   e n c o d i n g = " U T F - 1 6 " ? > < G e m i n i   x m l n s = " h t t p : / / g e m i n i / p i v o t c u s t o m i z a t i o n / T a b l e X M L _ A c c r u a l s " > < C u s t o m C o n t e n t > < ! [ C D A T A [ < T a b l e W i d g e t G r i d S e r i a l i z a t i o n   x m l n s : x s i = " h t t p : / / w w w . w 3 . o r g / 2 0 0 1 / X M L S c h e m a - i n s t a n c e "   x m l n s : x s d = " h t t p : / / w w w . w 3 . o r g / 2 0 0 1 / X M L S c h e m a " > < C o l u m n S u g g e s t e d T y p e   / > < C o l u m n F o r m a t   / > < C o l u m n A c c u r a c y   / > < C o l u m n C u r r e n c y S y m b o l   / > < C o l u m n P o s i t i v e P a t t e r n   / > < C o l u m n N e g a t i v e P a t t e r n   / > < C o l u m n W i d t h s > < i t e m > < k e y > < s t r i n g > P O   L i n e   # < / s t r i n g > < / k e y > < v a l u e > < i n t > 1 1 4 < / i n t > < / v a l u e > < / i t e m > < i t e m > < k e y > < s t r i n g > D e s c r i p t i o n < / s t r i n g > < / k e y > < v a l u e > < i n t > 1 3 2 < / i n t > < / v a l u e > < / i t e m > < i t e m > < k e y > < s t r i n g > E s t   D a t e < / s t r i n g > < / k e y > < v a l u e > < i n t > 1 0 6 < / i n t > < / v a l u e > < / i t e m > < i t e m > < k e y > < s t r i n g > P e r c e n t   C o m p l e t e < / s t r i n g > < / k e y > < v a l u e > < i n t > 1 7 9 < / i n t > < / v a l u e > < / i t e m > < i t e m > < k e y > < s t r i n g > # < / s t r i n g > < / k e y > < v a l u e > < i n t > 5 2 < / i n t > < / v a l u e > < / i t e m > < i t e m > < k e y > < s t r i n g > P O   L i n e   T o t a l < / s t r i n g > < / k e y > < v a l u e > < i n t > 1 4 1 < / i n t > < / v a l u e > < / i t e m > < i t e m > < k e y > < s t r i n g > = < / s t r i n g > < / k e y > < v a l u e > < i n t > 5 2 < / i n t > < / v a l u e > < / i t e m > < i t e m > < k e y > < s t r i n g > C o m p l e t e d   W o r k   A m t < / s t r i n g > < / k e y > < v a l u e > < i n t > 2 0 8 < / i n t > < / v a l u e > < / i t e m > < i t e m > < k e y > < s t r i n g > c < / s t r i n g > < / k e y > < v a l u e > < i n t > 5 1 < / i n t > < / v a l u e > < / i t e m > < i t e m > < k e y > < s t r i n g > C o m p l e t e d   W o r k   A m t 2 < / s t r i n g > < / k e y > < v a l u e > < i n t > 2 1 8 < / i n t > < / v a l u e > < / i t e m > < i t e m > < k e y > < s t r i n g > - < / s t r i n g > < / k e y > < v a l u e > < i n t > 4 9 < / i n t > < / v a l u e > < / i t e m > < i t e m > < k e y > < s t r i n g > E l i g i b l e   f o r   V o u c h e r   A m t < / s t r i n g > < / k e y > < v a l u e > < i n t > 2 2 7 < / i n t > < / v a l u e > < / i t e m > < i t e m > < k e y > < s t r i n g > - 3 < / s t r i n g > < / k e y > < v a l u e > < i n t > 5 9 < / i n t > < / v a l u e > < / i t e m > < i t e m > < k e y > < s t r i n g > P r e v   V o u c h e r e d   A m o u n t < / s t r i n g > < / k e y > < v a l u e > < i n t > 2 3 1 < / i n t > < / v a l u e > < / i t e m > < i t e m > < k e y > < s t r i n g > = 4 < / s t r i n g > < / k e y > < v a l u e > < i n t > 6 2 < / i n t > < / v a l u e > < / i t e m > < i t e m > < k e y > < s t r i n g > C o m p l e t e d     W o r k   R e t e n t i o n   A m t < / s t r i n g > < / k e y > < v a l u e > < i n t > 2 9 1 < / i n t > < / v a l u e > < / i t e m > < i t e m > < k e y > < s t r i n g > N o t e < / s t r i n g > < / k e y > < v a l u e > < i n t > 8 0 < / i n t > < / v a l u e > < / i t e m > < / C o l u m n W i d t h s > < C o l u m n D i s p l a y I n d e x > < i t e m > < k e y > < s t r i n g > P O   L i n e   # < / s t r i n g > < / k e y > < v a l u e > < i n t > 0 < / i n t > < / v a l u e > < / i t e m > < i t e m > < k e y > < s t r i n g > D e s c r i p t i o n < / s t r i n g > < / k e y > < v a l u e > < i n t > 1 < / i n t > < / v a l u e > < / i t e m > < i t e m > < k e y > < s t r i n g > E s t   D a t e < / s t r i n g > < / k e y > < v a l u e > < i n t > 2 < / i n t > < / v a l u e > < / i t e m > < i t e m > < k e y > < s t r i n g > P e r c e n t   C o m p l e t e < / s t r i n g > < / k e y > < v a l u e > < i n t > 3 < / i n t > < / v a l u e > < / i t e m > < i t e m > < k e y > < s t r i n g > # < / s t r i n g > < / k e y > < v a l u e > < i n t > 4 < / i n t > < / v a l u e > < / i t e m > < i t e m > < k e y > < s t r i n g > P O   L i n e   T o t a l < / s t r i n g > < / k e y > < v a l u e > < i n t > 5 < / i n t > < / v a l u e > < / i t e m > < i t e m > < k e y > < s t r i n g > = < / s t r i n g > < / k e y > < v a l u e > < i n t > 6 < / i n t > < / v a l u e > < / i t e m > < i t e m > < k e y > < s t r i n g > C o m p l e t e d   W o r k   A m t < / s t r i n g > < / k e y > < v a l u e > < i n t > 7 < / i n t > < / v a l u e > < / i t e m > < i t e m > < k e y > < s t r i n g > c < / s t r i n g > < / k e y > < v a l u e > < i n t > 8 < / i n t > < / v a l u e > < / i t e m > < i t e m > < k e y > < s t r i n g > C o m p l e t e d   W o r k   A m t 2 < / s t r i n g > < / k e y > < v a l u e > < i n t > 9 < / i n t > < / v a l u e > < / i t e m > < i t e m > < k e y > < s t r i n g > - < / s t r i n g > < / k e y > < v a l u e > < i n t > 1 0 < / i n t > < / v a l u e > < / i t e m > < i t e m > < k e y > < s t r i n g > E l i g i b l e   f o r   V o u c h e r   A m t < / s t r i n g > < / k e y > < v a l u e > < i n t > 1 1 < / i n t > < / v a l u e > < / i t e m > < i t e m > < k e y > < s t r i n g > - 3 < / s t r i n g > < / k e y > < v a l u e > < i n t > 1 2 < / i n t > < / v a l u e > < / i t e m > < i t e m > < k e y > < s t r i n g > P r e v   V o u c h e r e d   A m o u n t < / s t r i n g > < / k e y > < v a l u e > < i n t > 1 3 < / i n t > < / v a l u e > < / i t e m > < i t e m > < k e y > < s t r i n g > = 4 < / s t r i n g > < / k e y > < v a l u e > < i n t > 1 4 < / i n t > < / v a l u e > < / i t e m > < i t e m > < k e y > < s t r i n g > C o m p l e t e d     W o r k   R e t e n t i o n   A m t < / s t r i n g > < / k e y > < v a l u e > < i n t > 1 5 < / i n t > < / v a l u e > < / i t e m > < i t e m > < k e y > < s t r i n g > N o t e < / s t r i n g > < / k e y > < v a l u e > < i n t > 1 6 < / i n t > < / v a l u e > < / i t e m > < / C o l u m n D i s p l a y I n d e x > < C o l u m n F r o z e n   / > < C o l u m n C h e c k e d   / > < C o l u m n F i l t e r   / > < S e l e c t i o n F i l t e r   / > < F i l t e r P a r a m e t e r s   / > < I s S o r t D e s c e n d i n g > f a l s e < / I s S o r t D e s c e n d i n g > < / T a b l e W i d g e t G r i d S e r i a l i z a t i o n > ] ] > < / C u s t o m C o n t e n t > < / G e m i n i > 
</file>

<file path=customXml/item12.xml>��< ? x m l   v e r s i o n = " 1 . 0 "   e n c o d i n g = " U T F - 1 6 " ? > < G e m i n i   x m l n s = " h t t p : / / g e m i n i / p i v o t c u s t o m i z a t i o n / T a b l e C o u n t I n S a n d b o x " > < C u s t o m C o n t e n t > 2 < / C u s t o m C o n t e n t > < / G e m i n i > 
</file>

<file path=customXml/item13.xml>��< ? x m l   v e r s i o n = " 1 . 0 "   e n c o d i n g = " U T F - 1 6 " ? > < G e m i n i   x m l n s = " h t t p : / / g e m i n i / p i v o t c u s t o m i z a t i o n / C l i e n t W i n d o w X M L " > < C u s t o m C o n t e n t > < ! [ C D A T A [ C a v i t y S t a t u s ] ] > < / C u s t o m C o n t e n t > < / G e m i n i > 
</file>

<file path=customXml/item14.xml>��< ? x m l   v e r s i o n = " 1 . 0 "   e n c o d i n g = " U T F - 1 6 " ? > < G e m i n i   x m l n s = " h t t p : / / g e m i n i / p i v o t c u s t o m i z a t i o n / T a b l e W i d g e t " > < C u s t o m C o n t e n t > & l t ; A r r a y O f D i a g r a m M a n a g e r . S e r i a l i z a b l e D i a g r a m   x m l n s = " h t t p : / / s c h e m a s . d a t a c o n t r a c t . o r g / 2 0 0 4 / 0 7 / M i c r o s o f t . A n a l y s i s S e r v i c e s . C o m m o n "   x m l n s : i = " h t t p : / / w w w . w 3 . o r g / 2 0 0 1 / X M L S c h e m a - i n s t a n c e " & g t ; & l t ; D i a g r a m M a n a g e r . S e r i a l i z a b l e D i a g r a m & g t ; & l t ; A d a p t e r   i : t y p e = " T a b l e W i d g e t V i e w M o d e l S a n d b o x A d a p t e r " & g t ; & l t ; T a b l e N a m e & g t ; A c c r u a l s & 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 i : t y p e = " S a n d b o x E d i t o r T a b l e W i d g e t V i e w M o d e l K e y " & g t ; & l t ; T a b l e N a m e & g t ; A c c r u a l s & l t ; / T a b l e N a m e & g t ; & l t ; / K e y & g t ; & l t ; M a i n t a i n e r 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P O   L i n e   # & l t ; / K e y & g t ; & l t ; / a : K e y & g t ; & l t ; a : V a l u e   i : t y p e = " T a b l e W i d g e t B a s e V i e w S t a t e " / & g t ; & l t ; / a : K e y V a l u e O f D i a g r a m O b j e c t K e y a n y T y p e z b w N T n L X & g t ; & l t ; a : K e y V a l u e O f D i a g r a m O b j e c t K e y a n y T y p e z b w N T n L X & g t ; & l t ; a : K e y & g t ; & l t ; K e y & g t ; C o l u m n s \ D e s c r i p t i o n & l t ; / K e y & g t ; & l t ; / a : K e y & g t ; & l t ; a : V a l u e   i : t y p e = " T a b l e W i d g e t B a s e V i e w S t a t e " / & g t ; & l t ; / a : K e y V a l u e O f D i a g r a m O b j e c t K e y a n y T y p e z b w N T n L X & g t ; & l t ; a : K e y V a l u e O f D i a g r a m O b j e c t K e y a n y T y p e z b w N T n L X & g t ; & l t ; a : K e y & g t ; & l t ; K e y & g t ; C o l u m n s \ E s t   D a t e & l t ; / K e y & g t ; & l t ; / a : K e y & g t ; & l t ; a : V a l u e   i : t y p e = " T a b l e W i d g e t B a s e V i e w S t a t e " / & g t ; & l t ; / a : K e y V a l u e O f D i a g r a m O b j e c t K e y a n y T y p e z b w N T n L X & g t ; & l t ; a : K e y V a l u e O f D i a g r a m O b j e c t K e y a n y T y p e z b w N T n L X & g t ; & l t ; a : K e y & g t ; & l t ; K e y & g t ; C o l u m n s \ P e r c e n t   C o m p l e t e & l t ; / K e y & g t ; & l t ; / a : K e y & g t ; & l t ; a : V a l u e 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P O   L i n e   T o t a l & l t ; / K e y & g t ; & l t ; / a : K e y & g t ; & l t ; a : V a l u e 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C o m p l e t e d   W o r k   A m t & l t ; / K e y & g t ; & l t ; / a : K e y & g t ; & l t ; a : V a l u e   i : t y p e = " T a b l e W i d g e t B a s e V i e w S t a t e " / & g t ; & l t ; / a : K e y V a l u e O f D i a g r a m O b j e c t K e y a n y T y p e z b w N T n L X & g t ; & l t ; a : K e y V a l u e O f D i a g r a m O b j e c t K e y a n y T y p e z b w N T n L X & g t ; & l t ; a : K e y & g t ; & l t ; K e y & g t ; C o l u m n s \ c & l t ; / K e y & g t ; & l t ; / a : K e y & g t ; & l t ; a : V a l u e   i : t y p e = " T a b l e W i d g e t B a s e V i e w S t a t e " / & g t ; & l t ; / a : K e y V a l u e O f D i a g r a m O b j e c t K e y a n y T y p e z b w N T n L X & g t ; & l t ; a : K e y V a l u e O f D i a g r a m O b j e c t K e y a n y T y p e z b w N T n L X & g t ; & l t ; a : K e y & g t ; & l t ; K e y & g t ; C o l u m n s \ C o m p l e t e d   W o r k   A m t 2 & l t ; / K e y & g t ; & l t ; / a : K e y & g t ; & l t ; a : V a l u e 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E l i g i b l e   f o r   V o u c h e r   A m t & l t ; / K e y & g t ; & l t ; / a : K e y & g t ; & l t ; a : V a l u e   i : t y p e = " T a b l e W i d g e t B a s e V i e w S t a t e " / & g t ; & l t ; / a : K e y V a l u e O f D i a g r a m O b j e c t K e y a n y T y p e z b w N T n L X & g t ; & l t ; a : K e y V a l u e O f D i a g r a m O b j e c t K e y a n y T y p e z b w N T n L X & g t ; & l t ; a : K e y & g t ; & l t ; K e y & g t ; C o l u m n s \ - 3 & l t ; / K e y & g t ; & l t ; / a : K e y & g t ; & l t ; a : V a l u e   i : t y p e = " T a b l e W i d g e t B a s e V i e w S t a t e " / & g t ; & l t ; / a : K e y V a l u e O f D i a g r a m O b j e c t K e y a n y T y p e z b w N T n L X & g t ; & l t ; a : K e y V a l u e O f D i a g r a m O b j e c t K e y a n y T y p e z b w N T n L X & g t ; & l t ; a : K e y & g t ; & l t ; K e y & g t ; C o l u m n s \ P r e v   V o u c h e r e d   A m o u n t & l t ; / K e y & g t ; & l t ; / a : K e y & g t ; & l t ; a : V a l u e   i : t y p e = " T a b l e W i d g e t B a s e V i e w S t a t e " / & g t ; & l t ; / a : K e y V a l u e O f D i a g r a m O b j e c t K e y a n y T y p e z b w N T n L X & g t ; & l t ; a : K e y V a l u e O f D i a g r a m O b j e c t K e y a n y T y p e z b w N T n L X & g t ; & l t ; a : K e y & g t ; & l t ; K e y & g t ; C o l u m n s \ = 4 & l t ; / K e y & g t ; & l t ; / a : K e y & g t ; & l t ; a : V a l u e   i : t y p e = " T a b l e W i d g e t B a s e V i e w S t a t e " / & g t ; & l t ; / a : K e y V a l u e O f D i a g r a m O b j e c t K e y a n y T y p e z b w N T n L X & g t ; & l t ; a : K e y V a l u e O f D i a g r a m O b j e c t K e y a n y T y p e z b w N T n L X & g t ; & l t ; a : K e y & g t ; & l t ; K e y & g t ; C o l u m n s \ C o m p l e t e d     W o r k   R e t e n t i o n   A m t & l t ; / K e y & g t ; & l t ; / a : K e y & g t ; & l t ; a : V a l u e   i : t y p e = " T a b l e W i d g e t B a s e V i e w S t a t e " / & g t ; & l t ; / a : K e y V a l u e O f D i a g r a m O b j e c t K e y a n y T y p e z b w N T n L X & g t ; & l t ; a : K e y V a l u e O f D i a g r a m O b j e c t K e y a n y T y p e z b w N T n L X & g t ; & l t ; a : K e y & g t ; & l t ; K e y & g t ; C o l u m n s \ N o t e & 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D i a g r a m M a n a g e r . S e r i a l i z a b l e D i a g r a m & g t ; & l t ; A d a p t e r   i : t y p e = " T a b l e W i d g e t V i e w M o d e l S a n d b o x A d a p t e r " & g t ; & l t ; T a b l e N a m e & g t ; C a v i t y S t a t u s & 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 i : t y p e = " S a n d b o x E d i t o r T a b l e W i d g e t V i e w M o d e l K e y " & g t ; & l t ; T a b l e N a m e & g t ; C a v i t y S t a t u s & l t ; / T a b l e N a m e & g t ; & l t ; / K e y & g t ; & l t ; M a i n t a i n e r 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C a v i t y   S / N & l t ; / K e y & g t ; & l t ; / a : K e y & g t ; & l t ; a : V a l u e   i : t y p e = " T a b l e W i d g e t B a s e V i e w S t a t e " / & g t ; & l t ; / a : K e y V a l u e O f D i a g r a m O b j e c t K e y a n y T y p e z b w N T n L X & g t ; & l t ; a : K e y V a l u e O f D i a g r a m O b j e c t K e y a n y T y p e z b w N T n L X & g t ; & l t ; a : K e y & g t ; & l t ; K e y & g t ; C o l u m n s \ M / S # & l t ; / K e y & g t ; & l t ; / a : K e y & g t ; & l t ; a : V a l u e   i : t y p e = " T a b l e W i d g e t B a s e V i e w S t a t e " / & g t ; & l t ; / a : K e y V a l u e O f D i a g r a m O b j e c t K e y a n y T y p e z b w N T n L X & g t ; & l t ; a : K e y V a l u e O f D i a g r a m O b j e c t K e y a n y T y p e z b w N T n L X & g t ; & l t ; a : K e y & g t ; & l t ; K e y & g t ; C o l u m n s \ M a t e r i a l & l t ; / K e y & g t ; & l t ; / a : K e y & g t ; & l t ; a : V a l u e   i : t y p e = " T a b l e W i d g e t B a s e V i e w S t a t e " / & g t ; & l t ; / a : K e y V a l u e O f D i a g r a m O b j e c t K e y a n y T y p e z b w N T n L X & g t ; & l t ; a : K e y V a l u e O f D i a g r a m O b j e c t K e y a n y T y p e z b w N T n L X & g t ; & l t ; a : K e y & g t ; & l t ; K e y & g t ; C o l u m n s \ E P & l t ; / K e y & g t ; & l t ; / a : K e y & g t ; & l t ; a : V a l u e   i : t y p e = " T a b l e W i d g e t B a s e V i e w S t a t e " / & g t ; & l t ; / a : K e y V a l u e O f D i a g r a m O b j e c t K e y a n y T y p e z b w N T n L X & g t ; & l t ; a : K e y V a l u e O f D i a g r a m O b j e c t K e y a n y T y p e z b w N T n L X & g t ; & l t ; a : K e y & g t ; & l t ; K e y & g t ; C o l u m n s \ H e a t & l t ; / K e y & g t ; & l t ; / a : K e y & g t ; & l t ; a : V a l u e   i : t y p e = " T a b l e W i d g e t B a s e V i e w S t a t e " / & g t ; & l t ; / a : K e y V a l u e O f D i a g r a m O b j e c t K e y a n y T y p e z b w N T n L X & g t ; & l t ; a : K e y V a l u e O f D i a g r a m O b j e c t K e y a n y T y p e z b w N T n L X & g t ; & l t ; a : K e y & g t ; & l t ; K e y & g t ; C o l u m n s \ C a p s & l t ; / K e y & g t ; & l t ; / a : K e y & g t ; & l t ; a : V a l u e   i : t y p e = " T a b l e W i d g e t B a s e V i e w S t a t e " / & g t ; & l t ; / a : K e y V a l u e O f D i a g r a m O b j e c t K e y a n y T y p e z b w N T n L X & g t ; & l t ; a : K e y V a l u e O f D i a g r a m O b j e c t K e y a n y T y p e z b w N T n L X & g t ; & l t ; a : K e y & g t ; & l t ; K e y & g t ; C o l u m n s \ C o m m e n t s & l t ; / K e y & g t ; & l t ; / a : K e y & g t ; & l t ; a : V a l u e   i : t y p e = " T a b l e W i d g e t B a s e V i e w S t a t e " / & g t ; & l t ; / a : K e y V a l u e O f D i a g r a m O b j e c t K e y a n y T y p e z b w N T n L X & g t ; & l t ; a : K e y V a l u e O f D i a g r a m O b j e c t K e y a n y T y p e z b w N T n L X & g t ; & l t ; a : K e y & g t ; & l t ; K e y & g t ; C o l u m n s \ H o l d   P o i n t   1 & l t ; / K e y & g t ; & l t ; / a : K e y & g t ; & l t ; a : V a l u e   i : t y p e = " T a b l e W i d g e t B a s e V i e w S t a t e " / & g t ; & l t ; / a : K e y V a l u e O f D i a g r a m O b j e c t K e y a n y T y p e z b w N T n L X & g t ; & l t ; a : K e y V a l u e O f D i a g r a m O b j e c t K e y a n y T y p e z b w N T n L X & g t ; & l t ; a : K e y & g t ; & l t ; K e y & g t ; C o l u m n s \ H o l d   P o i n t   2 & l t ; / K e y & g t ; & l t ; / a : K e y & g t ; & l t ; a : V a l u e   i : t y p e = " T a b l e W i d g e t B a s e V i e w S t a t e " / & g t ; & l t ; / a : K e y V a l u e O f D i a g r a m O b j e c t K e y a n y T y p e z b w N T n L X & g t ; & l t ; a : K e y V a l u e O f D i a g r a m O b j e c t K e y a n y T y p e z b w N T n L X & g t ; & l t ; a : K e y & g t ; & l t ; K e y & g t ; C o l u m n s \ H o l d   P o i n t   3 & l t ; / K e y & g t ; & l t ; / a : K e y & g t ; & l t ; a : V a l u e   i : t y p e = " T a b l e W i d g e t B a s e V i e w S t a t e " / & g t ; & l t ; / a : K e y V a l u e O f D i a g r a m O b j e c t K e y a n y T y p e z b w N T n L X & g t ; & l t ; a : K e y V a l u e O f D i a g r a m O b j e c t K e y a n y T y p e z b w N T n L X & g t ; & l t ; a : K e y & g t ; & l t ; K e y & g t ; C o l u m n s \ N C R s & l t ; / K e y & g t ; & l t ; / a : K e y & g t ; & l t ; a : V a l u e   i : t y p e = " T a b l e W i d g e t B a s e V i e w S t a t e " / & g t ; & l t ; / a : K e y V a l u e O f D i a g r a m O b j e c t K e y a n y T y p e z b w N T n L X & g t ; & l t ; a : K e y V a l u e O f D i a g r a m O b j e c t K e y a n y T y p e z b w N T n L X & g t ; & l t ; a : K e y & g t ; & l t ; K e y & g t ; C o l u m n s \ N C R   C o m m e n t s & l t ; / K e y & g t ; & l t ; / a : K e y & g t ; & l t ; a : V a l u e   i : t y p e = " T a b l e W i d g e t B a s e V i e w S t a t e " / & g t ; & l t ; / a : K e y V a l u e O f D i a g r a m O b j e c t K e y a n y T y p e z b w N T n L X & g t ; & l t ; a : K e y V a l u e O f D i a g r a m O b j e c t K e y a n y T y p e z b w N T n L X & g t ; & l t ; a : K e y & g t ; & l t ; K e y & g t ; C o l u m n s \ S h i p p i n g   D e s t i n a t i o n & l t ; / K e y & g t ; & l t ; / a : K e y & g t ; & l t ; a : V a l u e   i : t y p e = " T a b l e W i d g e t B a s e V i e w S t a t e " / & g t ; & l t ; / a : K e y V a l u e O f D i a g r a m O b j e c t K e y a n y T y p e z b w N T n L X & g t ; & l t ; a : K e y V a l u e O f D i a g r a m O b j e c t K e y a n y T y p e z b w N T n L X & g t ; & l t ; a : K e y & g t ; & l t ; K e y & g t ; C o l u m n s \ S h i p   D a t e & l t ; / K e y & g t ; & l t ; / a : K e y & g t ; & l t ; a : V a l u e   i : t y p e = " T a b l e W i d g e t B a s e V i e w S t a t e " / & g t ; & l t ; / a : K e y V a l u e O f D i a g r a m O b j e c t K e y a n y T y p e z b w N T n L X & g t ; & l t ; a : K e y V a l u e O f D i a g r a m O b j e c t K e y a n y T y p e z b w N T n L X & g t ; & l t ; a : K e y & g t ; & l t ; K e y & g t ; C o l u m n s \ R e c e i p t   D a t e & l t ; / K e y & g t ; & l t ; / a : K e y & g t ; & l t ; a : V a l u e   i : t y p e = " T a b l e W i d g e t B a s e V i e w S t a t e " / & g t ; & l t ; / a : K e y V a l u e O f D i a g r a m O b j e c t K e y a n y T y p e z b w N T n L X & g t ; & l t ; a : K e y V a l u e O f D i a g r a m O b j e c t K e y a n y T y p e z b w N T n L X & g t ; & l t ; a : K e y & g t ; & l t ; K e y & g t ; C o l u m n s \ Q & l t ; / K e y & g t ; & l t ; / a : K e y & g t ; & l t ; a : V a l u e   i : t y p e = " T a b l e W i d g e t B a s e V i e w S t a t e " / & g t ; & l t ; / a : K e y V a l u e O f D i a g r a m O b j e c t K e y a n y T y p e z b w N T n L X & g t ; & l t ; a : K e y V a l u e O f D i a g r a m O b j e c t K e y a n y T y p e z b w N T n L X & g t ; & l t ; a : K e y & g t ; & l t ; K e y & g t ; C o l u m n s \ N o t e s & l t ; / K e y & g t ; & l t ; / a : K e y & g t ; & l t ; a : V a l u e   i : t y p e = " T a b l e W i d g e t B a s e V i e w S t a t e " / & g t ; & l t ; / a : K e y V a l u e O f D i a g r a m O b j e c t K e y a n y T y p e z b w N T n L X & g t ; & l t ; a : K e y V a l u e O f D i a g r a m O b j e c t K e y a n y T y p e z b w N T n L X & g t ; & l t ; a : K e y & g t ; & l t ; K e y & g t ; C o l u m n s \     & l t ; / K e y & g t ; & l t ; / a : K e y & g t ; & l t ; a : V a l u e   i : t y p e = " T a b l e W i d g e t B a s e V i e w S t a t e " / & g t ; & l t ; / a : K e y V a l u e O f D i a g r a m O b j e c t K e y a n y T y p e z b w N T n L X & g t ; & l t ; a : K e y V a l u e O f D i a g r a m O b j e c t K e y a n y T y p e z b w N T n L X & g t ; & l t ; a : K e y & g t ; & l t ; K e y & g t ; C o l u m n s \ S h i p   D a t e   ( M o n t h   I n d e x ) & l t ; / K e y & g t ; & l t ; / a : K e y & g t ; & l t ; a : V a l u e   i : t y p e = " T a b l e W i d g e t B a s e V i e w S t a t e " / & g t ; & l t ; / a : K e y V a l u e O f D i a g r a m O b j e c t K e y a n y T y p e z b w N T n L X & g t ; & l t ; a : K e y V a l u e O f D i a g r a m O b j e c t K e y a n y T y p e z b w N T n L X & g t ; & l t ; a : K e y & g t ; & l t ; K e y & g t ; C o l u m n s \ S h i p   D a t e   ( M o n t h ) & l t ; / K e y & g t ; & l t ; / a : K e y & g t ; & l t ; a : V a l u e   i : t y p e = " T a b l e W i d g e t B a s e V i e w S t a t e " / & g t ; & l t ; / a : K e y V a l u e O f D i a g r a m O b j e c t K e y a n y T y p e z b w N T n L X & g t ; & l t ; a : K e y V a l u e O f D i a g r a m O b j e c t K e y a n y T y p e z b w N T n L X & g t ; & l t ; a : K e y & g t ; & l t ; K e y & g t ; C o l u m n s \ S t a t u s & l t ; / K e y & g t ; & l t ; / a : K e y & g t ; & l t ; a : V a l u e   i : t y p e = " T a b l e W i d g e t B a s e V i e w S t a t e " / & g t ; & l t ; / a : K e y V a l u e O f D i a g r a m O b j e c t K e y a n y T y p e z b w N T n L X & g t ; & l t ; / V i e w S t a t e s & g t ; & l t ; / D i a g r a m M a n a g e r . S e r i a l i z a b l e D i a g r a m & g t ; & l t ; / A r r a y O f D i a g r a m M a n a g e r . S e r i a l i z a b l e D i a g r a m & g t ; < / C u s t o m C o n t e n t > < / G e m i n i > 
</file>

<file path=customXml/item15.xml>��< ? x m l   v e r s i o n = " 1 . 0 "   e n c o d i n g = " U T F - 1 6 " ? > < G e m i n i   x m l n s = " h t t p : / / g e m i n i / p i v o t c u s t o m i z a t i o n / R e l a t i o n s h i p A u t o D e t e c t i o n E n a b l e d " > < C u s t o m C o n t e n t > < ! [ C D A T A [ T r u e ] ] > < / C u s t o m C o n t e n t > < / G e m i n i > 
</file>

<file path=customXml/item16.xml>��< ? x m l   v e r s i o n = " 1 . 0 "   e n c o d i n g = " U T F - 1 6 " ? > < G e m i n i   x m l n s = " h t t p : / / g e m i n i / p i v o t c u s t o m i z a t i o n / I s S a n d b o x E m b e d d e d " > < C u s t o m C o n t e n t > < ! [ C D A T A [ y e s ] ] > < / C u s t o m C o n t e n t > < / G e m i n i > 
</file>

<file path=customXml/item17.xml>��< ? x m l   v e r s i o n = " 1 . 0 "   e n c o d i n g = " U T F - 1 6 " ? > < G e m i n i   x m l n s = " h t t p : / / g e m i n i / p i v o t c u s t o m i z a t i o n / S h o w I m p l i c i t M e a s u r e s " > < C u s t o m C o n t e n t > < ! [ C D A T A [ F a l s e ] ] > < / C u s t o m C o n t e n t > < / G e m i n i > 
</file>

<file path=customXml/item18.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A c c r u a l 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 i : t y p e = " S a n d b o x E d i t o r M e a s u r e G r i d K e y " & g t ; & l t ; T a b l e N a m e & g t ; A c c r u a l s & l t ; / T a b l e N a m e & g t ; & l t ; / K e y & g t ; & l t ; M a i n t a i n e r 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 r e a d o n l y & l t ; / K e y & g t ; & l t ; / D i a g r a m O b j e c t K e y & g t ; & l t ; D i a g r a m O b j e c t K e y & g t ; & l t ; K e y & g t ; C o l u m n s \ P O   L i n e   # & l t ; / K e y & g t ; & l t ; / D i a g r a m O b j e c t K e y & g t ; & l t ; D i a g r a m O b j e c t K e y & g t ; & l t ; K e y & g t ; C o l u m n s \ D e s c r i p t i o n & l t ; / K e y & g t ; & l t ; / D i a g r a m O b j e c t K e y & g t ; & l t ; D i a g r a m O b j e c t K e y & g t ; & l t ; K e y & g t ; C o l u m n s \ E s t   D a t e & l t ; / K e y & g t ; & l t ; / D i a g r a m O b j e c t K e y & g t ; & l t ; D i a g r a m O b j e c t K e y & g t ; & l t ; K e y & g t ; C o l u m n s \ P e r c e n t   C o m p l e t e & l t ; / K e y & g t ; & l t ; / D i a g r a m O b j e c t K e y & g t ; & l t ; D i a g r a m O b j e c t K e y & g t ; & l t ; K e y & g t ; C o l u m n s \ # & l t ; / K e y & g t ; & l t ; / D i a g r a m O b j e c t K e y & g t ; & l t ; D i a g r a m O b j e c t K e y & g t ; & l t ; K e y & g t ; C o l u m n s \ P O   L i n e   T o t a l & l t ; / K e y & g t ; & l t ; / D i a g r a m O b j e c t K e y & g t ; & l t ; D i a g r a m O b j e c t K e y & g t ; & l t ; K e y & g t ; C o l u m n s \ = & l t ; / K e y & g t ; & l t ; / D i a g r a m O b j e c t K e y & g t ; & l t ; D i a g r a m O b j e c t K e y & g t ; & l t ; K e y & g t ; C o l u m n s \ C o m p l e t e d   W o r k   A m t & l t ; / K e y & g t ; & l t ; / D i a g r a m O b j e c t K e y & g t ; & l t ; D i a g r a m O b j e c t K e y & g t ; & l t ; K e y & g t ; C o l u m n s \ c & l t ; / K e y & g t ; & l t ; / D i a g r a m O b j e c t K e y & g t ; & l t ; D i a g r a m O b j e c t K e y & g t ; & l t ; K e y & g t ; C o l u m n s \ C o m p l e t e d   W o r k   A m t 2 & l t ; / K e y & g t ; & l t ; / D i a g r a m O b j e c t K e y & g t ; & l t ; D i a g r a m O b j e c t K e y & g t ; & l t ; K e y & g t ; C o l u m n s \ - & l t ; / K e y & g t ; & l t ; / D i a g r a m O b j e c t K e y & g t ; & l t ; D i a g r a m O b j e c t K e y & g t ; & l t ; K e y & g t ; C o l u m n s \ E l i g i b l e   f o r   V o u c h e r   A m t & l t ; / K e y & g t ; & l t ; / D i a g r a m O b j e c t K e y & g t ; & l t ; D i a g r a m O b j e c t K e y & g t ; & l t ; K e y & g t ; C o l u m n s \ - 3 & l t ; / K e y & g t ; & l t ; / D i a g r a m O b j e c t K e y & g t ; & l t ; D i a g r a m O b j e c t K e y & g t ; & l t ; K e y & g t ; C o l u m n s \ P r e v   V o u c h e r e d   A m o u n t & l t ; / K e y & g t ; & l t ; / D i a g r a m O b j e c t K e y & g t ; & l t ; D i a g r a m O b j e c t K e y & g t ; & l t ; K e y & g t ; C o l u m n s \ = 4 & l t ; / K e y & g t ; & l t ; / D i a g r a m O b j e c t K e y & g t ; & l t ; D i a g r a m O b j e c t K e y & g t ; & l t ; K e y & g t ; C o l u m n s \ C o m p l e t e d     W o r k   R e t e n t i o n   A m t & l t ; / K e y & g t ; & l t ; / D i a g r a m O b j e c t K e y & g t ; & l t ; D i a g r a m O b j e c t K e y & g t ; & l t ; K e y & g t ; C o l u m n s \ N o t 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P O   L i n e   # & l t ; / K e y & g t ; & l t ; / a : K e y & g t ; & l t ; a : V a l u e   i : t y p e = " M e a s u r e G r i d N o d e V i e w S t a t e " & g t ; & l t ; L a y e d O u t & g t ; t r u e & l t ; / L a y e d O u t & g t ; & l t ; / a : V a l u e & g t ; & l t ; / a : K e y V a l u e O f D i a g r a m O b j e c t K e y a n y T y p e z b w N T n L X & g t ; & l t ; a : K e y V a l u e O f D i a g r a m O b j e c t K e y a n y T y p e z b w N T n L X & g t ; & l t ; a : K e y & g t ; & l t ; K e y & g t ; C o l u m n s \ D e s c r i p t i o n & l t ; / K e y & g t ; & l t ; / a : K e y & g t ; & l t ; a : V a l u e   i : t y p e = " M e a s u r e G r i d N o d e V i e w S t a t e " & g t ; & l t ; C o l u m n & g t ; 1 & l t ; / C o l u m n & g t ; & l t ; L a y e d O u t & g t ; t r u e & l t ; / L a y e d O u t & g t ; & l t ; / a : V a l u e & g t ; & l t ; / a : K e y V a l u e O f D i a g r a m O b j e c t K e y a n y T y p e z b w N T n L X & g t ; & l t ; a : K e y V a l u e O f D i a g r a m O b j e c t K e y a n y T y p e z b w N T n L X & g t ; & l t ; a : K e y & g t ; & l t ; K e y & g t ; C o l u m n s \ E s t   D a t e & l t ; / K e y & g t ; & l t ; / a : K e y & g t ; & l t ; a : V a l u e   i : t y p e = " M e a s u r e G r i d N o d e V i e w S t a t e " & g t ; & l t ; C o l u m n & g t ; 2 & l t ; / C o l u m n & g t ; & l t ; L a y e d O u t & g t ; t r u e & l t ; / L a y e d O u t & g t ; & l t ; / a : V a l u e & g t ; & l t ; / a : K e y V a l u e O f D i a g r a m O b j e c t K e y a n y T y p e z b w N T n L X & g t ; & l t ; a : K e y V a l u e O f D i a g r a m O b j e c t K e y a n y T y p e z b w N T n L X & g t ; & l t ; a : K e y & g t ; & l t ; K e y & g t ; C o l u m n s \ P e r c e n t   C o m p l e t e & l t ; / K e y & g t ; & l t ; / a : K e y & g t ; & l t ; a : V a l u e   i : t y p e = " M e a s u r e G r i d N o d e V i e w S t a t e " & g t ; & l t ; C o l u m n & g t ; 3 & l t ; / C o l u m n & g t ; & l t ; L a y e d O u t & g t ; t r u e & l t ; / L a y e d O u t & g t ; & l t ; / a : V a l u e & g t ; & l t ; / a : K e y V a l u e O f D i a g r a m O b j e c t K e y a n y T y p e z b w N T n L X & g t ; & l t ; a : K e y V a l u e O f D i a g r a m O b j e c t K e y a n y T y p e z b w N T n L X & g t ; & l t ; a : K e y & g t ; & l t ; K e y & g t ; C o l u m n s \ # & l t ; / K e y & g t ; & l t ; / a : K e y & g t ; & l t ; a : V a l u e   i : t y p e = " M e a s u r e G r i d N o d e V i e w S t a t e " & g t ; & l t ; C o l u m n & g t ; 4 & l t ; / C o l u m n & g t ; & l t ; L a y e d O u t & g t ; t r u e & l t ; / L a y e d O u t & g t ; & l t ; / a : V a l u e & g t ; & l t ; / a : K e y V a l u e O f D i a g r a m O b j e c t K e y a n y T y p e z b w N T n L X & g t ; & l t ; a : K e y V a l u e O f D i a g r a m O b j e c t K e y a n y T y p e z b w N T n L X & g t ; & l t ; a : K e y & g t ; & l t ; K e y & g t ; C o l u m n s \ P O   L i n e   T o t a l & l t ; / K e y & g t ; & l t ; / a : K e y & g t ; & l t ; a : V a l u e   i : t y p e = " M e a s u r e G r i d N o d e V i e w S t a t e " & g t ; & l t ; C o l u m n & g t ; 5 & l t ; / C o l u m n & g t ; & l t ; L a y e d O u t & g t ; t r u e & l t ; / L a y e d O u t & g t ; & l t ; / a : V a l u e & g t ; & l t ; / a : K e y V a l u e O f D i a g r a m O b j e c t K e y a n y T y p e z b w N T n L X & g t ; & l t ; a : K e y V a l u e O f D i a g r a m O b j e c t K e y a n y T y p e z b w N T n L X & g t ; & l t ; a : K e y & g t ; & l t ; K e y & g t ; C o l u m n s \ = & l t ; / K e y & g t ; & l t ; / a : K e y & g t ; & l t ; a : V a l u e   i : t y p e = " M e a s u r e G r i d N o d e V i e w S t a t e " & g t ; & l t ; C o l u m n & g t ; 6 & l t ; / C o l u m n & g t ; & l t ; L a y e d O u t & g t ; t r u e & l t ; / L a y e d O u t & g t ; & l t ; / a : V a l u e & g t ; & l t ; / a : K e y V a l u e O f D i a g r a m O b j e c t K e y a n y T y p e z b w N T n L X & g t ; & l t ; a : K e y V a l u e O f D i a g r a m O b j e c t K e y a n y T y p e z b w N T n L X & g t ; & l t ; a : K e y & g t ; & l t ; K e y & g t ; C o l u m n s \ C o m p l e t e d   W o r k   A m t & l t ; / K e y & g t ; & l t ; / a : K e y & g t ; & l t ; a : V a l u e   i : t y p e = " M e a s u r e G r i d N o d e V i e w S t a t e " & g t ; & l t ; C o l u m n & g t ; 7 & l t ; / C o l u m n & g t ; & l t ; L a y e d O u t & g t ; t r u e & l t ; / L a y e d O u t & g t ; & l t ; / a : V a l u e & g t ; & l t ; / a : K e y V a l u e O f D i a g r a m O b j e c t K e y a n y T y p e z b w N T n L X & g t ; & l t ; a : K e y V a l u e O f D i a g r a m O b j e c t K e y a n y T y p e z b w N T n L X & g t ; & l t ; a : K e y & g t ; & l t ; K e y & g t ; C o l u m n s \ c & l t ; / K e y & g t ; & l t ; / a : K e y & g t ; & l t ; a : V a l u e   i : t y p e = " M e a s u r e G r i d N o d e V i e w S t a t e " & g t ; & l t ; C o l u m n & g t ; 8 & l t ; / C o l u m n & g t ; & l t ; L a y e d O u t & g t ; t r u e & l t ; / L a y e d O u t & g t ; & l t ; / a : V a l u e & g t ; & l t ; / a : K e y V a l u e O f D i a g r a m O b j e c t K e y a n y T y p e z b w N T n L X & g t ; & l t ; a : K e y V a l u e O f D i a g r a m O b j e c t K e y a n y T y p e z b w N T n L X & g t ; & l t ; a : K e y & g t ; & l t ; K e y & g t ; C o l u m n s \ C o m p l e t e d   W o r k   A m t 2 & l t ; / K e y & g t ; & l t ; / a : K e y & g t ; & l t ; a : V a l u e   i : t y p e = " M e a s u r e G r i d N o d e V i e w S t a t e " & g t ; & l t ; C o l u m n & g t ; 9 & l t ; / C o l u m n & g t ; & l t ; L a y e d O u t & g t ; t r u e & l t ; / L a y e d O u t & g t ; & l t ; / a : V a l u e & g t ; & l t ; / a : K e y V a l u e O f D i a g r a m O b j e c t K e y a n y T y p e z b w N T n L X & g t ; & l t ; a : K e y V a l u e O f D i a g r a m O b j e c t K e y a n y T y p e z b w N T n L X & g t ; & l t ; a : K e y & g t ; & l t ; K e y & g t ; C o l u m n s \ - & l t ; / K e y & g t ; & l t ; / a : K e y & g t ; & l t ; a : V a l u e   i : t y p e = " M e a s u r e G r i d N o d e V i e w S t a t e " & g t ; & l t ; C o l u m n & g t ; 1 0 & l t ; / C o l u m n & g t ; & l t ; L a y e d O u t & g t ; t r u e & l t ; / L a y e d O u t & g t ; & l t ; / a : V a l u e & g t ; & l t ; / a : K e y V a l u e O f D i a g r a m O b j e c t K e y a n y T y p e z b w N T n L X & g t ; & l t ; a : K e y V a l u e O f D i a g r a m O b j e c t K e y a n y T y p e z b w N T n L X & g t ; & l t ; a : K e y & g t ; & l t ; K e y & g t ; C o l u m n s \ E l i g i b l e   f o r   V o u c h e r   A m t & l t ; / K e y & g t ; & l t ; / a : K e y & g t ; & l t ; a : V a l u e   i : t y p e = " M e a s u r e G r i d N o d e V i e w S t a t e " & g t ; & l t ; C o l u m n & g t ; 1 1 & l t ; / C o l u m n & g t ; & l t ; L a y e d O u t & g t ; t r u e & l t ; / L a y e d O u t & g t ; & l t ; / a : V a l u e & g t ; & l t ; / a : K e y V a l u e O f D i a g r a m O b j e c t K e y a n y T y p e z b w N T n L X & g t ; & l t ; a : K e y V a l u e O f D i a g r a m O b j e c t K e y a n y T y p e z b w N T n L X & g t ; & l t ; a : K e y & g t ; & l t ; K e y & g t ; C o l u m n s \ - 3 & l t ; / K e y & g t ; & l t ; / a : K e y & g t ; & l t ; a : V a l u e   i : t y p e = " M e a s u r e G r i d N o d e V i e w S t a t e " & g t ; & l t ; C o l u m n & g t ; 1 2 & l t ; / C o l u m n & g t ; & l t ; L a y e d O u t & g t ; t r u e & l t ; / L a y e d O u t & g t ; & l t ; / a : V a l u e & g t ; & l t ; / a : K e y V a l u e O f D i a g r a m O b j e c t K e y a n y T y p e z b w N T n L X & g t ; & l t ; a : K e y V a l u e O f D i a g r a m O b j e c t K e y a n y T y p e z b w N T n L X & g t ; & l t ; a : K e y & g t ; & l t ; K e y & g t ; C o l u m n s \ P r e v   V o u c h e r e d   A m o u n t & l t ; / K e y & g t ; & l t ; / a : K e y & g t ; & l t ; a : V a l u e   i : t y p e = " M e a s u r e G r i d N o d e V i e w S t a t e " & g t ; & l t ; C o l u m n & g t ; 1 3 & l t ; / C o l u m n & g t ; & l t ; L a y e d O u t & g t ; t r u e & l t ; / L a y e d O u t & g t ; & l t ; / a : V a l u e & g t ; & l t ; / a : K e y V a l u e O f D i a g r a m O b j e c t K e y a n y T y p e z b w N T n L X & g t ; & l t ; a : K e y V a l u e O f D i a g r a m O b j e c t K e y a n y T y p e z b w N T n L X & g t ; & l t ; a : K e y & g t ; & l t ; K e y & g t ; C o l u m n s \ = 4 & l t ; / K e y & g t ; & l t ; / a : K e y & g t ; & l t ; a : V a l u e   i : t y p e = " M e a s u r e G r i d N o d e V i e w S t a t e " & g t ; & l t ; C o l u m n & g t ; 1 4 & l t ; / C o l u m n & g t ; & l t ; L a y e d O u t & g t ; t r u e & l t ; / L a y e d O u t & g t ; & l t ; / a : V a l u e & g t ; & l t ; / a : K e y V a l u e O f D i a g r a m O b j e c t K e y a n y T y p e z b w N T n L X & g t ; & l t ; a : K e y V a l u e O f D i a g r a m O b j e c t K e y a n y T y p e z b w N T n L X & g t ; & l t ; a : K e y & g t ; & l t ; K e y & g t ; C o l u m n s \ C o m p l e t e d     W o r k   R e t e n t i o n   A m t & l t ; / K e y & g t ; & l t ; / a : K e y & g t ; & l t ; a : V a l u e   i : t y p e = " M e a s u r e G r i d N o d e V i e w S t a t e " & g t ; & l t ; C o l u m n & g t ; 1 5 & l t ; / C o l u m n & g t ; & l t ; L a y e d O u t & g t ; t r u e & l t ; / L a y e d O u t & g t ; & l t ; / a : V a l u e & g t ; & l t ; / a : K e y V a l u e O f D i a g r a m O b j e c t K e y a n y T y p e z b w N T n L X & g t ; & l t ; a : K e y V a l u e O f D i a g r a m O b j e c t K e y a n y T y p e z b w N T n L X & g t ; & l t ; a : K e y & g t ; & l t ; K e y & g t ; C o l u m n s \ N o t e & l t ; / K e y & g t ; & l t ; / a : K e y & g t ; & l t ; a : V a l u e   i : t y p e = " M e a s u r e G r i d N o d e V i e w S t a t e " & g t ; & l t ; C o l u m n & g t ; 1 6 & l t ; / C o l u m n & g t ; & l t ; L a y e d O u t & g t ; t r u e & l t ; / L a y e d O u t & g t ; & l t ; / a : V a l u e & g t ; & l t ; / a : K e y V a l u e O f D i a g r a m O b j e c t K e y a n y T y p e z b w N T n L X & g t ; & l t ; / V i e w S t a t e s & g t ; & l t ; / D i a g r a m M a n a g e r . S e r i a l i z a b l e D i a g r a m & g t ; & l t ; D i a g r a m M a n a g e r . S e r i a l i z a b l e D i a g r a m & g t ; & l t ; A d a p t e r   i : t y p e = " M e a s u r e D i a g r a m S a n d b o x A d a p t e r " & g t ; & l t ; T a b l e N a m e & g t ; C a v i t y S t a t u 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 i : t y p e = " S a n d b o x E d i t o r M e a s u r e G r i d K e y " & g t ; & l t ; T a b l e N a m e & g t ; C a v i t y S t a t u s & l t ; / T a b l e N a m e & g t ; & l t ; / K e y & g t ; & l t ; M a i n t a i n e r 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 M / S # & l t ; / K e y & g t ; & l t ; / D i a g r a m O b j e c t K e y & g t ; & l t ; D i a g r a m O b j e c t K e y & g t ; & l t ; K e y & g t ; M e a s u r e s \ S u m   o f   M / S # \ T a g I n f o \ F o r m u l a & l t ; / K e y & g t ; & l t ; / D i a g r a m O b j e c t K e y & g t ; & l t ; D i a g r a m O b j e c t K e y & g t ; & l t ; K e y & g t ; M e a s u r e s \ S u m   o f   M / S # \ T a g I n f o \ V a l u e & l t ; / K e y & g t ; & l t ; / D i a g r a m O b j e c t K e y & g t ; & l t ; D i a g r a m O b j e c t K e y & g t ; & l t ; K e y & g t ; M e a s u r e s \ C o u n t   o f   H o l d   P o i n t   1 & l t ; / K e y & g t ; & l t ; / D i a g r a m O b j e c t K e y & g t ; & l t ; D i a g r a m O b j e c t K e y & g t ; & l t ; K e y & g t ; M e a s u r e s \ C o u n t   o f   H o l d   P o i n t   1 \ T a g I n f o \ F o r m u l a & l t ; / K e y & g t ; & l t ; / D i a g r a m O b j e c t K e y & g t ; & l t ; D i a g r a m O b j e c t K e y & g t ; & l t ; K e y & g t ; M e a s u r e s \ C o u n t   o f   H o l d   P o i n t   1 \ T a g I n f o \ V a l u e & l t ; / K e y & g t ; & l t ; / D i a g r a m O b j e c t K e y & g t ; & l t ; D i a g r a m O b j e c t K e y & g t ; & l t ; K e y & g t ; M e a s u r e s \ C o u n t   o f   H o l d   P o i n t   2 & l t ; / K e y & g t ; & l t ; / D i a g r a m O b j e c t K e y & g t ; & l t ; D i a g r a m O b j e c t K e y & g t ; & l t ; K e y & g t ; M e a s u r e s \ C o u n t   o f   H o l d   P o i n t   2 \ T a g I n f o \ F o r m u l a & l t ; / K e y & g t ; & l t ; / D i a g r a m O b j e c t K e y & g t ; & l t ; D i a g r a m O b j e c t K e y & g t ; & l t ; K e y & g t ; M e a s u r e s \ C o u n t   o f   H o l d   P o i n t   2 \ T a g I n f o \ V a l u e & l t ; / K e y & g t ; & l t ; / D i a g r a m O b j e c t K e y & g t ; & l t ; D i a g r a m O b j e c t K e y & g t ; & l t ; K e y & g t ; M e a s u r e s \ C o u n t   o f   H o l d   P o i n t   3 & l t ; / K e y & g t ; & l t ; / D i a g r a m O b j e c t K e y & g t ; & l t ; D i a g r a m O b j e c t K e y & g t ; & l t ; K e y & g t ; M e a s u r e s \ C o u n t   o f   H o l d   P o i n t   3 \ T a g I n f o \ F o r m u l a & l t ; / K e y & g t ; & l t ; / D i a g r a m O b j e c t K e y & g t ; & l t ; D i a g r a m O b j e c t K e y & g t ; & l t ; K e y & g t ; M e a s u r e s \ C o u n t   o f   H o l d   P o i n t   3 \ T a g I n f o \ V a l u e & l t ; / K e y & g t ; & l t ; / D i a g r a m O b j e c t K e y & g t ; & l t ; D i a g r a m O b j e c t K e y & g t ; & l t ; K e y & g t ; M e a s u r e s \ C o u n t   o f   S h i p   D a t e & l t ; / K e y & g t ; & l t ; / D i a g r a m O b j e c t K e y & g t ; & l t ; D i a g r a m O b j e c t K e y & g t ; & l t ; K e y & g t ; M e a s u r e s \ C o u n t   o f   S h i p   D a t e \ T a g I n f o \ F o r m u l a & l t ; / K e y & g t ; & l t ; / D i a g r a m O b j e c t K e y & g t ; & l t ; D i a g r a m O b j e c t K e y & g t ; & l t ; K e y & g t ; M e a s u r e s \ C o u n t   o f   S h i p   D a t e \ T a g I n f o \ V a l u e & l t ; / K e y & g t ; & l t ; / D i a g r a m O b j e c t K e y & g t ; & l t ; D i a g r a m O b j e c t K e y & g t ; & l t ; K e y & g t ; M e a s u r e s \ C o u n t   o f   S h i p   D a t e   ( M o n t h ) & l t ; / K e y & g t ; & l t ; / D i a g r a m O b j e c t K e y & g t ; & l t ; D i a g r a m O b j e c t K e y & g t ; & l t ; K e y & g t ; M e a s u r e s \ C o u n t   o f   S h i p   D a t e   ( M o n t h ) \ T a g I n f o \ F o r m u l a & l t ; / K e y & g t ; & l t ; / D i a g r a m O b j e c t K e y & g t ; & l t ; D i a g r a m O b j e c t K e y & g t ; & l t ; K e y & g t ; M e a s u r e s \ C o u n t   o f   S h i p   D a t e   ( M o n t h ) \ T a g I n f o \ V a l u e & l t ; / K e y & g t ; & l t ; / D i a g r a m O b j e c t K e y & g t ; & l t ; D i a g r a m O b j e c t K e y & g t ; & l t ; K e y & g t ; M e a s u r e s \ C o u n t   o f   C a v i t y   S / N & l t ; / K e y & g t ; & l t ; / D i a g r a m O b j e c t K e y & g t ; & l t ; D i a g r a m O b j e c t K e y & g t ; & l t ; K e y & g t ; M e a s u r e s \ C o u n t   o f   C a v i t y   S / N \ T a g I n f o \ F o r m u l a & l t ; / K e y & g t ; & l t ; / D i a g r a m O b j e c t K e y & g t ; & l t ; D i a g r a m O b j e c t K e y & g t ; & l t ; K e y & g t ; M e a s u r e s \ C o u n t   o f   C a v i t y   S / N \ T a g I n f o \ V a l u e & l t ; / K e y & g t ; & l t ; / D i a g r a m O b j e c t K e y & g t ; & l t ; D i a g r a m O b j e c t K e y & g t ; & l t ; K e y & g t ; M e a s u r e s \ C o u n t   o f   S t a t u s & l t ; / K e y & g t ; & l t ; / D i a g r a m O b j e c t K e y & g t ; & l t ; D i a g r a m O b j e c t K e y & g t ; & l t ; K e y & g t ; M e a s u r e s \ C o u n t   o f   S t a t u s \ T a g I n f o \ F o r m u l a & l t ; / K e y & g t ; & l t ; / D i a g r a m O b j e c t K e y & g t ; & l t ; D i a g r a m O b j e c t K e y & g t ; & l t ; K e y & g t ; M e a s u r e s \ C o u n t   o f   S t a t u s \ T a g I n f o \ V a l u e & l t ; / K e y & g t ; & l t ; / D i a g r a m O b j e c t K e y & g t ; & l t ; D i a g r a m O b j e c t K e y & g t ; & l t ; K e y & g t ; C o l u m n s \ C a v i t y   S / N & l t ; / K e y & g t ; & l t ; / D i a g r a m O b j e c t K e y & g t ; & l t ; D i a g r a m O b j e c t K e y & g t ; & l t ; K e y & g t ; C o l u m n s \ M / S # & l t ; / K e y & g t ; & l t ; / D i a g r a m O b j e c t K e y & g t ; & l t ; D i a g r a m O b j e c t K e y & g t ; & l t ; K e y & g t ; C o l u m n s \ M a t e r i a l & l t ; / K e y & g t ; & l t ; / D i a g r a m O b j e c t K e y & g t ; & l t ; D i a g r a m O b j e c t K e y & g t ; & l t ; K e y & g t ; C o l u m n s \ E P & l t ; / K e y & g t ; & l t ; / D i a g r a m O b j e c t K e y & g t ; & l t ; D i a g r a m O b j e c t K e y & g t ; & l t ; K e y & g t ; C o l u m n s \ H e a t & l t ; / K e y & g t ; & l t ; / D i a g r a m O b j e c t K e y & g t ; & l t ; D i a g r a m O b j e c t K e y & g t ; & l t ; K e y & g t ; C o l u m n s \ C a p s & l t ; / K e y & g t ; & l t ; / D i a g r a m O b j e c t K e y & g t ; & l t ; D i a g r a m O b j e c t K e y & g t ; & l t ; K e y & g t ; C o l u m n s \ C o m m e n t s & l t ; / K e y & g t ; & l t ; / D i a g r a m O b j e c t K e y & g t ; & l t ; D i a g r a m O b j e c t K e y & g t ; & l t ; K e y & g t ; C o l u m n s \ H o l d   P o i n t   1 & l t ; / K e y & g t ; & l t ; / D i a g r a m O b j e c t K e y & g t ; & l t ; D i a g r a m O b j e c t K e y & g t ; & l t ; K e y & g t ; C o l u m n s \ H o l d   P o i n t   2 & l t ; / K e y & g t ; & l t ; / D i a g r a m O b j e c t K e y & g t ; & l t ; D i a g r a m O b j e c t K e y & g t ; & l t ; K e y & g t ; C o l u m n s \ H o l d   P o i n t   3 & l t ; / K e y & g t ; & l t ; / D i a g r a m O b j e c t K e y & g t ; & l t ; D i a g r a m O b j e c t K e y & g t ; & l t ; K e y & g t ; C o l u m n s \ N C R s & l t ; / K e y & g t ; & l t ; / D i a g r a m O b j e c t K e y & g t ; & l t ; D i a g r a m O b j e c t K e y & g t ; & l t ; K e y & g t ; C o l u m n s \ N C R   C o m m e n t s & l t ; / K e y & g t ; & l t ; / D i a g r a m O b j e c t K e y & g t ; & l t ; D i a g r a m O b j e c t K e y & g t ; & l t ; K e y & g t ; C o l u m n s \ S h i p p i n g   D e s t i n a t i o n & l t ; / K e y & g t ; & l t ; / D i a g r a m O b j e c t K e y & g t ; & l t ; D i a g r a m O b j e c t K e y & g t ; & l t ; K e y & g t ; C o l u m n s \ S h i p   D a t e & l t ; / K e y & g t ; & l t ; / D i a g r a m O b j e c t K e y & g t ; & l t ; D i a g r a m O b j e c t K e y & g t ; & l t ; K e y & g t ; C o l u m n s \ R e c e i p t   D a t e & l t ; / K e y & g t ; & l t ; / D i a g r a m O b j e c t K e y & g t ; & l t ; D i a g r a m O b j e c t K e y & g t ; & l t ; K e y & g t ; C o l u m n s \ Q & l t ; / K e y & g t ; & l t ; / D i a g r a m O b j e c t K e y & g t ; & l t ; D i a g r a m O b j e c t K e y & g t ; & l t ; K e y & g t ; C o l u m n s \ S t a t u s & l t ; / K e y & g t ; & l t ; / D i a g r a m O b j e c t K e y & g t ; & l t ; D i a g r a m O b j e c t K e y & g t ; & l t ; K e y & g t ; C o l u m n s \ N o t e s & l t ; / K e y & g t ; & l t ; / D i a g r a m O b j e c t K e y & g t ; & l t ; D i a g r a m O b j e c t K e y & g t ; & l t ; K e y & g t ; C o l u m n s \ S h i p   D a t e   ( M o n t h   I n d e x ) & l t ; / K e y & g t ; & l t ; / D i a g r a m O b j e c t K e y & g t ; & l t ; D i a g r a m O b j e c t K e y & g t ; & l t ; K e y & g t ; C o l u m n s \ S h i p   D a t e   ( M o n t h ) & l t ; / K e y & g t ; & l t ; / D i a g r a m O b j e c t K e y & g t ; & l t ; D i a g r a m O b j e c t K e y & g t ; & l t ; K e y & g t ; L i n k s \ & a m p ; l t ; C o l u m n s \ S u m   o f   M / S # & a m p ; g t ; - & a m p ; l t ; M e a s u r e s \ M / S # & a m p ; g t ; & l t ; / K e y & g t ; & l t ; / D i a g r a m O b j e c t K e y & g t ; & l t ; D i a g r a m O b j e c t K e y & g t ; & l t ; K e y & g t ; L i n k s \ & a m p ; l t ; C o l u m n s \ S u m   o f   M / S # & a m p ; g t ; - & a m p ; l t ; M e a s u r e s \ M / S # & a m p ; g t ; \ C O L U M N & l t ; / K e y & g t ; & l t ; / D i a g r a m O b j e c t K e y & g t ; & l t ; D i a g r a m O b j e c t K e y & g t ; & l t ; K e y & g t ; L i n k s \ & a m p ; l t ; C o l u m n s \ S u m   o f   M / S # & a m p ; g t ; - & a m p ; l t ; M e a s u r e s \ M / S # & a m p ; g t ; \ M E A S U R E & l t ; / K e y & g t ; & l t ; / D i a g r a m O b j e c t K e y & g t ; & l t ; D i a g r a m O b j e c t K e y & g t ; & l t ; K e y & g t ; L i n k s \ & a m p ; l t ; C o l u m n s \ C o u n t   o f   H o l d   P o i n t   1 & a m p ; g t ; - & a m p ; l t ; M e a s u r e s \ H o l d   P o i n t   1 & a m p ; g t ; & l t ; / K e y & g t ; & l t ; / D i a g r a m O b j e c t K e y & g t ; & l t ; D i a g r a m O b j e c t K e y & g t ; & l t ; K e y & g t ; L i n k s \ & a m p ; l t ; C o l u m n s \ C o u n t   o f   H o l d   P o i n t   1 & a m p ; g t ; - & a m p ; l t ; M e a s u r e s \ H o l d   P o i n t   1 & a m p ; g t ; \ C O L U M N & l t ; / K e y & g t ; & l t ; / D i a g r a m O b j e c t K e y & g t ; & l t ; D i a g r a m O b j e c t K e y & g t ; & l t ; K e y & g t ; L i n k s \ & a m p ; l t ; C o l u m n s \ C o u n t   o f   H o l d   P o i n t   1 & a m p ; g t ; - & a m p ; l t ; M e a s u r e s \ H o l d   P o i n t   1 & a m p ; g t ; \ M E A S U R E & l t ; / K e y & g t ; & l t ; / D i a g r a m O b j e c t K e y & g t ; & l t ; D i a g r a m O b j e c t K e y & g t ; & l t ; K e y & g t ; L i n k s \ & a m p ; l t ; C o l u m n s \ C o u n t   o f   H o l d   P o i n t   2 & a m p ; g t ; - & a m p ; l t ; M e a s u r e s \ H o l d   P o i n t   2 & a m p ; g t ; & l t ; / K e y & g t ; & l t ; / D i a g r a m O b j e c t K e y & g t ; & l t ; D i a g r a m O b j e c t K e y & g t ; & l t ; K e y & g t ; L i n k s \ & a m p ; l t ; C o l u m n s \ C o u n t   o f   H o l d   P o i n t   2 & a m p ; g t ; - & a m p ; l t ; M e a s u r e s \ H o l d   P o i n t   2 & a m p ; g t ; \ C O L U M N & l t ; / K e y & g t ; & l t ; / D i a g r a m O b j e c t K e y & g t ; & l t ; D i a g r a m O b j e c t K e y & g t ; & l t ; K e y & g t ; L i n k s \ & a m p ; l t ; C o l u m n s \ C o u n t   o f   H o l d   P o i n t   2 & a m p ; g t ; - & a m p ; l t ; M e a s u r e s \ H o l d   P o i n t   2 & a m p ; g t ; \ M E A S U R E & l t ; / K e y & g t ; & l t ; / D i a g r a m O b j e c t K e y & g t ; & l t ; D i a g r a m O b j e c t K e y & g t ; & l t ; K e y & g t ; L i n k s \ & a m p ; l t ; C o l u m n s \ C o u n t   o f   H o l d   P o i n t   3 & a m p ; g t ; - & a m p ; l t ; M e a s u r e s \ H o l d   P o i n t   3 & a m p ; g t ; & l t ; / K e y & g t ; & l t ; / D i a g r a m O b j e c t K e y & g t ; & l t ; D i a g r a m O b j e c t K e y & g t ; & l t ; K e y & g t ; L i n k s \ & a m p ; l t ; C o l u m n s \ C o u n t   o f   H o l d   P o i n t   3 & a m p ; g t ; - & a m p ; l t ; M e a s u r e s \ H o l d   P o i n t   3 & a m p ; g t ; \ C O L U M N & l t ; / K e y & g t ; & l t ; / D i a g r a m O b j e c t K e y & g t ; & l t ; D i a g r a m O b j e c t K e y & g t ; & l t ; K e y & g t ; L i n k s \ & a m p ; l t ; C o l u m n s \ C o u n t   o f   H o l d   P o i n t   3 & a m p ; g t ; - & a m p ; l t ; M e a s u r e s \ H o l d   P o i n t   3 & a m p ; g t ; \ M E A S U R E & l t ; / K e y & g t ; & l t ; / D i a g r a m O b j e c t K e y & g t ; & l t ; D i a g r a m O b j e c t K e y & g t ; & l t ; K e y & g t ; L i n k s \ & a m p ; l t ; C o l u m n s \ C o u n t   o f   S h i p   D a t e & a m p ; g t ; - & a m p ; l t ; M e a s u r e s \ S h i p   D a t e & a m p ; g t ; & l t ; / K e y & g t ; & l t ; / D i a g r a m O b j e c t K e y & g t ; & l t ; D i a g r a m O b j e c t K e y & g t ; & l t ; K e y & g t ; L i n k s \ & a m p ; l t ; C o l u m n s \ C o u n t   o f   S h i p   D a t e & a m p ; g t ; - & a m p ; l t ; M e a s u r e s \ S h i p   D a t e & a m p ; g t ; \ C O L U M N & l t ; / K e y & g t ; & l t ; / D i a g r a m O b j e c t K e y & g t ; & l t ; D i a g r a m O b j e c t K e y & g t ; & l t ; K e y & g t ; L i n k s \ & a m p ; l t ; C o l u m n s \ C o u n t   o f   S h i p   D a t e & a m p ; g t ; - & a m p ; l t ; M e a s u r e s \ S h i p   D a t e & a m p ; g t ; \ M E A S U R E & l t ; / K e y & g t ; & l t ; / D i a g r a m O b j e c t K e y & g t ; & l t ; D i a g r a m O b j e c t K e y & g t ; & l t ; K e y & g t ; L i n k s \ & a m p ; l t ; C o l u m n s \ C o u n t   o f   S h i p   D a t e   ( M o n t h ) & a m p ; g t ; - & a m p ; l t ; M e a s u r e s \ S h i p   D a t e   ( M o n t h ) & a m p ; g t ; & l t ; / K e y & g t ; & l t ; / D i a g r a m O b j e c t K e y & g t ; & l t ; D i a g r a m O b j e c t K e y & g t ; & l t ; K e y & g t ; L i n k s \ & a m p ; l t ; C o l u m n s \ C o u n t   o f   S h i p   D a t e   ( M o n t h ) & a m p ; g t ; - & a m p ; l t ; M e a s u r e s \ S h i p   D a t e   ( M o n t h ) & a m p ; g t ; \ C O L U M N & l t ; / K e y & g t ; & l t ; / D i a g r a m O b j e c t K e y & g t ; & l t ; D i a g r a m O b j e c t K e y & g t ; & l t ; K e y & g t ; L i n k s \ & a m p ; l t ; C o l u m n s \ C o u n t   o f   S h i p   D a t e   ( M o n t h ) & a m p ; g t ; - & a m p ; l t ; M e a s u r e s \ S h i p   D a t e   ( M o n t h ) & a m p ; g t ; \ M E A S U R E & l t ; / K e y & g t ; & l t ; / D i a g r a m O b j e c t K e y & g t ; & l t ; D i a g r a m O b j e c t K e y & g t ; & l t ; K e y & g t ; L i n k s \ & a m p ; l t ; C o l u m n s \ C o u n t   o f   C a v i t y   S / N & a m p ; g t ; - & a m p ; l t ; M e a s u r e s \ C a v i t y   S / N & a m p ; g t ; & l t ; / K e y & g t ; & l t ; / D i a g r a m O b j e c t K e y & g t ; & l t ; D i a g r a m O b j e c t K e y & g t ; & l t ; K e y & g t ; L i n k s \ & a m p ; l t ; C o l u m n s \ C o u n t   o f   C a v i t y   S / N & a m p ; g t ; - & a m p ; l t ; M e a s u r e s \ C a v i t y   S / N & a m p ; g t ; \ C O L U M N & l t ; / K e y & g t ; & l t ; / D i a g r a m O b j e c t K e y & g t ; & l t ; D i a g r a m O b j e c t K e y & g t ; & l t ; K e y & g t ; L i n k s \ & a m p ; l t ; C o l u m n s \ C o u n t   o f   C a v i t y   S / N & a m p ; g t ; - & a m p ; l t ; M e a s u r e s \ C a v i t y   S / N & a m p ; g t ; \ M E A S U R E & l t ; / K e y & g t ; & l t ; / D i a g r a m O b j e c t K e y & g t ; & l t ; D i a g r a m O b j e c t K e y & g t ; & l t ; K e y & g t ; L i n k s \ & a m p ; l t ; C o l u m n s \ C o u n t   o f   S t a t u s & a m p ; g t ; - & a m p ; l t ; M e a s u r e s \ S t a t u s & a m p ; g t ; & l t ; / K e y & g t ; & l t ; / D i a g r a m O b j e c t K e y & g t ; & l t ; D i a g r a m O b j e c t K e y & g t ; & l t ; K e y & g t ; L i n k s \ & a m p ; l t ; C o l u m n s \ C o u n t   o f   S t a t u s & a m p ; g t ; - & a m p ; l t ; M e a s u r e s \ S t a t u s & a m p ; g t ; \ C O L U M N & l t ; / K e y & g t ; & l t ; / D i a g r a m O b j e c t K e y & g t ; & l t ; D i a g r a m O b j e c t K e y & g t ; & l t ; K e y & g t ; L i n k s \ & a m p ; l t ; C o l u m n s \ C o u n t   o f   S t a t u s & a m p ; g t ; - & a m p ; l t ; M e a s u r e s \ S t a t u s & 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 M / S # & l t ; / K e y & g t ; & l t ; / a : K e y & g t ; & l t ; a : V a l u e   i : t y p e = " M e a s u r e G r i d N o d e V i e w S t a t e " & g t ; & l t ; C o l u m n & g t ; 1 & l t ; / C o l u m n & g t ; & l t ; L a y e d O u t & g t ; t r u e & l t ; / L a y e d O u t & g t ; & l t ; W a s U I I n v i s i b l e & g t ; t r u e & l t ; / W a s U I I n v i s i b l e & g t ; & l t ; / a : V a l u e & g t ; & l t ; / a : K e y V a l u e O f D i a g r a m O b j e c t K e y a n y T y p e z b w N T n L X & g t ; & l t ; a : K e y V a l u e O f D i a g r a m O b j e c t K e y a n y T y p e z b w N T n L X & g t ; & l t ; a : K e y & g t ; & l t ; K e y & g t ; M e a s u r e s \ S u m   o f   M / S # \ T a g I n f o \ F o r m u l a & l t ; / K e y & g t ; & l t ; / a : K e y & g t ; & l t ; a : V a l u e   i : t y p e = " M e a s u r e G r i d V i e w S t a t e I D i a g r a m T a g A d d i t i o n a l I n f o " / & g t ; & l t ; / a : K e y V a l u e O f D i a g r a m O b j e c t K e y a n y T y p e z b w N T n L X & g t ; & l t ; a : K e y V a l u e O f D i a g r a m O b j e c t K e y a n y T y p e z b w N T n L X & g t ; & l t ; a : K e y & g t ; & l t ; K e y & g t ; M e a s u r e s \ S u m   o f   M / S # \ T a g I n f o \ V a l u e & l t ; / K e y & g t ; & l t ; / a : K e y & g t ; & l t ; a : V a l u e   i : t y p e = " M e a s u r e G r i d V i e w S t a t e I D i a g r a m T a g A d d i t i o n a l I n f o " / & g t ; & l t ; / a : K e y V a l u e O f D i a g r a m O b j e c t K e y a n y T y p e z b w N T n L X & g t ; & l t ; a : K e y V a l u e O f D i a g r a m O b j e c t K e y a n y T y p e z b w N T n L X & g t ; & l t ; a : K e y & g t ; & l t ; K e y & g t ; M e a s u r e s \ C o u n t   o f   H o l d   P o i n t   1 & l t ; / K e y & g t ; & l t ; / a : K e y & g t ; & l t ; a : V a l u e   i : t y p e = " M e a s u r e G r i d N o d e V i e w S t a t e " & g t ; & l t ; C o l u m n & g t ; 7 & l t ; / C o l u m n & g t ; & l t ; L a y e d O u t & g t ; t r u e & l t ; / L a y e d O u t & g t ; & l t ; W a s U I I n v i s i b l e & g t ; t r u e & l t ; / W a s U I I n v i s i b l e & g t ; & l t ; / a : V a l u e & g t ; & l t ; / a : K e y V a l u e O f D i a g r a m O b j e c t K e y a n y T y p e z b w N T n L X & g t ; & l t ; a : K e y V a l u e O f D i a g r a m O b j e c t K e y a n y T y p e z b w N T n L X & g t ; & l t ; a : K e y & g t ; & l t ; K e y & g t ; M e a s u r e s \ C o u n t   o f   H o l d   P o i n t   1 \ T a g I n f o \ F o r m u l a & l t ; / K e y & g t ; & l t ; / a : K e y & g t ; & l t ; a : V a l u e   i : t y p e = " M e a s u r e G r i d V i e w S t a t e I D i a g r a m T a g A d d i t i o n a l I n f o " / & g t ; & l t ; / a : K e y V a l u e O f D i a g r a m O b j e c t K e y a n y T y p e z b w N T n L X & g t ; & l t ; a : K e y V a l u e O f D i a g r a m O b j e c t K e y a n y T y p e z b w N T n L X & g t ; & l t ; a : K e y & g t ; & l t ; K e y & g t ; M e a s u r e s \ C o u n t   o f   H o l d   P o i n t   1 \ T a g I n f o \ V a l u e & l t ; / K e y & g t ; & l t ; / a : K e y & g t ; & l t ; a : V a l u e   i : t y p e = " M e a s u r e G r i d V i e w S t a t e I D i a g r a m T a g A d d i t i o n a l I n f o " / & g t ; & l t ; / a : K e y V a l u e O f D i a g r a m O b j e c t K e y a n y T y p e z b w N T n L X & g t ; & l t ; a : K e y V a l u e O f D i a g r a m O b j e c t K e y a n y T y p e z b w N T n L X & g t ; & l t ; a : K e y & g t ; & l t ; K e y & g t ; M e a s u r e s \ C o u n t   o f   H o l d   P o i n t   2 & l t ; / K e y & g t ; & l t ; / a : K e y & g t ; & l t ; a : V a l u e   i : t y p e = " M e a s u r e G r i d N o d e V i e w S t a t e " & g t ; & l t ; C o l u m n & g t ; 8 & l t ; / C o l u m n & g t ; & l t ; L a y e d O u t & g t ; t r u e & l t ; / L a y e d O u t & g t ; & l t ; W a s U I I n v i s i b l e & g t ; t r u e & l t ; / W a s U I I n v i s i b l e & g t ; & l t ; / a : V a l u e & g t ; & l t ; / a : K e y V a l u e O f D i a g r a m O b j e c t K e y a n y T y p e z b w N T n L X & g t ; & l t ; a : K e y V a l u e O f D i a g r a m O b j e c t K e y a n y T y p e z b w N T n L X & g t ; & l t ; a : K e y & g t ; & l t ; K e y & g t ; M e a s u r e s \ C o u n t   o f   H o l d   P o i n t   2 \ T a g I n f o \ F o r m u l a & l t ; / K e y & g t ; & l t ; / a : K e y & g t ; & l t ; a : V a l u e   i : t y p e = " M e a s u r e G r i d V i e w S t a t e I D i a g r a m T a g A d d i t i o n a l I n f o " / & g t ; & l t ; / a : K e y V a l u e O f D i a g r a m O b j e c t K e y a n y T y p e z b w N T n L X & g t ; & l t ; a : K e y V a l u e O f D i a g r a m O b j e c t K e y a n y T y p e z b w N T n L X & g t ; & l t ; a : K e y & g t ; & l t ; K e y & g t ; M e a s u r e s \ C o u n t   o f   H o l d   P o i n t   2 \ T a g I n f o \ V a l u e & l t ; / K e y & g t ; & l t ; / a : K e y & g t ; & l t ; a : V a l u e   i : t y p e = " M e a s u r e G r i d V i e w S t a t e I D i a g r a m T a g A d d i t i o n a l I n f o " / & g t ; & l t ; / a : K e y V a l u e O f D i a g r a m O b j e c t K e y a n y T y p e z b w N T n L X & g t ; & l t ; a : K e y V a l u e O f D i a g r a m O b j e c t K e y a n y T y p e z b w N T n L X & g t ; & l t ; a : K e y & g t ; & l t ; K e y & g t ; M e a s u r e s \ C o u n t   o f   H o l d   P o i n t   3 & l t ; / K e y & g t ; & l t ; / a : K e y & g t ; & l t ; a : V a l u e   i : t y p e = " M e a s u r e G r i d N o d e V i e w S t a t e " & g t ; & l t ; C o l u m n & g t ; 9 & l t ; / C o l u m n & g t ; & l t ; L a y e d O u t & g t ; t r u e & l t ; / L a y e d O u t & g t ; & l t ; W a s U I I n v i s i b l e & g t ; t r u e & l t ; / W a s U I I n v i s i b l e & g t ; & l t ; / a : V a l u e & g t ; & l t ; / a : K e y V a l u e O f D i a g r a m O b j e c t K e y a n y T y p e z b w N T n L X & g t ; & l t ; a : K e y V a l u e O f D i a g r a m O b j e c t K e y a n y T y p e z b w N T n L X & g t ; & l t ; a : K e y & g t ; & l t ; K e y & g t ; M e a s u r e s \ C o u n t   o f   H o l d   P o i n t   3 \ T a g I n f o \ F o r m u l a & l t ; / K e y & g t ; & l t ; / a : K e y & g t ; & l t ; a : V a l u e   i : t y p e = " M e a s u r e G r i d V i e w S t a t e I D i a g r a m T a g A d d i t i o n a l I n f o " / & g t ; & l t ; / a : K e y V a l u e O f D i a g r a m O b j e c t K e y a n y T y p e z b w N T n L X & g t ; & l t ; a : K e y V a l u e O f D i a g r a m O b j e c t K e y a n y T y p e z b w N T n L X & g t ; & l t ; a : K e y & g t ; & l t ; K e y & g t ; M e a s u r e s \ C o u n t   o f   H o l d   P o i n t   3 \ T a g I n f o \ V a l u e & l t ; / K e y & g t ; & l t ; / a : K e y & g t ; & l t ; a : V a l u e   i : t y p e = " M e a s u r e G r i d V i e w S t a t e I D i a g r a m T a g A d d i t i o n a l I n f o " / & g t ; & l t ; / a : K e y V a l u e O f D i a g r a m O b j e c t K e y a n y T y p e z b w N T n L X & g t ; & l t ; a : K e y V a l u e O f D i a g r a m O b j e c t K e y a n y T y p e z b w N T n L X & g t ; & l t ; a : K e y & g t ; & l t ; K e y & g t ; M e a s u r e s \ C o u n t   o f   S h i p   D a t e & l t ; / K e y & g t ; & l t ; / a : K e y & g t ; & l t ; a : V a l u e   i : t y p e = " M e a s u r e G r i d N o d e V i e w S t a t e " & g t ; & l t ; C o l u m n & g t ; 1 3 & l t ; / C o l u m n & g t ; & l t ; L a y e d O u t & g t ; t r u e & l t ; / L a y e d O u t & g t ; & l t ; W a s U I I n v i s i b l e & g t ; t r u e & l t ; / W a s U I I n v i s i b l e & g t ; & l t ; / a : V a l u e & g t ; & l t ; / a : K e y V a l u e O f D i a g r a m O b j e c t K e y a n y T y p e z b w N T n L X & g t ; & l t ; a : K e y V a l u e O f D i a g r a m O b j e c t K e y a n y T y p e z b w N T n L X & g t ; & l t ; a : K e y & g t ; & l t ; K e y & g t ; M e a s u r e s \ C o u n t   o f   S h i p   D a t e \ T a g I n f o \ F o r m u l a & l t ; / K e y & g t ; & l t ; / a : K e y & g t ; & l t ; a : V a l u e   i : t y p e = " M e a s u r e G r i d V i e w S t a t e I D i a g r a m T a g A d d i t i o n a l I n f o " / & g t ; & l t ; / a : K e y V a l u e O f D i a g r a m O b j e c t K e y a n y T y p e z b w N T n L X & g t ; & l t ; a : K e y V a l u e O f D i a g r a m O b j e c t K e y a n y T y p e z b w N T n L X & g t ; & l t ; a : K e y & g t ; & l t ; K e y & g t ; M e a s u r e s \ C o u n t   o f   S h i p   D a t e \ T a g I n f o \ V a l u e & l t ; / K e y & g t ; & l t ; / a : K e y & g t ; & l t ; a : V a l u e   i : t y p e = " M e a s u r e G r i d V i e w S t a t e I D i a g r a m T a g A d d i t i o n a l I n f o " / & g t ; & l t ; / a : K e y V a l u e O f D i a g r a m O b j e c t K e y a n y T y p e z b w N T n L X & g t ; & l t ; a : K e y V a l u e O f D i a g r a m O b j e c t K e y a n y T y p e z b w N T n L X & g t ; & l t ; a : K e y & g t ; & l t ; K e y & g t ; M e a s u r e s \ C o u n t   o f   S h i p   D a t e   ( M o n t h ) & l t ; / K e y & g t ; & l t ; / a : K e y & g t ; & l t ; a : V a l u e   i : t y p e = " M e a s u r e G r i d N o d e V i e w S t a t e " & g t ; & l t ; C o l u m n & g t ; 1 9 & l t ; / C o l u m n & g t ; & l t ; L a y e d O u t & g t ; t r u e & l t ; / L a y e d O u t & g t ; & l t ; W a s U I I n v i s i b l e & g t ; t r u e & l t ; / W a s U I I n v i s i b l e & g t ; & l t ; / a : V a l u e & g t ; & l t ; / a : K e y V a l u e O f D i a g r a m O b j e c t K e y a n y T y p e z b w N T n L X & g t ; & l t ; a : K e y V a l u e O f D i a g r a m O b j e c t K e y a n y T y p e z b w N T n L X & g t ; & l t ; a : K e y & g t ; & l t ; K e y & g t ; M e a s u r e s \ C o u n t   o f   S h i p   D a t e   ( M o n t h ) \ T a g I n f o \ F o r m u l a & l t ; / K e y & g t ; & l t ; / a : K e y & g t ; & l t ; a : V a l u e   i : t y p e = " M e a s u r e G r i d V i e w S t a t e I D i a g r a m T a g A d d i t i o n a l I n f o " / & g t ; & l t ; / a : K e y V a l u e O f D i a g r a m O b j e c t K e y a n y T y p e z b w N T n L X & g t ; & l t ; a : K e y V a l u e O f D i a g r a m O b j e c t K e y a n y T y p e z b w N T n L X & g t ; & l t ; a : K e y & g t ; & l t ; K e y & g t ; M e a s u r e s \ C o u n t   o f   S h i p   D a t e   ( M o n t h ) \ T a g I n f o \ V a l u e & l t ; / K e y & g t ; & l t ; / a : K e y & g t ; & l t ; a : V a l u e   i : t y p e = " M e a s u r e G r i d V i e w S t a t e I D i a g r a m T a g A d d i t i o n a l I n f o " / & g t ; & l t ; / a : K e y V a l u e O f D i a g r a m O b j e c t K e y a n y T y p e z b w N T n L X & g t ; & l t ; a : K e y V a l u e O f D i a g r a m O b j e c t K e y a n y T y p e z b w N T n L X & g t ; & l t ; a : K e y & g t ; & l t ; K e y & g t ; M e a s u r e s \ C o u n t   o f   C a v i t y   S / N & l t ; / K e y & g t ; & l t ; / a : K e y & g t ; & l t ; a : V a l u e   i : t y p e = " M e a s u r e G r i d N o d e V i e w S t a t e " & g t ; & l t ; L a y e d O u t & g t ; t r u e & l t ; / L a y e d O u t & g t ; & l t ; W a s U I I n v i s i b l e & g t ; t r u e & l t ; / W a s U I I n v i s i b l e & g t ; & l t ; / a : V a l u e & g t ; & l t ; / a : K e y V a l u e O f D i a g r a m O b j e c t K e y a n y T y p e z b w N T n L X & g t ; & l t ; a : K e y V a l u e O f D i a g r a m O b j e c t K e y a n y T y p e z b w N T n L X & g t ; & l t ; a : K e y & g t ; & l t ; K e y & g t ; M e a s u r e s \ C o u n t   o f   C a v i t y   S / N \ T a g I n f o \ F o r m u l a & l t ; / K e y & g t ; & l t ; / a : K e y & g t ; & l t ; a : V a l u e   i : t y p e = " M e a s u r e G r i d V i e w S t a t e I D i a g r a m T a g A d d i t i o n a l I n f o " / & g t ; & l t ; / a : K e y V a l u e O f D i a g r a m O b j e c t K e y a n y T y p e z b w N T n L X & g t ; & l t ; a : K e y V a l u e O f D i a g r a m O b j e c t K e y a n y T y p e z b w N T n L X & g t ; & l t ; a : K e y & g t ; & l t ; K e y & g t ; M e a s u r e s \ C o u n t   o f   C a v i t y   S / N \ T a g I n f o \ V a l u e & l t ; / K e y & g t ; & l t ; / a : K e y & g t ; & l t ; a : V a l u e   i : t y p e = " M e a s u r e G r i d V i e w S t a t e I D i a g r a m T a g A d d i t i o n a l I n f o " / & g t ; & l t ; / a : K e y V a l u e O f D i a g r a m O b j e c t K e y a n y T y p e z b w N T n L X & g t ; & l t ; a : K e y V a l u e O f D i a g r a m O b j e c t K e y a n y T y p e z b w N T n L X & g t ; & l t ; a : K e y & g t ; & l t ; K e y & g t ; M e a s u r e s \ C o u n t   o f   S t a t u s & l t ; / K e y & g t ; & l t ; / a : K e y & g t ; & l t ; a : V a l u e   i : t y p e = " M e a s u r e G r i d N o d e V i e w S t a t e " & g t ; & l t ; C o l u m n & g t ; 1 6 & l t ; / C o l u m n & g t ; & l t ; L a y e d O u t & g t ; t r u e & l t ; / L a y e d O u t & g t ; & l t ; W a s U I I n v i s i b l e & g t ; t r u e & l t ; / W a s U I I n v i s i b l e & g t ; & l t ; / a : V a l u e & g t ; & l t ; / a : K e y V a l u e O f D i a g r a m O b j e c t K e y a n y T y p e z b w N T n L X & g t ; & l t ; a : K e y V a l u e O f D i a g r a m O b j e c t K e y a n y T y p e z b w N T n L X & g t ; & l t ; a : K e y & g t ; & l t ; K e y & g t ; M e a s u r e s \ C o u n t   o f   S t a t u s \ T a g I n f o \ F o r m u l a & l t ; / K e y & g t ; & l t ; / a : K e y & g t ; & l t ; a : V a l u e   i : t y p e = " M e a s u r e G r i d V i e w S t a t e I D i a g r a m T a g A d d i t i o n a l I n f o " / & g t ; & l t ; / a : K e y V a l u e O f D i a g r a m O b j e c t K e y a n y T y p e z b w N T n L X & g t ; & l t ; a : K e y V a l u e O f D i a g r a m O b j e c t K e y a n y T y p e z b w N T n L X & g t ; & l t ; a : K e y & g t ; & l t ; K e y & g t ; M e a s u r e s \ C o u n t   o f   S t a t u s \ T a g I n f o \ V a l u e & l t ; / K e y & g t ; & l t ; / a : K e y & g t ; & l t ; a : V a l u e   i : t y p e = " M e a s u r e G r i d V i e w S t a t e I D i a g r a m T a g A d d i t i o n a l I n f o " / & g t ; & l t ; / a : K e y V a l u e O f D i a g r a m O b j e c t K e y a n y T y p e z b w N T n L X & g t ; & l t ; a : K e y V a l u e O f D i a g r a m O b j e c t K e y a n y T y p e z b w N T n L X & g t ; & l t ; a : K e y & g t ; & l t ; K e y & g t ; C o l u m n s \ C a v i t y   S / N & l t ; / K e y & g t ; & l t ; / a : K e y & g t ; & l t ; a : V a l u e   i : t y p e = " M e a s u r e G r i d N o d e V i e w S t a t e " & g t ; & l t ; L a y e d O u t & g t ; t r u e & l t ; / L a y e d O u t & g t ; & l t ; / a : V a l u e & g t ; & l t ; / a : K e y V a l u e O f D i a g r a m O b j e c t K e y a n y T y p e z b w N T n L X & g t ; & l t ; a : K e y V a l u e O f D i a g r a m O b j e c t K e y a n y T y p e z b w N T n L X & g t ; & l t ; a : K e y & g t ; & l t ; K e y & g t ; C o l u m n s \ M / S # & l t ; / K e y & g t ; & l t ; / a : K e y & g t ; & l t ; a : V a l u e   i : t y p e = " M e a s u r e G r i d N o d e V i e w S t a t e " & g t ; & l t ; C o l u m n & g t ; 1 & l t ; / C o l u m n & g t ; & l t ; L a y e d O u t & g t ; t r u e & l t ; / L a y e d O u t & g t ; & l t ; / a : V a l u e & g t ; & l t ; / a : K e y V a l u e O f D i a g r a m O b j e c t K e y a n y T y p e z b w N T n L X & g t ; & l t ; a : K e y V a l u e O f D i a g r a m O b j e c t K e y a n y T y p e z b w N T n L X & g t ; & l t ; a : K e y & g t ; & l t ; K e y & g t ; C o l u m n s \ M a t e r i a l & l t ; / K e y & g t ; & l t ; / a : K e y & g t ; & l t ; a : V a l u e   i : t y p e = " M e a s u r e G r i d N o d e V i e w S t a t e " & g t ; & l t ; C o l u m n & g t ; 2 & l t ; / C o l u m n & g t ; & l t ; L a y e d O u t & g t ; t r u e & l t ; / L a y e d O u t & g t ; & l t ; / a : V a l u e & g t ; & l t ; / a : K e y V a l u e O f D i a g r a m O b j e c t K e y a n y T y p e z b w N T n L X & g t ; & l t ; a : K e y V a l u e O f D i a g r a m O b j e c t K e y a n y T y p e z b w N T n L X & g t ; & l t ; a : K e y & g t ; & l t ; K e y & g t ; C o l u m n s \ E P & l t ; / K e y & g t ; & l t ; / a : K e y & g t ; & l t ; a : V a l u e   i : t y p e = " M e a s u r e G r i d N o d e V i e w S t a t e " & g t ; & l t ; C o l u m n & g t ; 3 & l t ; / C o l u m n & g t ; & l t ; L a y e d O u t & g t ; t r u e & l t ; / L a y e d O u t & g t ; & l t ; / a : V a l u e & g t ; & l t ; / a : K e y V a l u e O f D i a g r a m O b j e c t K e y a n y T y p e z b w N T n L X & g t ; & l t ; a : K e y V a l u e O f D i a g r a m O b j e c t K e y a n y T y p e z b w N T n L X & g t ; & l t ; a : K e y & g t ; & l t ; K e y & g t ; C o l u m n s \ H e a t & l t ; / K e y & g t ; & l t ; / a : K e y & g t ; & l t ; a : V a l u e   i : t y p e = " M e a s u r e G r i d N o d e V i e w S t a t e " & g t ; & l t ; C o l u m n & g t ; 4 & l t ; / C o l u m n & g t ; & l t ; L a y e d O u t & g t ; t r u e & l t ; / L a y e d O u t & g t ; & l t ; / a : V a l u e & g t ; & l t ; / a : K e y V a l u e O f D i a g r a m O b j e c t K e y a n y T y p e z b w N T n L X & g t ; & l t ; a : K e y V a l u e O f D i a g r a m O b j e c t K e y a n y T y p e z b w N T n L X & g t ; & l t ; a : K e y & g t ; & l t ; K e y & g t ; C o l u m n s \ C a p s & l t ; / K e y & g t ; & l t ; / a : K e y & g t ; & l t ; a : V a l u e   i : t y p e = " M e a s u r e G r i d N o d e V i e w S t a t e " & g t ; & l t ; C o l u m n & g t ; 5 & l t ; / C o l u m n & g t ; & l t ; L a y e d O u t & g t ; t r u e & l t ; / L a y e d O u t & g t ; & l t ; / a : V a l u e & g t ; & l t ; / a : K e y V a l u e O f D i a g r a m O b j e c t K e y a n y T y p e z b w N T n L X & g t ; & l t ; a : K e y V a l u e O f D i a g r a m O b j e c t K e y a n y T y p e z b w N T n L X & g t ; & l t ; a : K e y & g t ; & l t ; K e y & g t ; C o l u m n s \ C o m m e n t s & l t ; / K e y & g t ; & l t ; / a : K e y & g t ; & l t ; a : V a l u e   i : t y p e = " M e a s u r e G r i d N o d e V i e w S t a t e " & g t ; & l t ; C o l u m n & g t ; 6 & l t ; / C o l u m n & g t ; & l t ; L a y e d O u t & g t ; t r u e & l t ; / L a y e d O u t & g t ; & l t ; / a : V a l u e & g t ; & l t ; / a : K e y V a l u e O f D i a g r a m O b j e c t K e y a n y T y p e z b w N T n L X & g t ; & l t ; a : K e y V a l u e O f D i a g r a m O b j e c t K e y a n y T y p e z b w N T n L X & g t ; & l t ; a : K e y & g t ; & l t ; K e y & g t ; C o l u m n s \ H o l d   P o i n t   1 & l t ; / K e y & g t ; & l t ; / a : K e y & g t ; & l t ; a : V a l u e   i : t y p e = " M e a s u r e G r i d N o d e V i e w S t a t e " & g t ; & l t ; C o l u m n & g t ; 7 & l t ; / C o l u m n & g t ; & l t ; L a y e d O u t & g t ; t r u e & l t ; / L a y e d O u t & g t ; & l t ; / a : V a l u e & g t ; & l t ; / a : K e y V a l u e O f D i a g r a m O b j e c t K e y a n y T y p e z b w N T n L X & g t ; & l t ; a : K e y V a l u e O f D i a g r a m O b j e c t K e y a n y T y p e z b w N T n L X & g t ; & l t ; a : K e y & g t ; & l t ; K e y & g t ; C o l u m n s \ H o l d   P o i n t   2 & l t ; / K e y & g t ; & l t ; / a : K e y & g t ; & l t ; a : V a l u e   i : t y p e = " M e a s u r e G r i d N o d e V i e w S t a t e " & g t ; & l t ; C o l u m n & g t ; 8 & l t ; / C o l u m n & g t ; & l t ; L a y e d O u t & g t ; t r u e & l t ; / L a y e d O u t & g t ; & l t ; / a : V a l u e & g t ; & l t ; / a : K e y V a l u e O f D i a g r a m O b j e c t K e y a n y T y p e z b w N T n L X & g t ; & l t ; a : K e y V a l u e O f D i a g r a m O b j e c t K e y a n y T y p e z b w N T n L X & g t ; & l t ; a : K e y & g t ; & l t ; K e y & g t ; C o l u m n s \ H o l d   P o i n t   3 & l t ; / K e y & g t ; & l t ; / a : K e y & g t ; & l t ; a : V a l u e   i : t y p e = " M e a s u r e G r i d N o d e V i e w S t a t e " & g t ; & l t ; C o l u m n & g t ; 9 & l t ; / C o l u m n & g t ; & l t ; L a y e d O u t & g t ; t r u e & l t ; / L a y e d O u t & g t ; & l t ; / a : V a l u e & g t ; & l t ; / a : K e y V a l u e O f D i a g r a m O b j e c t K e y a n y T y p e z b w N T n L X & g t ; & l t ; a : K e y V a l u e O f D i a g r a m O b j e c t K e y a n y T y p e z b w N T n L X & g t ; & l t ; a : K e y & g t ; & l t ; K e y & g t ; C o l u m n s \ N C R s & l t ; / K e y & g t ; & l t ; / a : K e y & g t ; & l t ; a : V a l u e   i : t y p e = " M e a s u r e G r i d N o d e V i e w S t a t e " & g t ; & l t ; C o l u m n & g t ; 1 0 & l t ; / C o l u m n & g t ; & l t ; L a y e d O u t & g t ; t r u e & l t ; / L a y e d O u t & g t ; & l t ; / a : V a l u e & g t ; & l t ; / a : K e y V a l u e O f D i a g r a m O b j e c t K e y a n y T y p e z b w N T n L X & g t ; & l t ; a : K e y V a l u e O f D i a g r a m O b j e c t K e y a n y T y p e z b w N T n L X & g t ; & l t ; a : K e y & g t ; & l t ; K e y & g t ; C o l u m n s \ N C R   C o m m e n t s & l t ; / K e y & g t ; & l t ; / a : K e y & g t ; & l t ; a : V a l u e   i : t y p e = " M e a s u r e G r i d N o d e V i e w S t a t e " & g t ; & l t ; C o l u m n & g t ; 1 1 & l t ; / C o l u m n & g t ; & l t ; L a y e d O u t & g t ; t r u e & l t ; / L a y e d O u t & g t ; & l t ; / a : V a l u e & g t ; & l t ; / a : K e y V a l u e O f D i a g r a m O b j e c t K e y a n y T y p e z b w N T n L X & g t ; & l t ; a : K e y V a l u e O f D i a g r a m O b j e c t K e y a n y T y p e z b w N T n L X & g t ; & l t ; a : K e y & g t ; & l t ; K e y & g t ; C o l u m n s \ S h i p p i n g   D e s t i n a t i o n & l t ; / K e y & g t ; & l t ; / a : K e y & g t ; & l t ; a : V a l u e   i : t y p e = " M e a s u r e G r i d N o d e V i e w S t a t e " & g t ; & l t ; C o l u m n & g t ; 1 2 & l t ; / C o l u m n & g t ; & l t ; L a y e d O u t & g t ; t r u e & l t ; / L a y e d O u t & g t ; & l t ; / a : V a l u e & g t ; & l t ; / a : K e y V a l u e O f D i a g r a m O b j e c t K e y a n y T y p e z b w N T n L X & g t ; & l t ; a : K e y V a l u e O f D i a g r a m O b j e c t K e y a n y T y p e z b w N T n L X & g t ; & l t ; a : K e y & g t ; & l t ; K e y & g t ; C o l u m n s \ S h i p   D a t e & l t ; / K e y & g t ; & l t ; / a : K e y & g t ; & l t ; a : V a l u e   i : t y p e = " M e a s u r e G r i d N o d e V i e w S t a t e " & g t ; & l t ; C o l u m n & g t ; 1 3 & l t ; / C o l u m n & g t ; & l t ; L a y e d O u t & g t ; t r u e & l t ; / L a y e d O u t & g t ; & l t ; / a : V a l u e & g t ; & l t ; / a : K e y V a l u e O f D i a g r a m O b j e c t K e y a n y T y p e z b w N T n L X & g t ; & l t ; a : K e y V a l u e O f D i a g r a m O b j e c t K e y a n y T y p e z b w N T n L X & g t ; & l t ; a : K e y & g t ; & l t ; K e y & g t ; C o l u m n s \ R e c e i p t   D a t e & l t ; / K e y & g t ; & l t ; / a : K e y & g t ; & l t ; a : V a l u e   i : t y p e = " M e a s u r e G r i d N o d e V i e w S t a t e " & g t ; & l t ; C o l u m n & g t ; 1 4 & l t ; / C o l u m n & g t ; & l t ; L a y e d O u t & g t ; t r u e & l t ; / L a y e d O u t & g t ; & l t ; / a : V a l u e & g t ; & l t ; / a : K e y V a l u e O f D i a g r a m O b j e c t K e y a n y T y p e z b w N T n L X & g t ; & l t ; a : K e y V a l u e O f D i a g r a m O b j e c t K e y a n y T y p e z b w N T n L X & g t ; & l t ; a : K e y & g t ; & l t ; K e y & g t ; C o l u m n s \ Q & l t ; / K e y & g t ; & l t ; / a : K e y & g t ; & l t ; a : V a l u e   i : t y p e = " M e a s u r e G r i d N o d e V i e w S t a t e " & g t ; & l t ; C o l u m n & g t ; 1 5 & l t ; / C o l u m n & g t ; & l t ; L a y e d O u t & g t ; t r u e & l t ; / L a y e d O u t & g t ; & l t ; / a : V a l u e & g t ; & l t ; / a : K e y V a l u e O f D i a g r a m O b j e c t K e y a n y T y p e z b w N T n L X & g t ; & l t ; a : K e y V a l u e O f D i a g r a m O b j e c t K e y a n y T y p e z b w N T n L X & g t ; & l t ; a : K e y & g t ; & l t ; K e y & g t ; C o l u m n s \ S t a t u s & l t ; / K e y & g t ; & l t ; / a : K e y & g t ; & l t ; a : V a l u e   i : t y p e = " M e a s u r e G r i d N o d e V i e w S t a t e " & g t ; & l t ; C o l u m n & g t ; 1 6 & l t ; / C o l u m n & g t ; & l t ; L a y e d O u t & g t ; t r u e & l t ; / L a y e d O u t & g t ; & l t ; / a : V a l u e & g t ; & l t ; / a : K e y V a l u e O f D i a g r a m O b j e c t K e y a n y T y p e z b w N T n L X & g t ; & l t ; a : K e y V a l u e O f D i a g r a m O b j e c t K e y a n y T y p e z b w N T n L X & g t ; & l t ; a : K e y & g t ; & l t ; K e y & g t ; C o l u m n s \ N o t e s & l t ; / K e y & g t ; & l t ; / a : K e y & g t ; & l t ; a : V a l u e   i : t y p e = " M e a s u r e G r i d N o d e V i e w S t a t e " & g t ; & l t ; C o l u m n & g t ; 1 7 & l t ; / C o l u m n & g t ; & l t ; L a y e d O u t & g t ; t r u e & l t ; / L a y e d O u t & g t ; & l t ; / a : V a l u e & g t ; & l t ; / a : K e y V a l u e O f D i a g r a m O b j e c t K e y a n y T y p e z b w N T n L X & g t ; & l t ; a : K e y V a l u e O f D i a g r a m O b j e c t K e y a n y T y p e z b w N T n L X & g t ; & l t ; a : K e y & g t ; & l t ; K e y & g t ; C o l u m n s \ S h i p   D a t e   ( M o n t h   I n d e x ) & l t ; / K e y & g t ; & l t ; / a : K e y & g t ; & l t ; a : V a l u e   i : t y p e = " M e a s u r e G r i d N o d e V i e w S t a t e " & g t ; & l t ; C o l u m n & g t ; 1 8 & l t ; / C o l u m n & g t ; & l t ; L a y e d O u t & g t ; t r u e & l t ; / L a y e d O u t & g t ; & l t ; / a : V a l u e & g t ; & l t ; / a : K e y V a l u e O f D i a g r a m O b j e c t K e y a n y T y p e z b w N T n L X & g t ; & l t ; a : K e y V a l u e O f D i a g r a m O b j e c t K e y a n y T y p e z b w N T n L X & g t ; & l t ; a : K e y & g t ; & l t ; K e y & g t ; C o l u m n s \ S h i p   D a t e   ( M o n t h ) & l t ; / K e y & g t ; & l t ; / a : K e y & g t ; & l t ; a : V a l u e   i : t y p e = " M e a s u r e G r i d N o d e V i e w S t a t e " & g t ; & l t ; C o l u m n & g t ; 1 9 & l t ; / C o l u m n & g t ; & l t ; L a y e d O u t & g t ; t r u e & l t ; / L a y e d O u t & g t ; & l t ; / a : V a l u e & g t ; & l t ; / a : K e y V a l u e O f D i a g r a m O b j e c t K e y a n y T y p e z b w N T n L X & g t ; & l t ; a : K e y V a l u e O f D i a g r a m O b j e c t K e y a n y T y p e z b w N T n L X & g t ; & l t ; a : K e y & g t ; & l t ; K e y & g t ; L i n k s \ & a m p ; l t ; C o l u m n s \ S u m   o f   M / S # & a m p ; g t ; - & a m p ; l t ; M e a s u r e s \ M / S # & a m p ; g t ; & l t ; / K e y & g t ; & l t ; / a : K e y & g t ; & l t ; a : V a l u e   i : t y p e = " M e a s u r e G r i d V i e w S t a t e I D i a g r a m L i n k " / & g t ; & l t ; / a : K e y V a l u e O f D i a g r a m O b j e c t K e y a n y T y p e z b w N T n L X & g t ; & l t ; a : K e y V a l u e O f D i a g r a m O b j e c t K e y a n y T y p e z b w N T n L X & g t ; & l t ; a : K e y & g t ; & l t ; K e y & g t ; L i n k s \ & a m p ; l t ; C o l u m n s \ S u m   o f   M / S # & a m p ; g t ; - & a m p ; l t ; M e a s u r e s \ M / S # & a m p ; g t ; \ C O L U M N & l t ; / K e y & g t ; & l t ; / a : K e y & g t ; & l t ; a : V a l u e   i : t y p e = " M e a s u r e G r i d V i e w S t a t e I D i a g r a m L i n k E n d p o i n t " / & g t ; & l t ; / a : K e y V a l u e O f D i a g r a m O b j e c t K e y a n y T y p e z b w N T n L X & g t ; & l t ; a : K e y V a l u e O f D i a g r a m O b j e c t K e y a n y T y p e z b w N T n L X & g t ; & l t ; a : K e y & g t ; & l t ; K e y & g t ; L i n k s \ & a m p ; l t ; C o l u m n s \ S u m   o f   M / S # & a m p ; g t ; - & a m p ; l t ; M e a s u r e s \ M / S # & a m p ; g t ; \ M E A S U R E & l t ; / K e y & g t ; & l t ; / a : K e y & g t ; & l t ; a : V a l u e   i : t y p e = " M e a s u r e G r i d V i e w S t a t e I D i a g r a m L i n k E n d p o i n t " / & g t ; & l t ; / a : K e y V a l u e O f D i a g r a m O b j e c t K e y a n y T y p e z b w N T n L X & g t ; & l t ; a : K e y V a l u e O f D i a g r a m O b j e c t K e y a n y T y p e z b w N T n L X & g t ; & l t ; a : K e y & g t ; & l t ; K e y & g t ; L i n k s \ & a m p ; l t ; C o l u m n s \ C o u n t   o f   H o l d   P o i n t   1 & a m p ; g t ; - & a m p ; l t ; M e a s u r e s \ H o l d   P o i n t   1 & a m p ; g t ; & l t ; / K e y & g t ; & l t ; / a : K e y & g t ; & l t ; a : V a l u e   i : t y p e = " M e a s u r e G r i d V i e w S t a t e I D i a g r a m L i n k " / & g t ; & l t ; / a : K e y V a l u e O f D i a g r a m O b j e c t K e y a n y T y p e z b w N T n L X & g t ; & l t ; a : K e y V a l u e O f D i a g r a m O b j e c t K e y a n y T y p e z b w N T n L X & g t ; & l t ; a : K e y & g t ; & l t ; K e y & g t ; L i n k s \ & a m p ; l t ; C o l u m n s \ C o u n t   o f   H o l d   P o i n t   1 & a m p ; g t ; - & a m p ; l t ; M e a s u r e s \ H o l d   P o i n t   1 & a m p ; g t ; \ C O L U M N & l t ; / K e y & g t ; & l t ; / a : K e y & g t ; & l t ; a : V a l u e   i : t y p e = " M e a s u r e G r i d V i e w S t a t e I D i a g r a m L i n k E n d p o i n t " / & g t ; & l t ; / a : K e y V a l u e O f D i a g r a m O b j e c t K e y a n y T y p e z b w N T n L X & g t ; & l t ; a : K e y V a l u e O f D i a g r a m O b j e c t K e y a n y T y p e z b w N T n L X & g t ; & l t ; a : K e y & g t ; & l t ; K e y & g t ; L i n k s \ & a m p ; l t ; C o l u m n s \ C o u n t   o f   H o l d   P o i n t   1 & a m p ; g t ; - & a m p ; l t ; M e a s u r e s \ H o l d   P o i n t   1 & a m p ; g t ; \ M E A S U R E & l t ; / K e y & g t ; & l t ; / a : K e y & g t ; & l t ; a : V a l u e   i : t y p e = " M e a s u r e G r i d V i e w S t a t e I D i a g r a m L i n k E n d p o i n t " / & g t ; & l t ; / a : K e y V a l u e O f D i a g r a m O b j e c t K e y a n y T y p e z b w N T n L X & g t ; & l t ; a : K e y V a l u e O f D i a g r a m O b j e c t K e y a n y T y p e z b w N T n L X & g t ; & l t ; a : K e y & g t ; & l t ; K e y & g t ; L i n k s \ & a m p ; l t ; C o l u m n s \ C o u n t   o f   H o l d   P o i n t   2 & a m p ; g t ; - & a m p ; l t ; M e a s u r e s \ H o l d   P o i n t   2 & a m p ; g t ; & l t ; / K e y & g t ; & l t ; / a : K e y & g t ; & l t ; a : V a l u e   i : t y p e = " M e a s u r e G r i d V i e w S t a t e I D i a g r a m L i n k " / & g t ; & l t ; / a : K e y V a l u e O f D i a g r a m O b j e c t K e y a n y T y p e z b w N T n L X & g t ; & l t ; a : K e y V a l u e O f D i a g r a m O b j e c t K e y a n y T y p e z b w N T n L X & g t ; & l t ; a : K e y & g t ; & l t ; K e y & g t ; L i n k s \ & a m p ; l t ; C o l u m n s \ C o u n t   o f   H o l d   P o i n t   2 & a m p ; g t ; - & a m p ; l t ; M e a s u r e s \ H o l d   P o i n t   2 & a m p ; g t ; \ C O L U M N & l t ; / K e y & g t ; & l t ; / a : K e y & g t ; & l t ; a : V a l u e   i : t y p e = " M e a s u r e G r i d V i e w S t a t e I D i a g r a m L i n k E n d p o i n t " / & g t ; & l t ; / a : K e y V a l u e O f D i a g r a m O b j e c t K e y a n y T y p e z b w N T n L X & g t ; & l t ; a : K e y V a l u e O f D i a g r a m O b j e c t K e y a n y T y p e z b w N T n L X & g t ; & l t ; a : K e y & g t ; & l t ; K e y & g t ; L i n k s \ & a m p ; l t ; C o l u m n s \ C o u n t   o f   H o l d   P o i n t   2 & a m p ; g t ; - & a m p ; l t ; M e a s u r e s \ H o l d   P o i n t   2 & a m p ; g t ; \ M E A S U R E & l t ; / K e y & g t ; & l t ; / a : K e y & g t ; & l t ; a : V a l u e   i : t y p e = " M e a s u r e G r i d V i e w S t a t e I D i a g r a m L i n k E n d p o i n t " / & g t ; & l t ; / a : K e y V a l u e O f D i a g r a m O b j e c t K e y a n y T y p e z b w N T n L X & g t ; & l t ; a : K e y V a l u e O f D i a g r a m O b j e c t K e y a n y T y p e z b w N T n L X & g t ; & l t ; a : K e y & g t ; & l t ; K e y & g t ; L i n k s \ & a m p ; l t ; C o l u m n s \ C o u n t   o f   H o l d   P o i n t   3 & a m p ; g t ; - & a m p ; l t ; M e a s u r e s \ H o l d   P o i n t   3 & a m p ; g t ; & l t ; / K e y & g t ; & l t ; / a : K e y & g t ; & l t ; a : V a l u e   i : t y p e = " M e a s u r e G r i d V i e w S t a t e I D i a g r a m L i n k " / & g t ; & l t ; / a : K e y V a l u e O f D i a g r a m O b j e c t K e y a n y T y p e z b w N T n L X & g t ; & l t ; a : K e y V a l u e O f D i a g r a m O b j e c t K e y a n y T y p e z b w N T n L X & g t ; & l t ; a : K e y & g t ; & l t ; K e y & g t ; L i n k s \ & a m p ; l t ; C o l u m n s \ C o u n t   o f   H o l d   P o i n t   3 & a m p ; g t ; - & a m p ; l t ; M e a s u r e s \ H o l d   P o i n t   3 & a m p ; g t ; \ C O L U M N & l t ; / K e y & g t ; & l t ; / a : K e y & g t ; & l t ; a : V a l u e   i : t y p e = " M e a s u r e G r i d V i e w S t a t e I D i a g r a m L i n k E n d p o i n t " / & g t ; & l t ; / a : K e y V a l u e O f D i a g r a m O b j e c t K e y a n y T y p e z b w N T n L X & g t ; & l t ; a : K e y V a l u e O f D i a g r a m O b j e c t K e y a n y T y p e z b w N T n L X & g t ; & l t ; a : K e y & g t ; & l t ; K e y & g t ; L i n k s \ & a m p ; l t ; C o l u m n s \ C o u n t   o f   H o l d   P o i n t   3 & a m p ; g t ; - & a m p ; l t ; M e a s u r e s \ H o l d   P o i n t   3 & a m p ; g t ; \ M E A S U R E & l t ; / K e y & g t ; & l t ; / a : K e y & g t ; & l t ; a : V a l u e   i : t y p e = " M e a s u r e G r i d V i e w S t a t e I D i a g r a m L i n k E n d p o i n t " / & g t ; & l t ; / a : K e y V a l u e O f D i a g r a m O b j e c t K e y a n y T y p e z b w N T n L X & g t ; & l t ; a : K e y V a l u e O f D i a g r a m O b j e c t K e y a n y T y p e z b w N T n L X & g t ; & l t ; a : K e y & g t ; & l t ; K e y & g t ; L i n k s \ & a m p ; l t ; C o l u m n s \ C o u n t   o f   S h i p   D a t e & a m p ; g t ; - & a m p ; l t ; M e a s u r e s \ S h i p   D a t e & a m p ; g t ; & l t ; / K e y & g t ; & l t ; / a : K e y & g t ; & l t ; a : V a l u e   i : t y p e = " M e a s u r e G r i d V i e w S t a t e I D i a g r a m L i n k " / & g t ; & l t ; / a : K e y V a l u e O f D i a g r a m O b j e c t K e y a n y T y p e z b w N T n L X & g t ; & l t ; a : K e y V a l u e O f D i a g r a m O b j e c t K e y a n y T y p e z b w N T n L X & g t ; & l t ; a : K e y & g t ; & l t ; K e y & g t ; L i n k s \ & a m p ; l t ; C o l u m n s \ C o u n t   o f   S h i p   D a t e & a m p ; g t ; - & a m p ; l t ; M e a s u r e s \ S h i p   D a t e & a m p ; g t ; \ C O L U M N & l t ; / K e y & g t ; & l t ; / a : K e y & g t ; & l t ; a : V a l u e   i : t y p e = " M e a s u r e G r i d V i e w S t a t e I D i a g r a m L i n k E n d p o i n t " / & g t ; & l t ; / a : K e y V a l u e O f D i a g r a m O b j e c t K e y a n y T y p e z b w N T n L X & g t ; & l t ; a : K e y V a l u e O f D i a g r a m O b j e c t K e y a n y T y p e z b w N T n L X & g t ; & l t ; a : K e y & g t ; & l t ; K e y & g t ; L i n k s \ & a m p ; l t ; C o l u m n s \ C o u n t   o f   S h i p   D a t e & a m p ; g t ; - & a m p ; l t ; M e a s u r e s \ S h i p   D a t e & a m p ; g t ; \ M E A S U R E & l t ; / K e y & g t ; & l t ; / a : K e y & g t ; & l t ; a : V a l u e   i : t y p e = " M e a s u r e G r i d V i e w S t a t e I D i a g r a m L i n k E n d p o i n t " / & g t ; & l t ; / a : K e y V a l u e O f D i a g r a m O b j e c t K e y a n y T y p e z b w N T n L X & g t ; & l t ; a : K e y V a l u e O f D i a g r a m O b j e c t K e y a n y T y p e z b w N T n L X & g t ; & l t ; a : K e y & g t ; & l t ; K e y & g t ; L i n k s \ & a m p ; l t ; C o l u m n s \ C o u n t   o f   S h i p   D a t e   ( M o n t h ) & a m p ; g t ; - & a m p ; l t ; M e a s u r e s \ S h i p   D a t e   ( M o n t h ) & a m p ; g t ; & l t ; / K e y & g t ; & l t ; / a : K e y & g t ; & l t ; a : V a l u e   i : t y p e = " M e a s u r e G r i d V i e w S t a t e I D i a g r a m L i n k " / & g t ; & l t ; / a : K e y V a l u e O f D i a g r a m O b j e c t K e y a n y T y p e z b w N T n L X & g t ; & l t ; a : K e y V a l u e O f D i a g r a m O b j e c t K e y a n y T y p e z b w N T n L X & g t ; & l t ; a : K e y & g t ; & l t ; K e y & g t ; L i n k s \ & a m p ; l t ; C o l u m n s \ C o u n t   o f   S h i p   D a t e   ( M o n t h ) & a m p ; g t ; - & a m p ; l t ; M e a s u r e s \ S h i p   D a t e   ( M o n t h ) & a m p ; g t ; \ C O L U M N & l t ; / K e y & g t ; & l t ; / a : K e y & g t ; & l t ; a : V a l u e   i : t y p e = " M e a s u r e G r i d V i e w S t a t e I D i a g r a m L i n k E n d p o i n t " / & g t ; & l t ; / a : K e y V a l u e O f D i a g r a m O b j e c t K e y a n y T y p e z b w N T n L X & g t ; & l t ; a : K e y V a l u e O f D i a g r a m O b j e c t K e y a n y T y p e z b w N T n L X & g t ; & l t ; a : K e y & g t ; & l t ; K e y & g t ; L i n k s \ & a m p ; l t ; C o l u m n s \ C o u n t   o f   S h i p   D a t e   ( M o n t h ) & a m p ; g t ; - & a m p ; l t ; M e a s u r e s \ S h i p   D a t e   ( M o n t h ) & a m p ; g t ; \ M E A S U R E & l t ; / K e y & g t ; & l t ; / a : K e y & g t ; & l t ; a : V a l u e   i : t y p e = " M e a s u r e G r i d V i e w S t a t e I D i a g r a m L i n k E n d p o i n t " / & g t ; & l t ; / a : K e y V a l u e O f D i a g r a m O b j e c t K e y a n y T y p e z b w N T n L X & g t ; & l t ; a : K e y V a l u e O f D i a g r a m O b j e c t K e y a n y T y p e z b w N T n L X & g t ; & l t ; a : K e y & g t ; & l t ; K e y & g t ; L i n k s \ & a m p ; l t ; C o l u m n s \ C o u n t   o f   C a v i t y   S / N & a m p ; g t ; - & a m p ; l t ; M e a s u r e s \ C a v i t y   S / N & a m p ; g t ; & l t ; / K e y & g t ; & l t ; / a : K e y & g t ; & l t ; a : V a l u e   i : t y p e = " M e a s u r e G r i d V i e w S t a t e I D i a g r a m L i n k " / & g t ; & l t ; / a : K e y V a l u e O f D i a g r a m O b j e c t K e y a n y T y p e z b w N T n L X & g t ; & l t ; a : K e y V a l u e O f D i a g r a m O b j e c t K e y a n y T y p e z b w N T n L X & g t ; & l t ; a : K e y & g t ; & l t ; K e y & g t ; L i n k s \ & a m p ; l t ; C o l u m n s \ C o u n t   o f   C a v i t y   S / N & a m p ; g t ; - & a m p ; l t ; M e a s u r e s \ C a v i t y   S / N & a m p ; g t ; \ C O L U M N & l t ; / K e y & g t ; & l t ; / a : K e y & g t ; & l t ; a : V a l u e   i : t y p e = " M e a s u r e G r i d V i e w S t a t e I D i a g r a m L i n k E n d p o i n t " / & g t ; & l t ; / a : K e y V a l u e O f D i a g r a m O b j e c t K e y a n y T y p e z b w N T n L X & g t ; & l t ; a : K e y V a l u e O f D i a g r a m O b j e c t K e y a n y T y p e z b w N T n L X & g t ; & l t ; a : K e y & g t ; & l t ; K e y & g t ; L i n k s \ & a m p ; l t ; C o l u m n s \ C o u n t   o f   C a v i t y   S / N & a m p ; g t ; - & a m p ; l t ; M e a s u r e s \ C a v i t y   S / N & a m p ; g t ; \ M E A S U R E & l t ; / K e y & g t ; & l t ; / a : K e y & g t ; & l t ; a : V a l u e   i : t y p e = " M e a s u r e G r i d V i e w S t a t e I D i a g r a m L i n k E n d p o i n t " / & g t ; & l t ; / a : K e y V a l u e O f D i a g r a m O b j e c t K e y a n y T y p e z b w N T n L X & g t ; & l t ; a : K e y V a l u e O f D i a g r a m O b j e c t K e y a n y T y p e z b w N T n L X & g t ; & l t ; a : K e y & g t ; & l t ; K e y & g t ; L i n k s \ & a m p ; l t ; C o l u m n s \ C o u n t   o f   S t a t u s & a m p ; g t ; - & a m p ; l t ; M e a s u r e s \ S t a t u s & a m p ; g t ; & l t ; / K e y & g t ; & l t ; / a : K e y & g t ; & l t ; a : V a l u e   i : t y p e = " M e a s u r e G r i d V i e w S t a t e I D i a g r a m L i n k " / & g t ; & l t ; / a : K e y V a l u e O f D i a g r a m O b j e c t K e y a n y T y p e z b w N T n L X & g t ; & l t ; a : K e y V a l u e O f D i a g r a m O b j e c t K e y a n y T y p e z b w N T n L X & g t ; & l t ; a : K e y & g t ; & l t ; K e y & g t ; L i n k s \ & a m p ; l t ; C o l u m n s \ C o u n t   o f   S t a t u s & a m p ; g t ; - & a m p ; l t ; M e a s u r e s \ S t a t u s & a m p ; g t ; \ C O L U M N & l t ; / K e y & g t ; & l t ; / a : K e y & g t ; & l t ; a : V a l u e   i : t y p e = " M e a s u r e G r i d V i e w S t a t e I D i a g r a m L i n k E n d p o i n t " / & g t ; & l t ; / a : K e y V a l u e O f D i a g r a m O b j e c t K e y a n y T y p e z b w N T n L X & g t ; & l t ; a : K e y V a l u e O f D i a g r a m O b j e c t K e y a n y T y p e z b w N T n L X & g t ; & l t ; a : K e y & g t ; & l t ; K e y & g t ; L i n k s \ & a m p ; l t ; C o l u m n s \ C o u n t   o f   S t a t u s & a m p ; g t ; - & a m p ; l t ; M e a s u r e s \ S t a t u s & a m p ; g t ; \ M E A S U R E & l t ; / K e y & g t ; & l t ; / a : K e y & g t ; & l t ; a : V a l u e   i : t y p e = " M e a s u r e G r i d V i e w S t a t e I D i a g r a m L i n k E n d p o i n t " / & g t ; & l t ; / a : K e y V a l u e O f D i a g r a m O b j e c t K e y a n y T y p e z b w N T n L X & g t ; & l t ; / V i e w S t a t e s & g t ; & l t ; / D i a g r a m M a n a g e r . S e r i a l i z a b l e D i a g r a m & g t ; & l t ; / A r r a y O f D i a g r a m M a n a g e r . S e r i a l i z a b l e D i a g r a m & g t ; < / C u s t o m C o n t e n t > < / G e m i n i > 
</file>

<file path=customXml/item19.xml>��< ? x m l   v e r s i o n = " 1 . 0 "   e n c o d i n g = " U T F - 1 6 " ? > < G e m i n i   x m l n s = " h t t p : / / g e m i n i / p i v o t c u s t o m i z a t i o n / P o w e r P i v o t V e r s i o n " > < C u s t o m C o n t e n t > < ! [ C D A T A [ 1 1 . 0 . 9 1 6 6 . 1 5 8 ] ] > < / C u s t o m C o n t e n t > < / G e m i n i > 
</file>

<file path=customXml/item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 2 0 1 6 - 1 1 - 0 7 T 1 7 : 5 4 : 2 8 . 4 6 1 3 4 3 2 - 0 5 : 0 0 < / L a s t P r o c e s s e d T i m e > < / D a t a M o d e l i n g S a n d b o x . S e r i a l i z e d S a n d b o x E r r o r C a c h e > ] ] > < / C u s t o m C o n t e n t > < / G e m i n i > 
</file>

<file path=customXml/item3.xml>��< ? x m l   v e r s i o n = " 1 . 0 "   e n c o d i n g = " U T F - 1 6 " ? > < G e m i n i   x m l n s = " h t t p : / / g e m i n i / p i v o t c u s t o m i z a t i o n / S h o w H i d d e n " > < C u s t o m C o n t e n t > < ! [ C D A T A [ T r u e ] ] > < / C u s t o m C o n t e n t > < / G e m i n i > 
</file>

<file path=customXml/item4.xml>��< ? x m l   v e r s i o n = " 1 . 0 "   e n c o d i n g = " U T F - 1 6 " ? > < G e m i n i   x m l n s = " h t t p : / / g e m i n i / p i v o t c u s t o m i z a t i o n / T a b l e X M L _ C a v i t y S t a t u s " > < 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 / & g t ; & l t ; C o l u m n W i d t h s & g t ; & l t ; i t e m & g t ; & l t ; k e y & g t ; & l t ; s t r i n g & g t ; C a v i t y   S / N & l t ; / s t r i n g & g t ; & l t ; / k e y & g t ; & l t ; v a l u e & g t ; & l t ; i n t & g t ; 1 2 2 & l t ; / i n t & g t ; & l t ; / v a l u e & g t ; & l t ; / i t e m & g t ; & l t ; i t e m & g t ; & l t ; k e y & g t ; & l t ; s t r i n g & g t ; M / S # & l t ; / s t r i n g & g t ; & l t ; / k e y & g t ; & l t ; v a l u e & g t ; & l t ; i n t & g t ; 8 4 & l t ; / i n t & g t ; & l t ; / v a l u e & g t ; & l t ; / i t e m & g t ; & l t ; i t e m & g t ; & l t ; k e y & g t ; & l t ; s t r i n g & g t ; M a t e r i a l & l t ; / s t r i n g & g t ; & l t ; / k e y & g t ; & l t ; v a l u e & g t ; & l t ; i n t & g t ; 1 0 7 & l t ; / i n t & g t ; & l t ; / v a l u e & g t ; & l t ; / i t e m & g t ; & l t ; i t e m & g t ; & l t ; k e y & g t ; & l t ; s t r i n g & g t ; E P & l t ; / s t r i n g & g t ; & l t ; / k e y & g t ; & l t ; v a l u e & g t ; & l t ; i n t & g t ; 6 2 & l t ; / i n t & g t ; & l t ; / v a l u e & g t ; & l t ; / i t e m & g t ; & l t ; i t e m & g t ; & l t ; k e y & g t ; & l t ; s t r i n g & g t ; H e a t & l t ; / s t r i n g & g t ; & l t ; / k e y & g t ; & l t ; v a l u e & g t ; & l t ; i n t & g t ; 7 9 & l t ; / i n t & g t ; & l t ; / v a l u e & g t ; & l t ; / i t e m & g t ; & l t ; i t e m & g t ; & l t ; k e y & g t ; & l t ; s t r i n g & g t ; C a p s & l t ; / s t r i n g & g t ; & l t ; / k e y & g t ; & l t ; v a l u e & g t ; & l t ; i n t & g t ; 8 0 & l t ; / i n t & g t ; & l t ; / v a l u e & g t ; & l t ; / i t e m & g t ; & l t ; i t e m & g t ; & l t ; k e y & g t ; & l t ; s t r i n g & g t ; C o m m e n t s & l t ; / s t r i n g & g t ; & l t ; / k e y & g t ; & l t ; v a l u e & g t ; & l t ; i n t & g t ; 1 2 6 & l t ; / i n t & g t ; & l t ; / v a l u e & g t ; & l t ; / i t e m & g t ; & l t ; i t e m & g t ; & l t ; k e y & g t ; & l t ; s t r i n g & g t ; H o l d   P o i n t   1 & l t ; / s t r i n g & g t ; & l t ; / k e y & g t ; & l t ; v a l u e & g t ; & l t ; i n t & g t ; 1 3 7 & l t ; / i n t & g t ; & l t ; / v a l u e & g t ; & l t ; / i t e m & g t ; & l t ; i t e m & g t ; & l t ; k e y & g t ; & l t ; s t r i n g & g t ; H o l d   P o i n t   2 & l t ; / s t r i n g & g t ; & l t ; / k e y & g t ; & l t ; v a l u e & g t ; & l t ; i n t & g t ; 1 3 7 & l t ; / i n t & g t ; & l t ; / v a l u e & g t ; & l t ; / i t e m & g t ; & l t ; i t e m & g t ; & l t ; k e y & g t ; & l t ; s t r i n g & g t ; H o l d   P o i n t   3 & l t ; / s t r i n g & g t ; & l t ; / k e y & g t ; & l t ; v a l u e & g t ; & l t ; i n t & g t ; 1 3 7 & l t ; / i n t & g t ; & l t ; / v a l u e & g t ; & l t ; / i t e m & g t ; & l t ; i t e m & g t ; & l t ; k e y & g t ; & l t ; s t r i n g & g t ; N C R s & l t ; / s t r i n g & g t ; & l t ; / k e y & g t ; & l t ; v a l u e & g t ; & l t ; i n t & g t ; 8 3 & l t ; / i n t & g t ; & l t ; / v a l u e & g t ; & l t ; / i t e m & g t ; & l t ; i t e m & g t ; & l t ; k e y & g t ; & l t ; s t r i n g & g t ; N C R   C o m m e n t s & l t ; / s t r i n g & g t ; & l t ; / k e y & g t ; & l t ; v a l u e & g t ; & l t ; i n t & g t ; 1 6 2 & l t ; / i n t & g t ; & l t ; / v a l u e & g t ; & l t ; / i t e m & g t ; & l t ; i t e m & g t ; & l t ; k e y & g t ; & l t ; s t r i n g & g t ; S h i p p i n g   D e s t i n a t i o n & l t ; / s t r i n g & g t ; & l t ; / k e y & g t ; & l t ; v a l u e & g t ; & l t ; i n t & g t ; 2 0 3 & l t ; / i n t & g t ; & l t ; / v a l u e & g t ; & l t ; / i t e m & g t ; & l t ; i t e m & g t ; & l t ; k e y & g t ; & l t ; s t r i n g & g t ; S h i p   D a t e & l t ; / s t r i n g & g t ; & l t ; / k e y & g t ; & l t ; v a l u e & g t ; & l t ; i n t & g t ; 1 1 6 & l t ; / i n t & g t ; & l t ; / v a l u e & g t ; & l t ; / i t e m & g t ; & l t ; i t e m & g t ; & l t ; k e y & g t ; & l t ; s t r i n g & g t ; R e c e i p t   D a t e & l t ; / s t r i n g & g t ; & l t ; / k e y & g t ; & l t ; v a l u e & g t ; & l t ; i n t & g t ; 1 3 9 & l t ; / i n t & g t ; & l t ; / v a l u e & g t ; & l t ; / i t e m & g t ; & l t ; i t e m & g t ; & l t ; k e y & g t ; & l t ; s t r i n g & g t ; Q & l t ; / s t r i n g & g t ; & l t ; / k e y & g t ; & l t ; v a l u e & g t ; & l t ; i n t & g t ; 5 6 & l t ; / i n t & g t ; & l t ; / v a l u e & g t ; & l t ; / i t e m & g t ; & l t ; i t e m & g t ; & l t ; k e y & g t ; & l t ; s t r i n g & g t ; N o t e s & l t ; / s t r i n g & g t ; & l t ; / k e y & g t ; & l t ; v a l u e & g t ; & l t ; i n t & g t ; 8 8 & l t ; / i n t & g t ; & l t ; / v a l u e & g t ; & l t ; / i t e m & g t ; & l t ; i t e m & g t ; & l t ; k e y & g t ; & l t ; s t r i n g & g t ; S h i p   D a t e   ( M o n t h   I n d e x ) & l t ; / s t r i n g & g t ; & l t ; / k e y & g t ; & l t ; v a l u e & g t ; & l t ; i n t & g t ; 2 3 1 & l t ; / i n t & g t ; & l t ; / v a l u e & g t ; & l t ; / i t e m & g t ; & l t ; i t e m & g t ; & l t ; k e y & g t ; & l t ; s t r i n g & g t ; S h i p   D a t e   ( M o n t h ) & l t ; / s t r i n g & g t ; & l t ; / k e y & g t ; & l t ; v a l u e & g t ; & l t ; i n t & g t ; 1 8 4 & l t ; / i n t & g t ; & l t ; / v a l u e & g t ; & l t ; / i t e m & g t ; & l t ; i t e m & g t ; & l t ; k e y & g t ; & l t ; s t r i n g & g t ; S t a t u s & l t ; / s t r i n g & g t ; & l t ; / k e y & g t ; & l t ; v a l u e & g t ; & l t ; i n t & g t ; 9 1 & l t ; / i n t & g t ; & l t ; / v a l u e & g t ; & l t ; / i t e m & g t ; & l t ; / C o l u m n W i d t h s & g t ; & l t ; C o l u m n D i s p l a y I n d e x & g t ; & l t ; i t e m & g t ; & l t ; k e y & g t ; & l t ; s t r i n g & g t ; C a v i t y   S / N & l t ; / s t r i n g & g t ; & l t ; / k e y & g t ; & l t ; v a l u e & g t ; & l t ; i n t & g t ; 0 & l t ; / i n t & g t ; & l t ; / v a l u e & g t ; & l t ; / i t e m & g t ; & l t ; i t e m & g t ; & l t ; k e y & g t ; & l t ; s t r i n g & g t ; M / S # & l t ; / s t r i n g & g t ; & l t ; / k e y & g t ; & l t ; v a l u e & g t ; & l t ; i n t & g t ; 1 & l t ; / i n t & g t ; & l t ; / v a l u e & g t ; & l t ; / i t e m & g t ; & l t ; i t e m & g t ; & l t ; k e y & g t ; & l t ; s t r i n g & g t ; M a t e r i a l & l t ; / s t r i n g & g t ; & l t ; / k e y & g t ; & l t ; v a l u e & g t ; & l t ; i n t & g t ; 2 & l t ; / i n t & g t ; & l t ; / v a l u e & g t ; & l t ; / i t e m & g t ; & l t ; i t e m & g t ; & l t ; k e y & g t ; & l t ; s t r i n g & g t ; E P & l t ; / s t r i n g & g t ; & l t ; / k e y & g t ; & l t ; v a l u e & g t ; & l t ; i n t & g t ; 3 & l t ; / i n t & g t ; & l t ; / v a l u e & g t ; & l t ; / i t e m & g t ; & l t ; i t e m & g t ; & l t ; k e y & g t ; & l t ; s t r i n g & g t ; H e a t & l t ; / s t r i n g & g t ; & l t ; / k e y & g t ; & l t ; v a l u e & g t ; & l t ; i n t & g t ; 4 & l t ; / i n t & g t ; & l t ; / v a l u e & g t ; & l t ; / i t e m & g t ; & l t ; i t e m & g t ; & l t ; k e y & g t ; & l t ; s t r i n g & g t ; C a p s & l t ; / s t r i n g & g t ; & l t ; / k e y & g t ; & l t ; v a l u e & g t ; & l t ; i n t & g t ; 5 & l t ; / i n t & g t ; & l t ; / v a l u e & g t ; & l t ; / i t e m & g t ; & l t ; i t e m & g t ; & l t ; k e y & g t ; & l t ; s t r i n g & g t ; C o m m e n t s & l t ; / s t r i n g & g t ; & l t ; / k e y & g t ; & l t ; v a l u e & g t ; & l t ; i n t & g t ; 6 & l t ; / i n t & g t ; & l t ; / v a l u e & g t ; & l t ; / i t e m & g t ; & l t ; i t e m & g t ; & l t ; k e y & g t ; & l t ; s t r i n g & g t ; H o l d   P o i n t   1 & l t ; / s t r i n g & g t ; & l t ; / k e y & g t ; & l t ; v a l u e & g t ; & l t ; i n t & g t ; 7 & l t ; / i n t & g t ; & l t ; / v a l u e & g t ; & l t ; / i t e m & g t ; & l t ; i t e m & g t ; & l t ; k e y & g t ; & l t ; s t r i n g & g t ; H o l d   P o i n t   2 & l t ; / s t r i n g & g t ; & l t ; / k e y & g t ; & l t ; v a l u e & g t ; & l t ; i n t & g t ; 8 & l t ; / i n t & g t ; & l t ; / v a l u e & g t ; & l t ; / i t e m & g t ; & l t ; i t e m & g t ; & l t ; k e y & g t ; & l t ; s t r i n g & g t ; H o l d   P o i n t   3 & l t ; / s t r i n g & g t ; & l t ; / k e y & g t ; & l t ; v a l u e & g t ; & l t ; i n t & g t ; 9 & l t ; / i n t & g t ; & l t ; / v a l u e & g t ; & l t ; / i t e m & g t ; & l t ; i t e m & g t ; & l t ; k e y & g t ; & l t ; s t r i n g & g t ; N C R s & l t ; / s t r i n g & g t ; & l t ; / k e y & g t ; & l t ; v a l u e & g t ; & l t ; i n t & g t ; 1 0 & l t ; / i n t & g t ; & l t ; / v a l u e & g t ; & l t ; / i t e m & g t ; & l t ; i t e m & g t ; & l t ; k e y & g t ; & l t ; s t r i n g & g t ; N C R   C o m m e n t s & l t ; / s t r i n g & g t ; & l t ; / k e y & g t ; & l t ; v a l u e & g t ; & l t ; i n t & g t ; 1 1 & l t ; / i n t & g t ; & l t ; / v a l u e & g t ; & l t ; / i t e m & g t ; & l t ; i t e m & g t ; & l t ; k e y & g t ; & l t ; s t r i n g & g t ; S h i p p i n g   D e s t i n a t i o n & l t ; / s t r i n g & g t ; & l t ; / k e y & g t ; & l t ; v a l u e & g t ; & l t ; i n t & g t ; 1 2 & l t ; / i n t & g t ; & l t ; / v a l u e & g t ; & l t ; / i t e m & g t ; & l t ; i t e m & g t ; & l t ; k e y & g t ; & l t ; s t r i n g & g t ; S h i p   D a t e & l t ; / s t r i n g & g t ; & l t ; / k e y & g t ; & l t ; v a l u e & g t ; & l t ; i n t & g t ; 1 3 & l t ; / i n t & g t ; & l t ; / v a l u e & g t ; & l t ; / i t e m & g t ; & l t ; i t e m & g t ; & l t ; k e y & g t ; & l t ; s t r i n g & g t ; R e c e i p t   D a t e & l t ; / s t r i n g & g t ; & l t ; / k e y & g t ; & l t ; v a l u e & g t ; & l t ; i n t & g t ; 1 4 & l t ; / i n t & g t ; & l t ; / v a l u e & g t ; & l t ; / i t e m & g t ; & l t ; i t e m & g t ; & l t ; k e y & g t ; & l t ; s t r i n g & g t ; Q & l t ; / s t r i n g & g t ; & l t ; / k e y & g t ; & l t ; v a l u e & g t ; & l t ; i n t & g t ; 1 5 & l t ; / i n t & g t ; & l t ; / v a l u e & g t ; & l t ; / i t e m & g t ; & l t ; i t e m & g t ; & l t ; k e y & g t ; & l t ; s t r i n g & g t ; N o t e s & l t ; / s t r i n g & g t ; & l t ; / k e y & g t ; & l t ; v a l u e & g t ; & l t ; i n t & g t ; 1 7 & l t ; / i n t & g t ; & l t ; / v a l u e & g t ; & l t ; / i t e m & g t ; & l t ; i t e m & g t ; & l t ; k e y & g t ; & l t ; s t r i n g & g t ; S h i p   D a t e   ( M o n t h   I n d e x ) & l t ; / s t r i n g & g t ; & l t ; / k e y & g t ; & l t ; v a l u e & g t ; & l t ; i n t & g t ; 1 8 & l t ; / i n t & g t ; & l t ; / v a l u e & g t ; & l t ; / i t e m & g t ; & l t ; i t e m & g t ; & l t ; k e y & g t ; & l t ; s t r i n g & g t ; S h i p   D a t e   ( M o n t h ) & l t ; / s t r i n g & g t ; & l t ; / k e y & g t ; & l t ; v a l u e & g t ; & l t ; i n t & g t ; 1 9 & l t ; / i n t & g t ; & l t ; / v a l u e & g t ; & l t ; / i t e m & g t ; & l t ; i t e m & g t ; & l t ; k e y & g t ; & l t ; s t r i n g & g t ; S t a t u s & l t ; / s t r i n g & g t ; & l t ; / k e y & g t ; & l t ; v a l u e & g t ; & l t ; i n t & g t ; 1 6 & l t ; / i n t & g t ; & l t ; / v a l u e & g t ; & l t ; / i t e m & g t ; & l t ; / C o l u m n D i s p l a y I n d e x & g t ; & l t ; C o l u m n F r o z e n   / & g t ; & l t ; C o l u m n C h e c k e d   / & g t ; & l t ; C o l u m n F i l t e r   / & g t ; & l t ; S e l e c t i o n F i l t e r   / & g t ; & l t ; F i l t e r P a r a m e t e r s   / & g t ; & l t ; I s S o r t D e s c e n d i n g & g t ; f a l s e & l t ; / I s S o r t D e s c e n d i n g & g t ; & l t ; / T a b l e W i d g e t G r i d S e r i a l i z a t i o n & g t ; < / C u s t o m C o n t e n t > < / G e m i n i > 
</file>

<file path=customXml/item5.xml>��< ? x m l   v e r s i o n = " 1 . 0 "   e n c o d i n g = " U T F - 1 6 " ? > < G e m i n i   x m l n s = " h t t p : / / g e m i n i / p i v o t c u s t o m i z a t i o n / M a n u a l C a l c M o d e " > < C u s t o m C o n t e n t > < ! [ C D A T A [ F a l s e ] ] > < / C u s t o m C o n t e n t > < / G e m i n i > 
</file>

<file path=customXml/item6.xml>��< ? x m l   v e r s i o n = " 1 . 0 "   e n c o d i n g = " U T F - 1 6 " ? > < G e m i n i   x m l n s = " h t t p : / / g e m i n i / p i v o t c u s t o m i z a t i o n / L i n k e d T a b l e s " > < C u s t o m C o n t e n t > < ! [ C D A T A [ < L i n k e d T a b l e s   x m l n s : x s i = " h t t p : / / w w w . w 3 . o r g / 2 0 0 1 / X M L S c h e m a - i n s t a n c e "   x m l n s : x s d = " h t t p : / / w w w . w 3 . o r g / 2 0 0 1 / X M L S c h e m a " > < L i n k e d T a b l e L i s t > < L i n k e d T a b l e I n f o > < E x c e l T a b l e N a m e > C a v i t y S t a t u s < / E x c e l T a b l e N a m e > < G e m i n i T a b l e I d > C a v i t y S t a t u s < / G e m i n i T a b l e I d > < L i n k e d C o l u m n L i s t   / > < U p d a t e N e e d e d > f a l s e < / U p d a t e N e e d e d > < R o w C o u n t > 0 < / R o w C o u n t > < / L i n k e d T a b l e I n f o > < L i n k e d T a b l e I n f o > < E x c e l T a b l e N a m e > A c c r u a l s < / E x c e l T a b l e N a m e > < G e m i n i T a b l e I d > A c c r u a l s < / G e m i n i T a b l e I d > < L i n k e d C o l u m n L i s t   / > < U p d a t e N e e d e d > f a l s e < / U p d a t e N e e d e d > < R o w C o u n t > 0 < / R o w C o u n t > < / L i n k e d T a b l e I n f o > < / L i n k e d T a b l e L i s t > < / L i n k e d T a b l e s > ] ] > < / C u s t o m C o n t e n t > < / G e m i n i > 
</file>

<file path=customXml/item7.xml>��< ? x m l   v e r s i o n = " 1 . 0 "   e n c o d i n g = " U T F - 1 6 " ? > < G e m i n i   x m l n s = " h t t p : / / g e m i n i / p i v o t c u s t o m i z a t i o n / L i n k e d T a b l e U p d a t e M o d e " > < C u s t o m C o n t e n t > < ! [ C D A T A [ T r u e ] ] > < / C u s t o m C o n t e n t > < / G e m i n i > 
</file>

<file path=customXml/item8.xml>��< ? x m l   v e r s i o n = " 1 . 0 "   e n c o d i n g = " U T F - 1 6 " ? > < G e m i n i   x m l n s = " h t t p : / / g e m i n i / p i v o t c u s t o m i z a t i o n / F o r m u l a B a r S t a t e " > < C u s t o m C o n t e n t > < ! [ C D A T A [ < S a n d b o x E d i t o r . F o r m u l a B a r S t a t e   x m l n s = " h t t p : / / s c h e m a s . d a t a c o n t r a c t . o r g / 2 0 0 4 / 0 7 / M i c r o s o f t . A n a l y s i s S e r v i c e s . C o m m o n "   x m l n s : i = " h t t p : / / w w w . w 3 . o r g / 2 0 0 1 / X M L S c h e m a - i n s t a n c e " > < H e i g h t > 2 7 < / H e i g h t > < / S a n d b o x E d i t o r . F o r m u l a B a r S t a t e > ] ] > < / C u s t o m C o n t e n t > < / G e m i n i > 
</file>

<file path=customXml/item9.xml>��< ? x m l   v e r s i o n = " 1 . 0 "   e n c o d i n g = " U T F - 1 6 " ? > < G e m i n i   x m l n s = " h t t p : / / g e m i n i / p i v o t c u s t o m i z a t i o n / T a b l e O r d e r " > < C u s t o m C o n t e n t > C a v i t y S t a t u s , A c c r u a l s < / C u s t o m C o n t e n t > < / G e m i n i > 
</file>

<file path=customXml/itemProps1.xml><?xml version="1.0" encoding="utf-8"?>
<ds:datastoreItem xmlns:ds="http://schemas.openxmlformats.org/officeDocument/2006/customXml" ds:itemID="{0621F163-4643-42E6-8C97-D89F8447F949}">
  <ds:schemaRefs/>
</ds:datastoreItem>
</file>

<file path=customXml/itemProps10.xml><?xml version="1.0" encoding="utf-8"?>
<ds:datastoreItem xmlns:ds="http://schemas.openxmlformats.org/officeDocument/2006/customXml" ds:itemID="{31B9F0FA-471B-4456-A149-D1D4A29096E7}">
  <ds:schemaRefs/>
</ds:datastoreItem>
</file>

<file path=customXml/itemProps11.xml><?xml version="1.0" encoding="utf-8"?>
<ds:datastoreItem xmlns:ds="http://schemas.openxmlformats.org/officeDocument/2006/customXml" ds:itemID="{1F0BAA02-7DB9-49E5-B473-C751C6AB17FC}">
  <ds:schemaRefs/>
</ds:datastoreItem>
</file>

<file path=customXml/itemProps12.xml><?xml version="1.0" encoding="utf-8"?>
<ds:datastoreItem xmlns:ds="http://schemas.openxmlformats.org/officeDocument/2006/customXml" ds:itemID="{5D4B0DCA-5934-43E5-8FFD-72EE27B27756}">
  <ds:schemaRefs/>
</ds:datastoreItem>
</file>

<file path=customXml/itemProps13.xml><?xml version="1.0" encoding="utf-8"?>
<ds:datastoreItem xmlns:ds="http://schemas.openxmlformats.org/officeDocument/2006/customXml" ds:itemID="{835FD945-A2A3-4603-B7F9-7EC55525F852}">
  <ds:schemaRefs/>
</ds:datastoreItem>
</file>

<file path=customXml/itemProps14.xml><?xml version="1.0" encoding="utf-8"?>
<ds:datastoreItem xmlns:ds="http://schemas.openxmlformats.org/officeDocument/2006/customXml" ds:itemID="{9464F929-709F-4BEC-90E6-AD65C2A93FB5}">
  <ds:schemaRefs/>
</ds:datastoreItem>
</file>

<file path=customXml/itemProps15.xml><?xml version="1.0" encoding="utf-8"?>
<ds:datastoreItem xmlns:ds="http://schemas.openxmlformats.org/officeDocument/2006/customXml" ds:itemID="{1A201BD1-D404-4F2D-AA95-68479F95CA28}">
  <ds:schemaRefs/>
</ds:datastoreItem>
</file>

<file path=customXml/itemProps16.xml><?xml version="1.0" encoding="utf-8"?>
<ds:datastoreItem xmlns:ds="http://schemas.openxmlformats.org/officeDocument/2006/customXml" ds:itemID="{1ED25CF4-D4EC-47BA-A3D0-1EA8F36EE2BB}">
  <ds:schemaRefs/>
</ds:datastoreItem>
</file>

<file path=customXml/itemProps17.xml><?xml version="1.0" encoding="utf-8"?>
<ds:datastoreItem xmlns:ds="http://schemas.openxmlformats.org/officeDocument/2006/customXml" ds:itemID="{383A9B03-2599-4D31-A54B-D58421C3CE62}">
  <ds:schemaRefs/>
</ds:datastoreItem>
</file>

<file path=customXml/itemProps18.xml><?xml version="1.0" encoding="utf-8"?>
<ds:datastoreItem xmlns:ds="http://schemas.openxmlformats.org/officeDocument/2006/customXml" ds:itemID="{F3ADA0BA-8286-4D01-89AB-937806D58052}">
  <ds:schemaRefs/>
</ds:datastoreItem>
</file>

<file path=customXml/itemProps19.xml><?xml version="1.0" encoding="utf-8"?>
<ds:datastoreItem xmlns:ds="http://schemas.openxmlformats.org/officeDocument/2006/customXml" ds:itemID="{23AE241C-8312-418E-8DE9-9099AA39A41B}">
  <ds:schemaRefs/>
</ds:datastoreItem>
</file>

<file path=customXml/itemProps2.xml><?xml version="1.0" encoding="utf-8"?>
<ds:datastoreItem xmlns:ds="http://schemas.openxmlformats.org/officeDocument/2006/customXml" ds:itemID="{F21940E7-EC6A-465F-BA37-A3CAA07719CD}">
  <ds:schemaRefs/>
</ds:datastoreItem>
</file>

<file path=customXml/itemProps3.xml><?xml version="1.0" encoding="utf-8"?>
<ds:datastoreItem xmlns:ds="http://schemas.openxmlformats.org/officeDocument/2006/customXml" ds:itemID="{77AEADC9-0304-4847-ADB2-7BE3685E21C1}">
  <ds:schemaRefs/>
</ds:datastoreItem>
</file>

<file path=customXml/itemProps4.xml><?xml version="1.0" encoding="utf-8"?>
<ds:datastoreItem xmlns:ds="http://schemas.openxmlformats.org/officeDocument/2006/customXml" ds:itemID="{104FE832-A27E-4430-BDF8-9BE65D16A4FE}">
  <ds:schemaRefs/>
</ds:datastoreItem>
</file>

<file path=customXml/itemProps5.xml><?xml version="1.0" encoding="utf-8"?>
<ds:datastoreItem xmlns:ds="http://schemas.openxmlformats.org/officeDocument/2006/customXml" ds:itemID="{C40B6D35-CBFC-4081-98C4-51444092CA67}">
  <ds:schemaRefs/>
</ds:datastoreItem>
</file>

<file path=customXml/itemProps6.xml><?xml version="1.0" encoding="utf-8"?>
<ds:datastoreItem xmlns:ds="http://schemas.openxmlformats.org/officeDocument/2006/customXml" ds:itemID="{308A2BEA-A1CA-4113-BF8D-9CF8E3F0DC55}">
  <ds:schemaRefs/>
</ds:datastoreItem>
</file>

<file path=customXml/itemProps7.xml><?xml version="1.0" encoding="utf-8"?>
<ds:datastoreItem xmlns:ds="http://schemas.openxmlformats.org/officeDocument/2006/customXml" ds:itemID="{829E1F48-5437-4FA0-9BC7-6C671ED32989}">
  <ds:schemaRefs/>
</ds:datastoreItem>
</file>

<file path=customXml/itemProps8.xml><?xml version="1.0" encoding="utf-8"?>
<ds:datastoreItem xmlns:ds="http://schemas.openxmlformats.org/officeDocument/2006/customXml" ds:itemID="{DBC45318-2BCA-4ECE-BAE9-467F599FA01B}">
  <ds:schemaRefs/>
</ds:datastoreItem>
</file>

<file path=customXml/itemProps9.xml><?xml version="1.0" encoding="utf-8"?>
<ds:datastoreItem xmlns:ds="http://schemas.openxmlformats.org/officeDocument/2006/customXml" ds:itemID="{C5759F49-E357-47D8-A33E-84DEB770A91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Form</vt:lpstr>
      <vt:lpstr>Process</vt:lpstr>
      <vt:lpstr> Accting USE Data Entry Form</vt:lpstr>
      <vt:lpstr>Accrual Details</vt:lpstr>
      <vt:lpstr>Invoices</vt:lpstr>
      <vt:lpstr>Sheet1</vt:lpstr>
      <vt:lpstr>Cavity Status</vt:lpstr>
      <vt:lpstr>Accept</vt:lpstr>
      <vt:lpstr>Incentivized Schedule</vt:lpstr>
      <vt:lpstr>List</vt:lpstr>
      <vt:lpstr>RICavMilestoneVal</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Jarrod Fitzpatrick</cp:lastModifiedBy>
  <cp:lastPrinted>2016-02-03T19:47:28Z</cp:lastPrinted>
  <dcterms:created xsi:type="dcterms:W3CDTF">2007-10-19T12:34:40Z</dcterms:created>
  <dcterms:modified xsi:type="dcterms:W3CDTF">2017-06-30T15:05:25Z</dcterms:modified>
</cp:coreProperties>
</file>