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LCLS-II\PMO\Accruals\03. Dec-17\"/>
    </mc:Choice>
  </mc:AlternateContent>
  <bookViews>
    <workbookView xWindow="8040" yWindow="105" windowWidth="11355" windowHeight="8385"/>
  </bookViews>
  <sheets>
    <sheet name="Form" sheetId="1" r:id="rId1"/>
    <sheet name="Process" sheetId="4" r:id="rId2"/>
    <sheet name=" Accting USE Data Entry Form" sheetId="3" r:id="rId3"/>
    <sheet name="Invoices" sheetId="6" r:id="rId4"/>
    <sheet name="Sheet1" sheetId="9" r:id="rId5"/>
    <sheet name="Cavity Status" sheetId="7" r:id="rId6"/>
    <sheet name="Accept" sheetId="11" r:id="rId7"/>
    <sheet name="Incentivized Schedule" sheetId="10" r:id="rId8"/>
    <sheet name="List" sheetId="5" r:id="rId9"/>
  </sheets>
  <externalReferences>
    <externalReference r:id="rId10"/>
  </externalReferences>
  <definedNames>
    <definedName name="_xlnm._FilterDatabase" localSheetId="2" hidden="1">' Accting USE Data Entry Form'!$A$9:$Z$99</definedName>
    <definedName name="_xlnm._FilterDatabase" localSheetId="0" hidden="1">Form!$A$7:$L$113</definedName>
    <definedName name="_xlnm._FilterDatabase" localSheetId="3" hidden="1">Invoices!$B$1:$H$83</definedName>
    <definedName name="_xlnm._FilterDatabase" localSheetId="8" hidden="1">List!$E$2:$F$62</definedName>
    <definedName name="_xlcn.LinkedTable_Accruals" hidden="1">' Accting USE Data Entry Form'!$A$9:$Z$99</definedName>
    <definedName name="_xlcn.LinkedTable_CavityStatus"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X102" i="3" l="1"/>
  <c r="W102" i="3" s="1"/>
  <c r="U102" i="3"/>
  <c r="V102" i="3" s="1"/>
  <c r="C102" i="3"/>
  <c r="X101" i="3"/>
  <c r="W101" i="3" s="1"/>
  <c r="U101" i="3"/>
  <c r="V101" i="3" s="1"/>
  <c r="C101" i="3"/>
  <c r="V98" i="3"/>
  <c r="Y98" i="3"/>
  <c r="W98" i="3"/>
  <c r="Y97" i="3"/>
  <c r="W100" i="3"/>
  <c r="W99" i="3"/>
  <c r="W97" i="3"/>
  <c r="W96" i="3"/>
  <c r="W95" i="3"/>
  <c r="S76" i="3"/>
  <c r="Y101" i="3" l="1"/>
  <c r="Y102" i="3"/>
  <c r="X100" i="3"/>
  <c r="U100" i="3"/>
  <c r="V100" i="3" s="1"/>
  <c r="C100" i="3"/>
  <c r="U58" i="3"/>
  <c r="Q33" i="3"/>
  <c r="Y100" i="3" l="1"/>
  <c r="P64" i="3"/>
  <c r="U57" i="3"/>
  <c r="U54" i="3"/>
  <c r="V31" i="3"/>
  <c r="Q10" i="3"/>
  <c r="Q11" i="3"/>
  <c r="Q12" i="3"/>
  <c r="Q13" i="3"/>
  <c r="Q14" i="3"/>
  <c r="Q15" i="3"/>
  <c r="Q16" i="3"/>
  <c r="Q17" i="3"/>
  <c r="Q18" i="3"/>
  <c r="Q19" i="3"/>
  <c r="Q20" i="3"/>
  <c r="Q21" i="3"/>
  <c r="Q22" i="3"/>
  <c r="Q23" i="3"/>
  <c r="Q24" i="3"/>
  <c r="Q25" i="3"/>
  <c r="Q26" i="3"/>
  <c r="Q27" i="3"/>
  <c r="Q28" i="3"/>
  <c r="Q29" i="3"/>
  <c r="Q30" i="3"/>
  <c r="Q34" i="3"/>
  <c r="Q35" i="3"/>
  <c r="Q36" i="3"/>
  <c r="Q37" i="3"/>
  <c r="Q38" i="3"/>
  <c r="Q39" i="3"/>
  <c r="Q40" i="3"/>
  <c r="Q41" i="3"/>
  <c r="Q42" i="3"/>
  <c r="Q43" i="3"/>
  <c r="Q44" i="3"/>
  <c r="Q45" i="3"/>
  <c r="Q46" i="3"/>
  <c r="Q47" i="3"/>
  <c r="Q48" i="3"/>
  <c r="Q55" i="3"/>
  <c r="Q56" i="3"/>
  <c r="P58" i="3" l="1"/>
  <c r="P57" i="3"/>
  <c r="C135" i="10"/>
  <c r="A228" i="7" l="1"/>
  <c r="G98" i="1" l="1"/>
  <c r="G99" i="1"/>
  <c r="G100" i="1"/>
  <c r="G101" i="1"/>
  <c r="G102" i="1"/>
  <c r="G103" i="1"/>
  <c r="G104" i="1"/>
  <c r="G105" i="1"/>
  <c r="G106" i="1"/>
  <c r="G107" i="1"/>
  <c r="G108" i="1"/>
  <c r="G109" i="1"/>
  <c r="G110" i="1"/>
  <c r="G111" i="1"/>
  <c r="G112" i="1"/>
  <c r="G113" i="1"/>
  <c r="C112" i="1"/>
  <c r="C113" i="1"/>
  <c r="C98" i="1"/>
  <c r="C99" i="1"/>
  <c r="C100" i="1"/>
  <c r="C101" i="1"/>
  <c r="C102" i="1"/>
  <c r="C103" i="1"/>
  <c r="C104" i="1"/>
  <c r="C105" i="1"/>
  <c r="C106" i="1"/>
  <c r="C107" i="1"/>
  <c r="C108" i="1"/>
  <c r="C109" i="1"/>
  <c r="C110" i="1"/>
  <c r="C111" i="1"/>
  <c r="C56" i="1"/>
  <c r="F2" i="6" l="1"/>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X99" i="3"/>
  <c r="X98" i="3"/>
  <c r="X97" i="3"/>
  <c r="X96" i="3"/>
  <c r="X95" i="3"/>
  <c r="X94" i="3"/>
  <c r="X93" i="3"/>
  <c r="B4" i="11" l="1"/>
  <c r="E4" i="11"/>
  <c r="F4" i="11"/>
  <c r="G4" i="11"/>
  <c r="H4" i="11"/>
  <c r="K4" i="11"/>
  <c r="B5" i="11"/>
  <c r="C5" i="11"/>
  <c r="E5" i="11"/>
  <c r="F5" i="11"/>
  <c r="G5" i="11"/>
  <c r="H5" i="11"/>
  <c r="K5" i="11"/>
  <c r="B6" i="11"/>
  <c r="C6" i="11"/>
  <c r="D6" i="11"/>
  <c r="E6" i="11"/>
  <c r="F6" i="11"/>
  <c r="G6" i="11"/>
  <c r="H6" i="11"/>
  <c r="K6" i="11"/>
  <c r="B7" i="11"/>
  <c r="C7" i="11"/>
  <c r="D7" i="11"/>
  <c r="E7" i="11"/>
  <c r="F7" i="11"/>
  <c r="G7" i="11"/>
  <c r="H7" i="11"/>
  <c r="K7" i="11"/>
  <c r="B8" i="11"/>
  <c r="C8" i="11"/>
  <c r="D8" i="11"/>
  <c r="E8" i="11"/>
  <c r="F8" i="11"/>
  <c r="G8" i="11"/>
  <c r="H8" i="11"/>
  <c r="K8" i="11"/>
  <c r="B9" i="11"/>
  <c r="C9" i="11"/>
  <c r="D9" i="11"/>
  <c r="E9" i="11"/>
  <c r="F9" i="11"/>
  <c r="G9" i="11"/>
  <c r="H9" i="11"/>
  <c r="K9" i="11"/>
  <c r="B10" i="11"/>
  <c r="C10" i="11"/>
  <c r="D10" i="11"/>
  <c r="E10" i="11"/>
  <c r="F10" i="11"/>
  <c r="G10" i="11"/>
  <c r="H10" i="11"/>
  <c r="K10" i="11"/>
  <c r="B11" i="11"/>
  <c r="C11" i="11"/>
  <c r="D11" i="11"/>
  <c r="E11" i="11"/>
  <c r="F11" i="11"/>
  <c r="G11" i="11"/>
  <c r="H11" i="11"/>
  <c r="K11" i="11"/>
  <c r="B12" i="11"/>
  <c r="C12" i="11"/>
  <c r="D12" i="11"/>
  <c r="E12" i="11"/>
  <c r="F12" i="11"/>
  <c r="G12" i="11"/>
  <c r="H12" i="11"/>
  <c r="K12" i="11"/>
  <c r="B13" i="11"/>
  <c r="C13" i="11"/>
  <c r="D13" i="11"/>
  <c r="E13" i="11"/>
  <c r="F13" i="11"/>
  <c r="G13" i="11"/>
  <c r="H13" i="11"/>
  <c r="K13" i="11"/>
  <c r="B14" i="11"/>
  <c r="C14" i="11"/>
  <c r="D14" i="11"/>
  <c r="E14" i="11"/>
  <c r="F14" i="11"/>
  <c r="G14" i="11"/>
  <c r="H14" i="11"/>
  <c r="K14" i="11"/>
  <c r="B15" i="11"/>
  <c r="C15" i="11"/>
  <c r="D15" i="11"/>
  <c r="E15" i="11"/>
  <c r="F15" i="11"/>
  <c r="G15" i="11"/>
  <c r="H15" i="11"/>
  <c r="K15" i="11"/>
  <c r="B16" i="11"/>
  <c r="C16" i="11"/>
  <c r="D16" i="11"/>
  <c r="E16" i="11"/>
  <c r="F16" i="11"/>
  <c r="G16" i="11"/>
  <c r="H16" i="11"/>
  <c r="K16" i="11"/>
  <c r="B17" i="11"/>
  <c r="C17" i="11"/>
  <c r="D17" i="11"/>
  <c r="E17" i="11"/>
  <c r="F17" i="11"/>
  <c r="G17" i="11"/>
  <c r="H17" i="11"/>
  <c r="K17" i="11"/>
  <c r="B18" i="11"/>
  <c r="C18" i="11"/>
  <c r="D18" i="11"/>
  <c r="E18" i="11"/>
  <c r="F18" i="11"/>
  <c r="G18" i="11"/>
  <c r="H18" i="11"/>
  <c r="K18" i="11"/>
  <c r="B19" i="11"/>
  <c r="C19" i="11"/>
  <c r="D19" i="11"/>
  <c r="E19" i="11"/>
  <c r="F19" i="11"/>
  <c r="G19" i="11"/>
  <c r="H19" i="11"/>
  <c r="K19" i="11"/>
  <c r="B20" i="11"/>
  <c r="C20" i="11"/>
  <c r="D20" i="11"/>
  <c r="E20" i="11"/>
  <c r="F20" i="11"/>
  <c r="G20" i="11"/>
  <c r="H20" i="11"/>
  <c r="K20" i="11"/>
  <c r="B21" i="11"/>
  <c r="C21" i="11"/>
  <c r="D21" i="11"/>
  <c r="E21" i="11"/>
  <c r="F21" i="11"/>
  <c r="G21" i="11"/>
  <c r="H21" i="11"/>
  <c r="K21" i="11"/>
  <c r="B22" i="11"/>
  <c r="C22" i="11"/>
  <c r="D22" i="11"/>
  <c r="E22" i="11"/>
  <c r="F22" i="11"/>
  <c r="G22" i="11"/>
  <c r="H22" i="11"/>
  <c r="K22" i="11"/>
  <c r="B23" i="11"/>
  <c r="C23" i="11"/>
  <c r="D23" i="11"/>
  <c r="E23" i="11"/>
  <c r="F23" i="11"/>
  <c r="G23" i="11"/>
  <c r="H23" i="11"/>
  <c r="K23" i="11"/>
  <c r="B24" i="11"/>
  <c r="C24" i="11"/>
  <c r="D24" i="11"/>
  <c r="E24" i="11"/>
  <c r="F24" i="11"/>
  <c r="G24" i="11"/>
  <c r="H24" i="11"/>
  <c r="K24" i="11"/>
  <c r="B25" i="11"/>
  <c r="C25" i="11"/>
  <c r="D25" i="11"/>
  <c r="E25" i="11"/>
  <c r="F25" i="11"/>
  <c r="G25" i="11"/>
  <c r="H25" i="11"/>
  <c r="K25" i="11"/>
  <c r="B26" i="11"/>
  <c r="C26" i="11"/>
  <c r="D26" i="11"/>
  <c r="E26" i="11"/>
  <c r="F26" i="11"/>
  <c r="G26" i="11"/>
  <c r="H26" i="11"/>
  <c r="K26" i="11"/>
  <c r="B27" i="11"/>
  <c r="C27" i="11"/>
  <c r="D27" i="11"/>
  <c r="E27" i="11"/>
  <c r="F27" i="11"/>
  <c r="G27" i="11"/>
  <c r="H27" i="11"/>
  <c r="K27" i="11"/>
  <c r="B28" i="11"/>
  <c r="C28" i="11"/>
  <c r="D28" i="11"/>
  <c r="E28" i="11"/>
  <c r="F28" i="11"/>
  <c r="G28" i="11"/>
  <c r="H28" i="11"/>
  <c r="K28" i="11"/>
  <c r="B29" i="11"/>
  <c r="C29" i="11"/>
  <c r="D29" i="11"/>
  <c r="E29" i="11"/>
  <c r="F29" i="11"/>
  <c r="G29" i="11"/>
  <c r="H29" i="11"/>
  <c r="K29" i="11"/>
  <c r="B30" i="11"/>
  <c r="C30" i="11"/>
  <c r="D30" i="11"/>
  <c r="E30" i="11"/>
  <c r="F30" i="11"/>
  <c r="G30" i="11"/>
  <c r="H30" i="11"/>
  <c r="K30" i="11"/>
  <c r="B31" i="11"/>
  <c r="C31" i="11"/>
  <c r="D31" i="11"/>
  <c r="E31" i="11"/>
  <c r="F31" i="11"/>
  <c r="G31" i="11"/>
  <c r="H31" i="11"/>
  <c r="K31" i="11"/>
  <c r="B32" i="11"/>
  <c r="C32" i="11"/>
  <c r="D32" i="11"/>
  <c r="E32" i="11"/>
  <c r="F32" i="11"/>
  <c r="G32" i="11"/>
  <c r="H32" i="11"/>
  <c r="K32" i="11"/>
  <c r="B33" i="11"/>
  <c r="C33" i="11"/>
  <c r="D33" i="11"/>
  <c r="E33" i="11"/>
  <c r="F33" i="11"/>
  <c r="G33" i="11"/>
  <c r="H33" i="11"/>
  <c r="K33" i="11"/>
  <c r="B34" i="11"/>
  <c r="C34" i="11"/>
  <c r="D34" i="11"/>
  <c r="E34" i="11"/>
  <c r="F34" i="11"/>
  <c r="G34" i="11"/>
  <c r="H34" i="11"/>
  <c r="K34" i="11"/>
  <c r="B35" i="11"/>
  <c r="C35" i="11"/>
  <c r="D35" i="11"/>
  <c r="E35" i="11"/>
  <c r="F35" i="11"/>
  <c r="G35" i="11"/>
  <c r="H35" i="11"/>
  <c r="K35" i="11"/>
  <c r="B36" i="11"/>
  <c r="C36" i="11"/>
  <c r="D36" i="11"/>
  <c r="E36" i="11"/>
  <c r="F36" i="11"/>
  <c r="G36" i="11"/>
  <c r="H36" i="11"/>
  <c r="K36" i="11"/>
  <c r="B37" i="11"/>
  <c r="C37" i="11"/>
  <c r="D37" i="11"/>
  <c r="E37" i="11"/>
  <c r="F37" i="11"/>
  <c r="G37" i="11"/>
  <c r="H37" i="11"/>
  <c r="K37" i="11"/>
  <c r="B38" i="11"/>
  <c r="C38" i="11"/>
  <c r="D38" i="11"/>
  <c r="E38" i="11"/>
  <c r="F38" i="11"/>
  <c r="G38" i="11"/>
  <c r="H38" i="11"/>
  <c r="K38" i="11"/>
  <c r="B39" i="11"/>
  <c r="C39" i="11"/>
  <c r="D39" i="11"/>
  <c r="E39" i="11"/>
  <c r="F39" i="11"/>
  <c r="G39" i="11"/>
  <c r="H39" i="11"/>
  <c r="K39" i="11"/>
  <c r="B40" i="11"/>
  <c r="C40" i="11"/>
  <c r="D40" i="11"/>
  <c r="E40" i="11"/>
  <c r="F40" i="11"/>
  <c r="G40" i="11"/>
  <c r="H40" i="11"/>
  <c r="K40" i="11"/>
  <c r="B41" i="11"/>
  <c r="C41" i="11"/>
  <c r="D41" i="11"/>
  <c r="E41" i="11"/>
  <c r="F41" i="11"/>
  <c r="G41" i="11"/>
  <c r="H41" i="11"/>
  <c r="K41" i="11"/>
  <c r="B42" i="11"/>
  <c r="C42" i="11"/>
  <c r="D42" i="11"/>
  <c r="E42" i="11"/>
  <c r="F42" i="11"/>
  <c r="G42" i="11"/>
  <c r="H42" i="11"/>
  <c r="K42" i="11"/>
  <c r="B43" i="11"/>
  <c r="C43" i="11"/>
  <c r="D43" i="11"/>
  <c r="E43" i="11"/>
  <c r="F43" i="11"/>
  <c r="G43" i="11"/>
  <c r="H43" i="11"/>
  <c r="K43" i="11"/>
  <c r="B44" i="11"/>
  <c r="C44" i="11"/>
  <c r="D44" i="11"/>
  <c r="E44" i="11"/>
  <c r="F44" i="11"/>
  <c r="G44" i="11"/>
  <c r="H44" i="11"/>
  <c r="K44" i="11"/>
  <c r="B45" i="11"/>
  <c r="C45" i="11"/>
  <c r="D45" i="11"/>
  <c r="E45" i="11"/>
  <c r="F45" i="11"/>
  <c r="G45" i="11"/>
  <c r="H45" i="11"/>
  <c r="K45" i="11"/>
  <c r="B46" i="11"/>
  <c r="C46" i="11"/>
  <c r="D46" i="11"/>
  <c r="E46" i="11"/>
  <c r="F46" i="11"/>
  <c r="G46" i="11"/>
  <c r="H46" i="11"/>
  <c r="K46" i="11"/>
  <c r="B47" i="11"/>
  <c r="C47" i="11"/>
  <c r="D47" i="11"/>
  <c r="E47" i="11"/>
  <c r="F47" i="11"/>
  <c r="G47" i="11"/>
  <c r="H47" i="11"/>
  <c r="K47" i="11"/>
  <c r="B48" i="11"/>
  <c r="C48" i="11"/>
  <c r="D48" i="11"/>
  <c r="E48" i="11"/>
  <c r="F48" i="11"/>
  <c r="G48" i="11"/>
  <c r="H48" i="11"/>
  <c r="K48" i="11"/>
  <c r="B49" i="11"/>
  <c r="C49" i="11"/>
  <c r="D49" i="11"/>
  <c r="E49" i="11"/>
  <c r="F49" i="11"/>
  <c r="G49" i="11"/>
  <c r="H49" i="11"/>
  <c r="K49" i="11"/>
  <c r="B50" i="11"/>
  <c r="C50" i="11"/>
  <c r="D50" i="11"/>
  <c r="E50" i="11"/>
  <c r="F50" i="11"/>
  <c r="G50" i="11"/>
  <c r="H50" i="11"/>
  <c r="K50" i="11"/>
  <c r="B51" i="11"/>
  <c r="C51" i="11"/>
  <c r="D51" i="11"/>
  <c r="E51" i="11"/>
  <c r="F51" i="11"/>
  <c r="G51" i="11"/>
  <c r="H51" i="11"/>
  <c r="K51" i="11"/>
  <c r="B52" i="11"/>
  <c r="C52" i="11"/>
  <c r="D52" i="11"/>
  <c r="E52" i="11"/>
  <c r="F52" i="11"/>
  <c r="G52" i="11"/>
  <c r="H52" i="11"/>
  <c r="K52" i="11"/>
  <c r="B53" i="11"/>
  <c r="C53" i="11"/>
  <c r="D53" i="11"/>
  <c r="E53" i="11"/>
  <c r="F53" i="11"/>
  <c r="G53" i="11"/>
  <c r="H53" i="11"/>
  <c r="K53" i="11"/>
  <c r="B54" i="11"/>
  <c r="C54" i="11"/>
  <c r="D54" i="11"/>
  <c r="E54" i="11"/>
  <c r="F54" i="11"/>
  <c r="G54" i="11"/>
  <c r="H54" i="11"/>
  <c r="K54" i="11"/>
  <c r="B55" i="11"/>
  <c r="C55" i="11"/>
  <c r="D55" i="11"/>
  <c r="E55" i="11"/>
  <c r="F55" i="11"/>
  <c r="G55" i="11"/>
  <c r="H55" i="11"/>
  <c r="K55" i="11"/>
  <c r="B56" i="11"/>
  <c r="C56" i="11"/>
  <c r="D56" i="11"/>
  <c r="E56" i="11"/>
  <c r="F56" i="11"/>
  <c r="G56" i="11"/>
  <c r="H56" i="11"/>
  <c r="K56" i="11"/>
  <c r="B57" i="11"/>
  <c r="C57" i="11"/>
  <c r="D57" i="11"/>
  <c r="E57" i="11"/>
  <c r="F57" i="11"/>
  <c r="G57" i="11"/>
  <c r="H57" i="11"/>
  <c r="K57" i="11"/>
  <c r="B58" i="11"/>
  <c r="C58" i="11"/>
  <c r="D58" i="11"/>
  <c r="E58" i="11"/>
  <c r="F58" i="11"/>
  <c r="G58" i="11"/>
  <c r="H58" i="11"/>
  <c r="K58" i="11"/>
  <c r="B59" i="11"/>
  <c r="C59" i="11"/>
  <c r="D59" i="11"/>
  <c r="E59" i="11"/>
  <c r="F59" i="11"/>
  <c r="G59" i="11"/>
  <c r="H59" i="11"/>
  <c r="K59" i="11"/>
  <c r="B60" i="11"/>
  <c r="C60" i="11"/>
  <c r="D60" i="11"/>
  <c r="E60" i="11"/>
  <c r="F60" i="11"/>
  <c r="G60" i="11"/>
  <c r="H60" i="11"/>
  <c r="K60" i="11"/>
  <c r="B61" i="11"/>
  <c r="C61" i="11"/>
  <c r="D61" i="11"/>
  <c r="E61" i="11"/>
  <c r="F61" i="11"/>
  <c r="G61" i="11"/>
  <c r="H61" i="11"/>
  <c r="K61" i="11"/>
  <c r="B62" i="11"/>
  <c r="C62" i="11"/>
  <c r="D62" i="11"/>
  <c r="E62" i="11"/>
  <c r="F62" i="11"/>
  <c r="G62" i="11"/>
  <c r="H62" i="11"/>
  <c r="K62" i="11"/>
  <c r="B63" i="11"/>
  <c r="C63" i="11"/>
  <c r="D63" i="11"/>
  <c r="E63" i="11"/>
  <c r="F63" i="11"/>
  <c r="G63" i="11"/>
  <c r="H63" i="11"/>
  <c r="K63" i="11"/>
  <c r="B64" i="11"/>
  <c r="C64" i="11"/>
  <c r="D64" i="11"/>
  <c r="E64" i="11"/>
  <c r="F64" i="11"/>
  <c r="G64" i="11"/>
  <c r="H64" i="11"/>
  <c r="K64" i="11"/>
  <c r="B65" i="11"/>
  <c r="C65" i="11"/>
  <c r="D65" i="11"/>
  <c r="E65" i="11"/>
  <c r="F65" i="11"/>
  <c r="G65" i="11"/>
  <c r="H65" i="11"/>
  <c r="K65" i="11"/>
  <c r="B66" i="11"/>
  <c r="C66" i="11"/>
  <c r="D66" i="11"/>
  <c r="E66" i="11"/>
  <c r="F66" i="11"/>
  <c r="G66" i="11"/>
  <c r="H66" i="11"/>
  <c r="K66" i="11"/>
  <c r="B67" i="11"/>
  <c r="C67" i="11"/>
  <c r="D67" i="11"/>
  <c r="E67" i="11"/>
  <c r="F67" i="11"/>
  <c r="G67" i="11"/>
  <c r="H67" i="11"/>
  <c r="K67" i="11"/>
  <c r="B68" i="11"/>
  <c r="C68" i="11"/>
  <c r="D68" i="11"/>
  <c r="E68" i="11"/>
  <c r="F68" i="11"/>
  <c r="G68" i="11"/>
  <c r="H68" i="11"/>
  <c r="K68" i="11"/>
  <c r="B69" i="11"/>
  <c r="C69" i="11"/>
  <c r="D69" i="11"/>
  <c r="E69" i="11"/>
  <c r="F69" i="11"/>
  <c r="G69" i="11"/>
  <c r="H69" i="11"/>
  <c r="K69" i="11"/>
  <c r="B70" i="11"/>
  <c r="C70" i="11"/>
  <c r="D70" i="11"/>
  <c r="E70" i="11"/>
  <c r="F70" i="11"/>
  <c r="G70" i="11"/>
  <c r="H70" i="11"/>
  <c r="K70" i="11"/>
  <c r="B71" i="11"/>
  <c r="C71" i="11"/>
  <c r="D71" i="11"/>
  <c r="E71" i="11"/>
  <c r="F71" i="11"/>
  <c r="G71" i="11"/>
  <c r="H71" i="11"/>
  <c r="K71" i="11"/>
  <c r="B72" i="11"/>
  <c r="C72" i="11"/>
  <c r="D72" i="11"/>
  <c r="E72" i="11"/>
  <c r="F72" i="11"/>
  <c r="G72" i="11"/>
  <c r="H72" i="11"/>
  <c r="K72" i="11"/>
  <c r="B73" i="11"/>
  <c r="C73" i="11"/>
  <c r="D73" i="11"/>
  <c r="E73" i="11"/>
  <c r="F73" i="11"/>
  <c r="G73" i="11"/>
  <c r="H73" i="11"/>
  <c r="K73" i="11"/>
  <c r="B74" i="11"/>
  <c r="C74" i="11"/>
  <c r="D74" i="11"/>
  <c r="E74" i="11"/>
  <c r="F74" i="11"/>
  <c r="G74" i="11"/>
  <c r="H74" i="11"/>
  <c r="K74" i="11"/>
  <c r="B75" i="11"/>
  <c r="C75" i="11"/>
  <c r="D75" i="11"/>
  <c r="E75" i="11"/>
  <c r="F75" i="11"/>
  <c r="G75" i="11"/>
  <c r="H75" i="11"/>
  <c r="K75" i="11"/>
  <c r="B76" i="11"/>
  <c r="C76" i="11"/>
  <c r="D76" i="11"/>
  <c r="E76" i="11"/>
  <c r="F76" i="11"/>
  <c r="G76" i="11"/>
  <c r="H76" i="11"/>
  <c r="K76" i="11"/>
  <c r="B77" i="11"/>
  <c r="C77" i="11"/>
  <c r="D77" i="11"/>
  <c r="E77" i="11"/>
  <c r="F77" i="11"/>
  <c r="G77" i="11"/>
  <c r="H77" i="11"/>
  <c r="K77" i="11"/>
  <c r="B78" i="11"/>
  <c r="C78" i="11"/>
  <c r="D78" i="11"/>
  <c r="E78" i="11"/>
  <c r="F78" i="11"/>
  <c r="G78" i="11"/>
  <c r="H78" i="11"/>
  <c r="K78" i="11"/>
  <c r="B79" i="11"/>
  <c r="C79" i="11"/>
  <c r="D79" i="11"/>
  <c r="E79" i="11"/>
  <c r="F79" i="11"/>
  <c r="G79" i="11"/>
  <c r="H79" i="11"/>
  <c r="K79" i="11"/>
  <c r="B80" i="11"/>
  <c r="C80" i="11"/>
  <c r="D80" i="11"/>
  <c r="E80" i="11"/>
  <c r="F80" i="11"/>
  <c r="G80" i="11"/>
  <c r="H80" i="11"/>
  <c r="K80" i="11"/>
  <c r="B81" i="11"/>
  <c r="C81" i="11"/>
  <c r="D81" i="11"/>
  <c r="E81" i="11"/>
  <c r="F81" i="11"/>
  <c r="G81" i="11"/>
  <c r="H81" i="11"/>
  <c r="K81" i="11"/>
  <c r="B82" i="11"/>
  <c r="C82" i="11"/>
  <c r="D82" i="11"/>
  <c r="E82" i="11"/>
  <c r="F82" i="11"/>
  <c r="G82" i="11"/>
  <c r="H82" i="11"/>
  <c r="K82" i="11"/>
  <c r="B83" i="11"/>
  <c r="C83" i="11"/>
  <c r="D83" i="11"/>
  <c r="E83" i="11"/>
  <c r="F83" i="11"/>
  <c r="G83" i="11"/>
  <c r="H83" i="11"/>
  <c r="K83" i="11"/>
  <c r="B84" i="11"/>
  <c r="C84" i="11"/>
  <c r="D84" i="11"/>
  <c r="E84" i="11"/>
  <c r="F84" i="11"/>
  <c r="G84" i="11"/>
  <c r="H84" i="11"/>
  <c r="K84" i="11"/>
  <c r="B85" i="11"/>
  <c r="C85" i="11"/>
  <c r="D85" i="11"/>
  <c r="E85" i="11"/>
  <c r="F85" i="11"/>
  <c r="G85" i="11"/>
  <c r="H85" i="11"/>
  <c r="K85" i="11"/>
  <c r="B86" i="11"/>
  <c r="C86" i="11"/>
  <c r="D86" i="11"/>
  <c r="E86" i="11"/>
  <c r="F86" i="11"/>
  <c r="G86" i="11"/>
  <c r="H86" i="11"/>
  <c r="K86" i="11"/>
  <c r="B87" i="11"/>
  <c r="C87" i="11"/>
  <c r="D87" i="11"/>
  <c r="E87" i="11"/>
  <c r="F87" i="11"/>
  <c r="G87" i="11"/>
  <c r="H87" i="11"/>
  <c r="K87" i="11"/>
  <c r="B88" i="11"/>
  <c r="C88" i="11"/>
  <c r="E88" i="11"/>
  <c r="G88" i="11"/>
  <c r="H88" i="11"/>
  <c r="K88" i="11"/>
  <c r="B89" i="11"/>
  <c r="C89" i="11"/>
  <c r="D89" i="11"/>
  <c r="E89" i="11"/>
  <c r="F89" i="11"/>
  <c r="G89" i="11"/>
  <c r="H89" i="11"/>
  <c r="K89" i="11"/>
  <c r="B90" i="11"/>
  <c r="C90" i="11"/>
  <c r="D90" i="11"/>
  <c r="E90" i="11"/>
  <c r="F90" i="11"/>
  <c r="G90" i="11"/>
  <c r="H90" i="11"/>
  <c r="K90" i="11"/>
  <c r="B91" i="11"/>
  <c r="C91" i="11"/>
  <c r="E91" i="11"/>
  <c r="F91" i="11"/>
  <c r="G91" i="11"/>
  <c r="H91" i="11"/>
  <c r="K91" i="11"/>
  <c r="B92" i="11"/>
  <c r="C92" i="11"/>
  <c r="D92" i="11"/>
  <c r="E92" i="11"/>
  <c r="F92" i="11"/>
  <c r="G92" i="11"/>
  <c r="H92" i="11"/>
  <c r="K92" i="11"/>
  <c r="B93" i="11"/>
  <c r="C93" i="11"/>
  <c r="D93" i="11"/>
  <c r="E93" i="11"/>
  <c r="F93" i="11"/>
  <c r="G93" i="11"/>
  <c r="H93" i="11"/>
  <c r="K93" i="11"/>
  <c r="B94" i="11"/>
  <c r="C94" i="11"/>
  <c r="E94" i="11"/>
  <c r="F94" i="11"/>
  <c r="G94" i="11"/>
  <c r="H94" i="11"/>
  <c r="K94" i="11"/>
  <c r="B95" i="11"/>
  <c r="C95" i="11"/>
  <c r="D95" i="11"/>
  <c r="E95" i="11"/>
  <c r="F95" i="11"/>
  <c r="G95" i="11"/>
  <c r="H95" i="11"/>
  <c r="K95" i="11"/>
  <c r="B96" i="11"/>
  <c r="C96" i="11"/>
  <c r="E96" i="11"/>
  <c r="F96" i="11"/>
  <c r="G96" i="11"/>
  <c r="H96" i="11"/>
  <c r="K96" i="11"/>
  <c r="B97" i="11"/>
  <c r="C97" i="11"/>
  <c r="D97" i="11"/>
  <c r="E97" i="11"/>
  <c r="F97" i="11"/>
  <c r="G97" i="11"/>
  <c r="H97" i="11"/>
  <c r="K97" i="11"/>
  <c r="B98" i="11"/>
  <c r="C98" i="11"/>
  <c r="E98" i="11"/>
  <c r="G98" i="11"/>
  <c r="H98" i="11"/>
  <c r="K98" i="11"/>
  <c r="B99" i="11"/>
  <c r="C99" i="11"/>
  <c r="E99" i="11"/>
  <c r="G99" i="11"/>
  <c r="H99" i="11"/>
  <c r="K99" i="11"/>
  <c r="B100" i="11"/>
  <c r="C100" i="11"/>
  <c r="E100" i="11"/>
  <c r="F100" i="11"/>
  <c r="G100" i="11"/>
  <c r="H100" i="11"/>
  <c r="K100" i="11"/>
  <c r="B101" i="11"/>
  <c r="C101" i="11"/>
  <c r="E101" i="11"/>
  <c r="G101" i="11"/>
  <c r="H101" i="11"/>
  <c r="K101" i="11"/>
  <c r="B102" i="11"/>
  <c r="C102" i="11"/>
  <c r="E102" i="11"/>
  <c r="G102" i="11"/>
  <c r="H102" i="11"/>
  <c r="K102" i="11"/>
  <c r="B103" i="11"/>
  <c r="C103" i="11"/>
  <c r="E103" i="11"/>
  <c r="F103" i="11"/>
  <c r="G103" i="11"/>
  <c r="H103" i="11"/>
  <c r="K103" i="11"/>
  <c r="B104" i="11"/>
  <c r="C104" i="11"/>
  <c r="D104" i="11"/>
  <c r="E104" i="11"/>
  <c r="F104" i="11"/>
  <c r="G104" i="11"/>
  <c r="H104" i="11"/>
  <c r="K104" i="11"/>
  <c r="B105" i="11"/>
  <c r="C105" i="11"/>
  <c r="D105" i="11"/>
  <c r="E105" i="11"/>
  <c r="F105" i="11"/>
  <c r="G105" i="11"/>
  <c r="H105" i="11"/>
  <c r="K105" i="11"/>
  <c r="B106" i="11"/>
  <c r="C106" i="11"/>
  <c r="D106" i="11"/>
  <c r="E106" i="11"/>
  <c r="F106" i="11"/>
  <c r="G106" i="11"/>
  <c r="H106" i="11"/>
  <c r="K106" i="11"/>
  <c r="B107" i="11"/>
  <c r="C107" i="11"/>
  <c r="D107" i="11"/>
  <c r="E107" i="11"/>
  <c r="F107" i="11"/>
  <c r="G107" i="11"/>
  <c r="H107" i="11"/>
  <c r="K107" i="11"/>
  <c r="B108" i="11"/>
  <c r="C108" i="11"/>
  <c r="D108" i="11"/>
  <c r="E108" i="11"/>
  <c r="F108" i="11"/>
  <c r="G108" i="11"/>
  <c r="H108" i="11"/>
  <c r="K108" i="11"/>
  <c r="B109" i="11"/>
  <c r="C109" i="11"/>
  <c r="D109" i="11"/>
  <c r="E109" i="11"/>
  <c r="F109" i="11"/>
  <c r="G109" i="11"/>
  <c r="H109" i="11"/>
  <c r="K109" i="11"/>
  <c r="B110" i="11"/>
  <c r="C110" i="11"/>
  <c r="D110" i="11"/>
  <c r="E110" i="11"/>
  <c r="F110" i="11"/>
  <c r="G110" i="11"/>
  <c r="H110" i="11"/>
  <c r="K110" i="11"/>
  <c r="B111" i="11"/>
  <c r="C111" i="11"/>
  <c r="D111" i="11"/>
  <c r="E111" i="11"/>
  <c r="F111" i="11"/>
  <c r="G111" i="11"/>
  <c r="H111" i="11"/>
  <c r="K111" i="11"/>
  <c r="B112" i="11"/>
  <c r="C112" i="11"/>
  <c r="D112" i="11"/>
  <c r="E112" i="11"/>
  <c r="F112" i="11"/>
  <c r="G112" i="11"/>
  <c r="H112" i="11"/>
  <c r="K112" i="11"/>
  <c r="B113" i="11"/>
  <c r="C113" i="11"/>
  <c r="E113" i="11"/>
  <c r="F113" i="11"/>
  <c r="G113" i="11"/>
  <c r="H113" i="11"/>
  <c r="K113" i="11"/>
  <c r="B114" i="11"/>
  <c r="C114" i="11"/>
  <c r="D114" i="11"/>
  <c r="E114" i="11"/>
  <c r="F114" i="11"/>
  <c r="G114" i="11"/>
  <c r="H114" i="11"/>
  <c r="K114" i="11"/>
  <c r="B115" i="11"/>
  <c r="C115" i="11"/>
  <c r="E115" i="11"/>
  <c r="F115" i="11"/>
  <c r="G115" i="11"/>
  <c r="H115" i="11"/>
  <c r="K115" i="11"/>
  <c r="B116" i="11"/>
  <c r="C116" i="11"/>
  <c r="E116" i="11"/>
  <c r="F116" i="11"/>
  <c r="G116" i="11"/>
  <c r="H116" i="11"/>
  <c r="K116" i="11"/>
  <c r="B117" i="11"/>
  <c r="C117" i="11"/>
  <c r="E117" i="11"/>
  <c r="F117" i="11"/>
  <c r="G117" i="11"/>
  <c r="H117" i="11"/>
  <c r="K117" i="11"/>
  <c r="B118" i="11"/>
  <c r="C118" i="11"/>
  <c r="E118" i="11"/>
  <c r="F118" i="11"/>
  <c r="G118" i="11"/>
  <c r="H118" i="11"/>
  <c r="K118" i="11"/>
  <c r="B119" i="11"/>
  <c r="C119" i="11"/>
  <c r="E119" i="11"/>
  <c r="F119" i="11"/>
  <c r="G119" i="11"/>
  <c r="H119" i="11"/>
  <c r="K119" i="11"/>
  <c r="B120" i="11"/>
  <c r="C120" i="11"/>
  <c r="E120" i="11"/>
  <c r="F120" i="11"/>
  <c r="G120" i="11"/>
  <c r="H120" i="11"/>
  <c r="K120" i="11"/>
  <c r="B121" i="11"/>
  <c r="C121" i="11"/>
  <c r="E121" i="11"/>
  <c r="F121" i="11"/>
  <c r="G121" i="11"/>
  <c r="H121" i="11"/>
  <c r="K121" i="11"/>
  <c r="B122" i="11"/>
  <c r="C122" i="11"/>
  <c r="D122" i="11"/>
  <c r="E122" i="11"/>
  <c r="F122" i="11"/>
  <c r="G122" i="11"/>
  <c r="H122" i="11"/>
  <c r="K122" i="11"/>
  <c r="B123" i="11"/>
  <c r="C123" i="11"/>
  <c r="E123" i="11"/>
  <c r="F123" i="11"/>
  <c r="G123" i="11"/>
  <c r="H123" i="11"/>
  <c r="K123" i="11"/>
  <c r="B124" i="11"/>
  <c r="C124" i="11"/>
  <c r="E124" i="11"/>
  <c r="F124" i="11"/>
  <c r="G124" i="11"/>
  <c r="H124" i="11"/>
  <c r="K124" i="11"/>
  <c r="B125" i="11"/>
  <c r="C125" i="11"/>
  <c r="E125" i="11"/>
  <c r="F125" i="11"/>
  <c r="G125" i="11"/>
  <c r="H125" i="11"/>
  <c r="K125" i="11"/>
  <c r="B126" i="11"/>
  <c r="C126" i="11"/>
  <c r="E126" i="11"/>
  <c r="F126" i="11"/>
  <c r="G126" i="11"/>
  <c r="H126" i="11"/>
  <c r="K126" i="11"/>
  <c r="B127" i="11"/>
  <c r="C127" i="11"/>
  <c r="D127" i="11"/>
  <c r="E127" i="11"/>
  <c r="F127" i="11"/>
  <c r="G127" i="11"/>
  <c r="H127" i="11"/>
  <c r="K127" i="11"/>
  <c r="B128" i="11"/>
  <c r="C128" i="11"/>
  <c r="D128" i="11"/>
  <c r="E128" i="11"/>
  <c r="F128" i="11"/>
  <c r="G128" i="11"/>
  <c r="H128" i="11"/>
  <c r="K128" i="11"/>
  <c r="B129" i="11"/>
  <c r="C129" i="11"/>
  <c r="D129" i="11"/>
  <c r="E129" i="11"/>
  <c r="F129" i="11"/>
  <c r="G129" i="11"/>
  <c r="H129" i="11"/>
  <c r="K129" i="11"/>
  <c r="B130" i="11"/>
  <c r="C130" i="11"/>
  <c r="D130" i="11"/>
  <c r="E130" i="11"/>
  <c r="F130" i="11"/>
  <c r="G130" i="11"/>
  <c r="H130" i="11"/>
  <c r="K130" i="11"/>
  <c r="B131" i="11"/>
  <c r="C131" i="11"/>
  <c r="D131" i="11"/>
  <c r="E131" i="11"/>
  <c r="F131" i="11"/>
  <c r="G131" i="11"/>
  <c r="H131" i="11"/>
  <c r="K131" i="11"/>
  <c r="B132" i="11"/>
  <c r="C132" i="11"/>
  <c r="D132" i="11"/>
  <c r="E132" i="11"/>
  <c r="F132" i="11"/>
  <c r="G132" i="11"/>
  <c r="H132" i="11"/>
  <c r="K132" i="11"/>
  <c r="B133" i="11"/>
  <c r="C133" i="11"/>
  <c r="D133" i="11"/>
  <c r="E133" i="11"/>
  <c r="F133" i="11"/>
  <c r="G133" i="11"/>
  <c r="H133" i="11"/>
  <c r="K133" i="11"/>
  <c r="B134" i="11"/>
  <c r="C134" i="11"/>
  <c r="D134" i="11"/>
  <c r="E134" i="11"/>
  <c r="F134" i="11"/>
  <c r="G134" i="11"/>
  <c r="H134" i="11"/>
  <c r="K134" i="11"/>
  <c r="B135" i="11"/>
  <c r="C135" i="11"/>
  <c r="D135" i="11"/>
  <c r="E135" i="11"/>
  <c r="F135" i="11"/>
  <c r="G135" i="11"/>
  <c r="H135" i="11"/>
  <c r="K135" i="11"/>
  <c r="B136" i="11"/>
  <c r="C136" i="11"/>
  <c r="D136" i="11"/>
  <c r="E136" i="11"/>
  <c r="F136" i="11"/>
  <c r="G136" i="11"/>
  <c r="H136" i="11"/>
  <c r="K136" i="11"/>
  <c r="B137" i="11"/>
  <c r="C137" i="11"/>
  <c r="D137" i="11"/>
  <c r="E137" i="11"/>
  <c r="F137" i="11"/>
  <c r="G137" i="11"/>
  <c r="H137" i="11"/>
  <c r="K137" i="11"/>
  <c r="B138" i="11"/>
  <c r="C138" i="11"/>
  <c r="D138" i="11"/>
  <c r="E138" i="11"/>
  <c r="F138" i="11"/>
  <c r="G138" i="11"/>
  <c r="H138" i="11"/>
  <c r="K138" i="11"/>
  <c r="B139" i="11"/>
  <c r="C139" i="11"/>
  <c r="D139" i="11"/>
  <c r="E139" i="11"/>
  <c r="F139" i="11"/>
  <c r="G139" i="11"/>
  <c r="H139" i="11"/>
  <c r="K139" i="11"/>
  <c r="B140" i="11"/>
  <c r="C140" i="11"/>
  <c r="D140" i="11"/>
  <c r="E140" i="11"/>
  <c r="F140" i="11"/>
  <c r="G140" i="11"/>
  <c r="H140" i="11"/>
  <c r="K140" i="11"/>
  <c r="B141" i="11"/>
  <c r="C141" i="11"/>
  <c r="D141" i="11"/>
  <c r="E141" i="11"/>
  <c r="F141" i="11"/>
  <c r="G141" i="11"/>
  <c r="H141" i="11"/>
  <c r="K141" i="11"/>
  <c r="B142" i="11"/>
  <c r="C142" i="11"/>
  <c r="D142" i="11"/>
  <c r="E142" i="11"/>
  <c r="F142" i="11"/>
  <c r="G142" i="11"/>
  <c r="H142" i="11"/>
  <c r="K142" i="11"/>
  <c r="B143" i="11"/>
  <c r="C143" i="11"/>
  <c r="D143" i="11"/>
  <c r="E143" i="11"/>
  <c r="F143" i="11"/>
  <c r="G143" i="11"/>
  <c r="H143" i="11"/>
  <c r="K143" i="11"/>
  <c r="B144" i="11"/>
  <c r="C144" i="11"/>
  <c r="D144" i="11"/>
  <c r="E144" i="11"/>
  <c r="F144" i="11"/>
  <c r="G144" i="11"/>
  <c r="H144" i="11"/>
  <c r="K144" i="11"/>
  <c r="B145" i="11"/>
  <c r="C145" i="11"/>
  <c r="D145" i="11"/>
  <c r="E145" i="11"/>
  <c r="F145" i="11"/>
  <c r="G145" i="11"/>
  <c r="H145" i="11"/>
  <c r="K145" i="11"/>
  <c r="B146" i="11"/>
  <c r="C146" i="11"/>
  <c r="D146" i="11"/>
  <c r="E146" i="11"/>
  <c r="F146" i="11"/>
  <c r="G146" i="11"/>
  <c r="K146" i="11"/>
  <c r="B147" i="11"/>
  <c r="C147" i="11"/>
  <c r="D147" i="11"/>
  <c r="E147" i="11"/>
  <c r="F147" i="11"/>
  <c r="G147" i="11"/>
  <c r="K147" i="11"/>
  <c r="B148" i="11"/>
  <c r="C148" i="11"/>
  <c r="D148" i="11"/>
  <c r="E148" i="11"/>
  <c r="F148" i="11"/>
  <c r="G148" i="11"/>
  <c r="K148" i="11"/>
  <c r="B149" i="11"/>
  <c r="C149" i="11"/>
  <c r="D149" i="11"/>
  <c r="E149" i="11"/>
  <c r="F149" i="11"/>
  <c r="G149" i="11"/>
  <c r="K149" i="11"/>
  <c r="B150" i="11"/>
  <c r="C150" i="11"/>
  <c r="D150" i="11"/>
  <c r="E150" i="11"/>
  <c r="F150" i="11"/>
  <c r="G150" i="11"/>
  <c r="K150" i="11"/>
  <c r="B151" i="11"/>
  <c r="C151" i="11"/>
  <c r="D151" i="11"/>
  <c r="E151" i="11"/>
  <c r="F151" i="11"/>
  <c r="G151" i="11"/>
  <c r="K151" i="11"/>
  <c r="B152" i="11"/>
  <c r="C152" i="11"/>
  <c r="D152" i="11"/>
  <c r="E152" i="11"/>
  <c r="F152" i="11"/>
  <c r="G152" i="11"/>
  <c r="K152" i="11"/>
  <c r="B153" i="11"/>
  <c r="C153" i="11"/>
  <c r="D153" i="11"/>
  <c r="E153" i="11"/>
  <c r="F153" i="11"/>
  <c r="G153" i="11"/>
  <c r="K153" i="11"/>
  <c r="B154" i="11"/>
  <c r="C154" i="11"/>
  <c r="D154" i="11"/>
  <c r="E154" i="11"/>
  <c r="F154" i="11"/>
  <c r="G154" i="11"/>
  <c r="K154" i="11"/>
  <c r="B155" i="11"/>
  <c r="C155" i="11"/>
  <c r="D155" i="11"/>
  <c r="E155" i="11"/>
  <c r="F155" i="11"/>
  <c r="G155" i="11"/>
  <c r="K155" i="11"/>
  <c r="B156" i="11"/>
  <c r="C156" i="11"/>
  <c r="D156" i="11"/>
  <c r="E156" i="11"/>
  <c r="F156" i="11"/>
  <c r="G156" i="11"/>
  <c r="K156" i="11"/>
  <c r="B157" i="11"/>
  <c r="C157" i="11"/>
  <c r="D157" i="11"/>
  <c r="E157" i="11"/>
  <c r="F157" i="11"/>
  <c r="G157" i="11"/>
  <c r="K157" i="11"/>
  <c r="B158" i="11"/>
  <c r="C158" i="11"/>
  <c r="D158" i="11"/>
  <c r="E158" i="11"/>
  <c r="F158" i="11"/>
  <c r="G158" i="11"/>
  <c r="K158" i="11"/>
  <c r="B159" i="11"/>
  <c r="C159" i="11"/>
  <c r="D159" i="11"/>
  <c r="E159" i="11"/>
  <c r="F159" i="11"/>
  <c r="G159" i="11"/>
  <c r="K159" i="11"/>
  <c r="B160" i="11"/>
  <c r="C160" i="11"/>
  <c r="D160" i="11"/>
  <c r="E160" i="11"/>
  <c r="F160" i="11"/>
  <c r="G160" i="11"/>
  <c r="K160" i="11"/>
  <c r="B161" i="11"/>
  <c r="C161" i="11"/>
  <c r="D161" i="11"/>
  <c r="E161" i="11"/>
  <c r="F161" i="11"/>
  <c r="G161" i="11"/>
  <c r="K161" i="11"/>
  <c r="B162" i="11"/>
  <c r="C162" i="11"/>
  <c r="D162" i="11"/>
  <c r="E162" i="11"/>
  <c r="F162" i="11"/>
  <c r="G162" i="11"/>
  <c r="K162" i="11"/>
  <c r="B163" i="11"/>
  <c r="C163" i="11"/>
  <c r="D163" i="11"/>
  <c r="E163" i="11"/>
  <c r="F163" i="11"/>
  <c r="G163" i="11"/>
  <c r="K163" i="11"/>
  <c r="B164" i="11"/>
  <c r="C164" i="11"/>
  <c r="D164" i="11"/>
  <c r="E164" i="11"/>
  <c r="F164" i="11"/>
  <c r="G164" i="11"/>
  <c r="K164" i="11"/>
  <c r="B165" i="11"/>
  <c r="C165" i="11"/>
  <c r="D165" i="11"/>
  <c r="E165" i="11"/>
  <c r="F165" i="11"/>
  <c r="G165" i="11"/>
  <c r="K165" i="11"/>
  <c r="B166" i="11"/>
  <c r="C166" i="11"/>
  <c r="D166" i="11"/>
  <c r="E166" i="11"/>
  <c r="F166" i="11"/>
  <c r="G166" i="11"/>
  <c r="K166" i="11"/>
  <c r="B167" i="11"/>
  <c r="C167" i="11"/>
  <c r="D167" i="11"/>
  <c r="E167" i="11"/>
  <c r="F167" i="11"/>
  <c r="G167" i="11"/>
  <c r="K167" i="11"/>
  <c r="B168" i="11"/>
  <c r="C168" i="11"/>
  <c r="D168" i="11"/>
  <c r="E168" i="11"/>
  <c r="F168" i="11"/>
  <c r="G168" i="11"/>
  <c r="K168" i="11"/>
  <c r="B169" i="11"/>
  <c r="C169" i="11"/>
  <c r="D169" i="11"/>
  <c r="E169" i="11"/>
  <c r="F169" i="11"/>
  <c r="G169" i="11"/>
  <c r="K169" i="11"/>
  <c r="B170" i="11"/>
  <c r="C170" i="11"/>
  <c r="D170" i="11"/>
  <c r="E170" i="11"/>
  <c r="F170" i="11"/>
  <c r="G170" i="11"/>
  <c r="K170" i="11"/>
  <c r="B171" i="11"/>
  <c r="C171" i="11"/>
  <c r="D171" i="11"/>
  <c r="E171" i="11"/>
  <c r="F171" i="11"/>
  <c r="G171" i="11"/>
  <c r="K171" i="11"/>
  <c r="B172" i="11"/>
  <c r="C172" i="11"/>
  <c r="D172" i="11"/>
  <c r="E172" i="11"/>
  <c r="F172" i="11"/>
  <c r="G172" i="11"/>
  <c r="K172" i="11"/>
  <c r="B173" i="11"/>
  <c r="C173" i="11"/>
  <c r="D173" i="11"/>
  <c r="E173" i="11"/>
  <c r="F173" i="11"/>
  <c r="G173" i="11"/>
  <c r="K173" i="11"/>
  <c r="B174" i="11"/>
  <c r="C174" i="11"/>
  <c r="D174" i="11"/>
  <c r="E174" i="11"/>
  <c r="F174" i="11"/>
  <c r="G174" i="11"/>
  <c r="K174" i="11"/>
  <c r="B175" i="11"/>
  <c r="C175" i="11"/>
  <c r="D175" i="11"/>
  <c r="E175" i="11"/>
  <c r="F175" i="11"/>
  <c r="G175" i="11"/>
  <c r="K175" i="11"/>
  <c r="B176" i="11"/>
  <c r="C176" i="11"/>
  <c r="D176" i="11"/>
  <c r="E176" i="11"/>
  <c r="F176" i="11"/>
  <c r="G176" i="11"/>
  <c r="K176" i="11"/>
  <c r="B177" i="11"/>
  <c r="C177" i="11"/>
  <c r="D177" i="11"/>
  <c r="E177" i="11"/>
  <c r="F177" i="11"/>
  <c r="G177" i="11"/>
  <c r="K177" i="11"/>
  <c r="B178" i="11"/>
  <c r="C178" i="11"/>
  <c r="D178" i="11"/>
  <c r="E178" i="11"/>
  <c r="F178" i="11"/>
  <c r="G178" i="11"/>
  <c r="K178" i="11"/>
  <c r="B179" i="11"/>
  <c r="C179" i="11"/>
  <c r="D179" i="11"/>
  <c r="E179" i="11"/>
  <c r="F179" i="11"/>
  <c r="G179" i="11"/>
  <c r="K179" i="11"/>
  <c r="B180" i="11"/>
  <c r="C180" i="11"/>
  <c r="D180" i="11"/>
  <c r="E180" i="11"/>
  <c r="F180" i="11"/>
  <c r="G180" i="11"/>
  <c r="K180" i="11"/>
  <c r="B181" i="11"/>
  <c r="C181" i="11"/>
  <c r="D181" i="11"/>
  <c r="E181" i="11"/>
  <c r="F181" i="11"/>
  <c r="G181" i="11"/>
  <c r="K181" i="11"/>
  <c r="B182" i="11"/>
  <c r="C182" i="11"/>
  <c r="D182" i="11"/>
  <c r="E182" i="11"/>
  <c r="F182" i="11"/>
  <c r="G182" i="11"/>
  <c r="K182" i="11"/>
  <c r="B183" i="11"/>
  <c r="C183" i="11"/>
  <c r="D183" i="11"/>
  <c r="E183" i="11"/>
  <c r="F183" i="11"/>
  <c r="G183" i="11"/>
  <c r="K183" i="11"/>
  <c r="B184" i="11"/>
  <c r="C184" i="11"/>
  <c r="D184" i="11"/>
  <c r="E184" i="11"/>
  <c r="F184" i="11"/>
  <c r="G184" i="11"/>
  <c r="K184" i="11"/>
  <c r="B185" i="11"/>
  <c r="C185" i="11"/>
  <c r="D185" i="11"/>
  <c r="E185" i="11"/>
  <c r="F185" i="11"/>
  <c r="G185" i="11"/>
  <c r="K185" i="11"/>
  <c r="B186" i="11"/>
  <c r="C186" i="11"/>
  <c r="D186" i="11"/>
  <c r="E186" i="11"/>
  <c r="F186" i="11"/>
  <c r="G186" i="11"/>
  <c r="K186" i="11"/>
  <c r="B187" i="11"/>
  <c r="C187" i="11"/>
  <c r="D187" i="11"/>
  <c r="E187" i="11"/>
  <c r="F187" i="11"/>
  <c r="G187" i="11"/>
  <c r="K187" i="11"/>
  <c r="B188" i="11"/>
  <c r="C188" i="11"/>
  <c r="D188" i="11"/>
  <c r="E188" i="11"/>
  <c r="F188" i="11"/>
  <c r="G188" i="11"/>
  <c r="K188" i="11"/>
  <c r="B189" i="11"/>
  <c r="C189" i="11"/>
  <c r="D189" i="11"/>
  <c r="E189" i="11"/>
  <c r="F189" i="11"/>
  <c r="G189" i="11"/>
  <c r="K189" i="11"/>
  <c r="B190" i="11"/>
  <c r="C190" i="11"/>
  <c r="D190" i="11"/>
  <c r="E190" i="11"/>
  <c r="F190" i="11"/>
  <c r="G190" i="11"/>
  <c r="K190" i="11"/>
  <c r="B191" i="11"/>
  <c r="C191" i="11"/>
  <c r="D191" i="11"/>
  <c r="E191" i="11"/>
  <c r="F191" i="11"/>
  <c r="G191" i="11"/>
  <c r="K191" i="11"/>
  <c r="B192" i="11"/>
  <c r="C192" i="11"/>
  <c r="D192" i="11"/>
  <c r="E192" i="11"/>
  <c r="F192" i="11"/>
  <c r="G192" i="11"/>
  <c r="K192" i="11"/>
  <c r="B193" i="11"/>
  <c r="C193" i="11"/>
  <c r="D193" i="11"/>
  <c r="E193" i="11"/>
  <c r="F193" i="11"/>
  <c r="G193" i="11"/>
  <c r="K193" i="11"/>
  <c r="B194" i="11"/>
  <c r="C194" i="11"/>
  <c r="D194" i="11"/>
  <c r="E194" i="11"/>
  <c r="F194" i="11"/>
  <c r="G194" i="11"/>
  <c r="K194" i="11"/>
  <c r="B195" i="11"/>
  <c r="C195" i="11"/>
  <c r="D195" i="11"/>
  <c r="E195" i="11"/>
  <c r="F195" i="11"/>
  <c r="G195" i="11"/>
  <c r="K195" i="11"/>
  <c r="B196" i="11"/>
  <c r="C196" i="11"/>
  <c r="D196" i="11"/>
  <c r="E196" i="11"/>
  <c r="F196" i="11"/>
  <c r="G196" i="11"/>
  <c r="K196" i="11"/>
  <c r="B197" i="11"/>
  <c r="C197" i="11"/>
  <c r="D197" i="11"/>
  <c r="E197" i="11"/>
  <c r="F197" i="11"/>
  <c r="G197" i="11"/>
  <c r="K197" i="11"/>
  <c r="B198" i="11"/>
  <c r="C198" i="11"/>
  <c r="D198" i="11"/>
  <c r="E198" i="11"/>
  <c r="F198" i="11"/>
  <c r="G198" i="11"/>
  <c r="H198" i="11"/>
  <c r="K198" i="11"/>
  <c r="B199" i="11"/>
  <c r="C199" i="11"/>
  <c r="D199" i="11"/>
  <c r="E199" i="11"/>
  <c r="F199" i="11"/>
  <c r="G199" i="11"/>
  <c r="H199" i="11"/>
  <c r="K199" i="11"/>
  <c r="B200" i="11"/>
  <c r="C200" i="11"/>
  <c r="D200" i="11"/>
  <c r="E200" i="11"/>
  <c r="F200" i="11"/>
  <c r="G200" i="11"/>
  <c r="H200" i="11"/>
  <c r="K200" i="11"/>
  <c r="B201" i="11"/>
  <c r="C201" i="11"/>
  <c r="D201" i="11"/>
  <c r="E201" i="11"/>
  <c r="F201" i="11"/>
  <c r="G201" i="11"/>
  <c r="K201" i="11"/>
  <c r="B202" i="11"/>
  <c r="C202" i="11"/>
  <c r="D202" i="11"/>
  <c r="E202" i="11"/>
  <c r="F202" i="11"/>
  <c r="G202" i="11"/>
  <c r="K202" i="11"/>
  <c r="B203" i="11"/>
  <c r="C203" i="11"/>
  <c r="D203" i="11"/>
  <c r="E203" i="11"/>
  <c r="F203" i="11"/>
  <c r="G203" i="11"/>
  <c r="K203" i="11"/>
  <c r="B204" i="11"/>
  <c r="C204" i="11"/>
  <c r="D204" i="11"/>
  <c r="E204" i="11"/>
  <c r="F204" i="11"/>
  <c r="G204" i="11"/>
  <c r="K204" i="11"/>
  <c r="B205" i="11"/>
  <c r="C205" i="11"/>
  <c r="D205" i="11"/>
  <c r="E205" i="11"/>
  <c r="F205" i="11"/>
  <c r="G205" i="11"/>
  <c r="K205" i="11"/>
  <c r="B206" i="11"/>
  <c r="C206" i="11"/>
  <c r="D206" i="11"/>
  <c r="E206" i="11"/>
  <c r="F206" i="11"/>
  <c r="G206" i="11"/>
  <c r="K206" i="11"/>
  <c r="B207" i="11"/>
  <c r="C207" i="11"/>
  <c r="D207" i="11"/>
  <c r="E207" i="11"/>
  <c r="F207" i="11"/>
  <c r="G207" i="11"/>
  <c r="K207" i="11"/>
  <c r="B208" i="11"/>
  <c r="C208" i="11"/>
  <c r="D208" i="11"/>
  <c r="E208" i="11"/>
  <c r="F208" i="11"/>
  <c r="G208" i="11"/>
  <c r="K208" i="11"/>
  <c r="B209" i="11"/>
  <c r="C209" i="11"/>
  <c r="D209" i="11"/>
  <c r="E209" i="11"/>
  <c r="F209" i="11"/>
  <c r="G209" i="11"/>
  <c r="K209" i="11"/>
  <c r="B210" i="11"/>
  <c r="C210" i="11"/>
  <c r="D210" i="11"/>
  <c r="E210" i="11"/>
  <c r="F210" i="11"/>
  <c r="G210" i="11"/>
  <c r="K210" i="11"/>
  <c r="B211" i="11"/>
  <c r="C211" i="11"/>
  <c r="D211" i="11"/>
  <c r="E211" i="11"/>
  <c r="F211" i="11"/>
  <c r="G211" i="11"/>
  <c r="K211" i="11"/>
  <c r="B212" i="11"/>
  <c r="C212" i="11"/>
  <c r="D212" i="11"/>
  <c r="E212" i="11"/>
  <c r="F212" i="11"/>
  <c r="G212" i="11"/>
  <c r="K212" i="11"/>
  <c r="B213" i="11"/>
  <c r="C213" i="11"/>
  <c r="D213" i="11"/>
  <c r="E213" i="11"/>
  <c r="F213" i="11"/>
  <c r="G213" i="11"/>
  <c r="K213" i="11"/>
  <c r="B214" i="11"/>
  <c r="C214" i="11"/>
  <c r="D214" i="11"/>
  <c r="E214" i="11"/>
  <c r="F214" i="11"/>
  <c r="G214" i="11"/>
  <c r="K214" i="11"/>
  <c r="B215" i="11"/>
  <c r="C215" i="11"/>
  <c r="D215" i="11"/>
  <c r="E215" i="11"/>
  <c r="F215" i="11"/>
  <c r="G215" i="11"/>
  <c r="K215" i="11"/>
  <c r="B216" i="11"/>
  <c r="C216" i="11"/>
  <c r="D216" i="11"/>
  <c r="E216" i="11"/>
  <c r="F216" i="11"/>
  <c r="G216" i="11"/>
  <c r="K216" i="11"/>
  <c r="B217" i="11"/>
  <c r="C217" i="11"/>
  <c r="D217" i="11"/>
  <c r="E217" i="11"/>
  <c r="F217" i="11"/>
  <c r="G217" i="11"/>
  <c r="K217" i="11"/>
  <c r="B218" i="11"/>
  <c r="C218" i="11"/>
  <c r="D218" i="11"/>
  <c r="E218" i="11"/>
  <c r="F218" i="11"/>
  <c r="G218" i="11"/>
  <c r="K218" i="11"/>
  <c r="B219" i="11"/>
  <c r="C219" i="11"/>
  <c r="D219" i="11"/>
  <c r="E219" i="11"/>
  <c r="F219" i="11"/>
  <c r="G219" i="11"/>
  <c r="K219" i="11"/>
  <c r="B220" i="11"/>
  <c r="C220" i="11"/>
  <c r="D220" i="11"/>
  <c r="E220" i="11"/>
  <c r="F220" i="11"/>
  <c r="G220" i="11"/>
  <c r="K220" i="11"/>
  <c r="B221" i="11"/>
  <c r="C221" i="11"/>
  <c r="D221" i="11"/>
  <c r="E221" i="11"/>
  <c r="F221" i="11"/>
  <c r="G221" i="11"/>
  <c r="K221" i="11"/>
  <c r="B222" i="11"/>
  <c r="C222" i="11"/>
  <c r="D222" i="11"/>
  <c r="E222" i="11"/>
  <c r="F222" i="11"/>
  <c r="G222" i="11"/>
  <c r="K222" i="11"/>
  <c r="B223" i="11"/>
  <c r="C223" i="11"/>
  <c r="D223" i="11"/>
  <c r="E223" i="11"/>
  <c r="F223" i="11"/>
  <c r="G223" i="11"/>
  <c r="K223" i="11"/>
  <c r="B224" i="11"/>
  <c r="C224" i="11"/>
  <c r="D224" i="11"/>
  <c r="E224" i="11"/>
  <c r="F224" i="11"/>
  <c r="G224" i="11"/>
  <c r="H224" i="11"/>
  <c r="K224" i="11"/>
  <c r="B225" i="11"/>
  <c r="C225" i="11"/>
  <c r="D225" i="11"/>
  <c r="E225" i="11"/>
  <c r="F225" i="11"/>
  <c r="G225" i="11"/>
  <c r="H225" i="11"/>
  <c r="K225" i="11"/>
  <c r="B226" i="11"/>
  <c r="C226" i="11"/>
  <c r="D226" i="11"/>
  <c r="E226" i="11"/>
  <c r="F226" i="11"/>
  <c r="G226" i="11"/>
  <c r="H226" i="11"/>
  <c r="K226" i="11"/>
  <c r="B227" i="11"/>
  <c r="C227" i="11"/>
  <c r="D227" i="11"/>
  <c r="E227" i="11"/>
  <c r="F227" i="11"/>
  <c r="G227" i="11"/>
  <c r="H227" i="11"/>
  <c r="K227" i="11"/>
  <c r="E228" i="11" l="1"/>
  <c r="C228" i="11"/>
  <c r="G228" i="11"/>
  <c r="N57" i="3" l="1"/>
  <c r="U92" i="3" l="1"/>
  <c r="C90" i="1" s="1"/>
  <c r="U93" i="3"/>
  <c r="C91" i="1" s="1"/>
  <c r="U94" i="3"/>
  <c r="C92" i="1" s="1"/>
  <c r="U95" i="3"/>
  <c r="C93" i="1" s="1"/>
  <c r="U96" i="3"/>
  <c r="C94" i="1" s="1"/>
  <c r="U97" i="3"/>
  <c r="C95" i="1" s="1"/>
  <c r="U98" i="3"/>
  <c r="C96" i="1" s="1"/>
  <c r="U99" i="3"/>
  <c r="C97" i="1" s="1"/>
  <c r="G90" i="1" l="1"/>
  <c r="G91" i="1"/>
  <c r="G92" i="1"/>
  <c r="G93" i="1"/>
  <c r="G94" i="1"/>
  <c r="G95" i="1"/>
  <c r="G96" i="1"/>
  <c r="G97" i="1"/>
  <c r="V94" i="3"/>
  <c r="V95" i="3"/>
  <c r="V96" i="3"/>
  <c r="V97" i="3"/>
  <c r="V99" i="3"/>
  <c r="J228" i="7"/>
  <c r="G206" i="7" l="1"/>
  <c r="G207" i="7"/>
  <c r="G208" i="7"/>
  <c r="G209" i="7"/>
  <c r="G210" i="7"/>
  <c r="G211" i="7"/>
  <c r="G212" i="7"/>
  <c r="G213" i="7"/>
  <c r="G214" i="7"/>
  <c r="G215" i="7"/>
  <c r="G216" i="7"/>
  <c r="G217" i="7"/>
  <c r="G218" i="7"/>
  <c r="G219" i="7"/>
  <c r="G220" i="7"/>
  <c r="G221" i="7"/>
  <c r="G222" i="7"/>
  <c r="G223" i="7"/>
  <c r="H207" i="11"/>
  <c r="H208" i="11"/>
  <c r="H209" i="11"/>
  <c r="H210" i="11"/>
  <c r="H211" i="11"/>
  <c r="H212" i="11"/>
  <c r="H213" i="11"/>
  <c r="H214" i="11"/>
  <c r="H216" i="11"/>
  <c r="H217" i="11"/>
  <c r="H218" i="11"/>
  <c r="H219" i="11"/>
  <c r="H220" i="11"/>
  <c r="H221" i="11"/>
  <c r="H223" i="11"/>
  <c r="O206" i="7"/>
  <c r="I206" i="11" s="1"/>
  <c r="O207" i="7"/>
  <c r="I207" i="11" s="1"/>
  <c r="O208" i="7"/>
  <c r="I208" i="11" s="1"/>
  <c r="O209" i="7"/>
  <c r="I209" i="11" s="1"/>
  <c r="O210" i="7"/>
  <c r="I210" i="11" s="1"/>
  <c r="O211" i="7"/>
  <c r="I211" i="11" s="1"/>
  <c r="O212" i="7"/>
  <c r="I212" i="11" s="1"/>
  <c r="O213" i="7"/>
  <c r="I213" i="11" s="1"/>
  <c r="O214" i="7"/>
  <c r="I214" i="11" s="1"/>
  <c r="O215" i="7"/>
  <c r="I215" i="11" s="1"/>
  <c r="O216" i="7"/>
  <c r="I216" i="11" s="1"/>
  <c r="O217" i="7"/>
  <c r="I217" i="11" s="1"/>
  <c r="O218" i="7"/>
  <c r="I218" i="11" s="1"/>
  <c r="O219" i="7"/>
  <c r="I219" i="11" s="1"/>
  <c r="O220" i="7"/>
  <c r="I220" i="11" s="1"/>
  <c r="O221" i="7"/>
  <c r="I221" i="11" s="1"/>
  <c r="O222" i="7"/>
  <c r="I222" i="11" s="1"/>
  <c r="O223" i="7"/>
  <c r="I223" i="11" s="1"/>
  <c r="G153" i="7"/>
  <c r="G155" i="7"/>
  <c r="G157" i="7"/>
  <c r="G159" i="7"/>
  <c r="G161" i="7"/>
  <c r="G163" i="7"/>
  <c r="G165" i="7"/>
  <c r="G167" i="7"/>
  <c r="G169" i="7"/>
  <c r="G171" i="7"/>
  <c r="G173" i="7"/>
  <c r="G175" i="7"/>
  <c r="G177" i="7"/>
  <c r="G179" i="7"/>
  <c r="G181" i="7"/>
  <c r="G183" i="7"/>
  <c r="G185" i="7"/>
  <c r="G187" i="7"/>
  <c r="G189" i="7"/>
  <c r="G191" i="7"/>
  <c r="G193" i="7"/>
  <c r="H153" i="11"/>
  <c r="H157" i="11"/>
  <c r="H159" i="11"/>
  <c r="H161" i="11"/>
  <c r="H163" i="11"/>
  <c r="H165" i="11"/>
  <c r="H167" i="11"/>
  <c r="H169" i="11"/>
  <c r="H171" i="11"/>
  <c r="H173" i="11"/>
  <c r="H177" i="11"/>
  <c r="H179" i="11"/>
  <c r="H181" i="11"/>
  <c r="H183" i="11"/>
  <c r="H185" i="11"/>
  <c r="H193" i="11"/>
  <c r="O153" i="7"/>
  <c r="I153" i="11" s="1"/>
  <c r="O155" i="7"/>
  <c r="I155" i="11" s="1"/>
  <c r="O157" i="7"/>
  <c r="I157" i="11" s="1"/>
  <c r="O159" i="7"/>
  <c r="I159" i="11" s="1"/>
  <c r="O161" i="7"/>
  <c r="I161" i="11" s="1"/>
  <c r="O163" i="7"/>
  <c r="I163" i="11" s="1"/>
  <c r="O165" i="7"/>
  <c r="I165" i="11" s="1"/>
  <c r="O167" i="7"/>
  <c r="I167" i="11" s="1"/>
  <c r="O169" i="7"/>
  <c r="I169" i="11" s="1"/>
  <c r="O171" i="7"/>
  <c r="I171" i="11" s="1"/>
  <c r="O173" i="7"/>
  <c r="I173" i="11" s="1"/>
  <c r="O175" i="7"/>
  <c r="I175" i="11" s="1"/>
  <c r="O177" i="7"/>
  <c r="I177" i="11" s="1"/>
  <c r="O179" i="7"/>
  <c r="I179" i="11" s="1"/>
  <c r="O181" i="7"/>
  <c r="I181" i="11" s="1"/>
  <c r="O183" i="7"/>
  <c r="I183" i="11" s="1"/>
  <c r="O185" i="7"/>
  <c r="I185" i="11" s="1"/>
  <c r="O187" i="7"/>
  <c r="I187" i="11" s="1"/>
  <c r="O189" i="7"/>
  <c r="I189" i="11" s="1"/>
  <c r="O191" i="7"/>
  <c r="I191" i="11" s="1"/>
  <c r="O193" i="7"/>
  <c r="I193" i="11" s="1"/>
  <c r="G201" i="7"/>
  <c r="G202" i="7"/>
  <c r="G203" i="7"/>
  <c r="G204" i="7"/>
  <c r="G205" i="7"/>
  <c r="H202" i="11"/>
  <c r="H204" i="11"/>
  <c r="H205" i="11"/>
  <c r="O201" i="7"/>
  <c r="I201" i="11" s="1"/>
  <c r="O202" i="7"/>
  <c r="I202" i="11" s="1"/>
  <c r="O203" i="7"/>
  <c r="I203" i="11" s="1"/>
  <c r="O204" i="7"/>
  <c r="I204" i="11" s="1"/>
  <c r="O205" i="7"/>
  <c r="I205" i="11" s="1"/>
  <c r="G146" i="7"/>
  <c r="G147" i="7"/>
  <c r="G148" i="7"/>
  <c r="G149" i="7"/>
  <c r="G150" i="7"/>
  <c r="G151" i="7"/>
  <c r="G152" i="7"/>
  <c r="G154" i="7"/>
  <c r="G156" i="7"/>
  <c r="G158" i="7"/>
  <c r="G160" i="7"/>
  <c r="G162" i="7"/>
  <c r="G164" i="7"/>
  <c r="G166" i="7"/>
  <c r="G168" i="7"/>
  <c r="G170" i="7"/>
  <c r="G172" i="7"/>
  <c r="G174" i="7"/>
  <c r="G176" i="7"/>
  <c r="G178" i="7"/>
  <c r="G180" i="7"/>
  <c r="G182" i="7"/>
  <c r="G184" i="7"/>
  <c r="G186" i="7"/>
  <c r="G188" i="7"/>
  <c r="G190" i="7"/>
  <c r="G192" i="7"/>
  <c r="G194" i="7"/>
  <c r="G195" i="7"/>
  <c r="G196" i="7"/>
  <c r="G197" i="7"/>
  <c r="H146" i="11"/>
  <c r="H147" i="11"/>
  <c r="H148" i="11"/>
  <c r="H149" i="11"/>
  <c r="H150" i="11"/>
  <c r="H151" i="11"/>
  <c r="H152" i="11"/>
  <c r="H154" i="11"/>
  <c r="H156" i="11"/>
  <c r="H158" i="11"/>
  <c r="H160" i="11"/>
  <c r="H162" i="11"/>
  <c r="H164" i="11"/>
  <c r="H166" i="11"/>
  <c r="H168" i="11"/>
  <c r="H170" i="11"/>
  <c r="H172" i="11"/>
  <c r="H174" i="11"/>
  <c r="H176" i="11"/>
  <c r="H178" i="11"/>
  <c r="H180" i="11"/>
  <c r="H182" i="11"/>
  <c r="H184" i="11"/>
  <c r="H186" i="11"/>
  <c r="H188" i="11"/>
  <c r="H190" i="11"/>
  <c r="H192" i="11"/>
  <c r="H194" i="11"/>
  <c r="H195" i="11"/>
  <c r="H196" i="11"/>
  <c r="H197" i="11"/>
  <c r="O146" i="7"/>
  <c r="I146" i="11" s="1"/>
  <c r="O147" i="7"/>
  <c r="I147" i="11" s="1"/>
  <c r="O148" i="7"/>
  <c r="I148" i="11" s="1"/>
  <c r="O149" i="7"/>
  <c r="I149" i="11" s="1"/>
  <c r="O150" i="7"/>
  <c r="I150" i="11" s="1"/>
  <c r="O151" i="7"/>
  <c r="I151" i="11" s="1"/>
  <c r="O152" i="7"/>
  <c r="I152" i="11" s="1"/>
  <c r="O154" i="7"/>
  <c r="I154" i="11" s="1"/>
  <c r="O156" i="7"/>
  <c r="I156" i="11" s="1"/>
  <c r="O158" i="7"/>
  <c r="I158" i="11" s="1"/>
  <c r="O160" i="7"/>
  <c r="I160" i="11" s="1"/>
  <c r="O162" i="7"/>
  <c r="I162" i="11" s="1"/>
  <c r="O164" i="7"/>
  <c r="I164" i="11" s="1"/>
  <c r="O166" i="7"/>
  <c r="I166" i="11" s="1"/>
  <c r="O168" i="7"/>
  <c r="I168" i="11" s="1"/>
  <c r="O170" i="7"/>
  <c r="I170" i="11" s="1"/>
  <c r="O172" i="7"/>
  <c r="I172" i="11" s="1"/>
  <c r="O174" i="7"/>
  <c r="I174" i="11" s="1"/>
  <c r="O176" i="7"/>
  <c r="I176" i="11" s="1"/>
  <c r="O178" i="7"/>
  <c r="I178" i="11" s="1"/>
  <c r="O180" i="7"/>
  <c r="I180" i="11" s="1"/>
  <c r="O182" i="7"/>
  <c r="I182" i="11" s="1"/>
  <c r="O184" i="7"/>
  <c r="I184" i="11" s="1"/>
  <c r="O186" i="7"/>
  <c r="I186" i="11" s="1"/>
  <c r="O188" i="7"/>
  <c r="I188" i="11" s="1"/>
  <c r="O190" i="7"/>
  <c r="I190" i="11" s="1"/>
  <c r="O192" i="7"/>
  <c r="I192" i="11" s="1"/>
  <c r="O194" i="7"/>
  <c r="I194" i="11" s="1"/>
  <c r="O195" i="7"/>
  <c r="I195" i="11" s="1"/>
  <c r="O196" i="7"/>
  <c r="I196" i="11" s="1"/>
  <c r="O197" i="7"/>
  <c r="I197" i="11" s="1"/>
  <c r="P189" i="7" l="1"/>
  <c r="J189" i="11" s="1"/>
  <c r="H189" i="11"/>
  <c r="P203" i="7"/>
  <c r="J203" i="11" s="1"/>
  <c r="H203" i="11"/>
  <c r="P187" i="7"/>
  <c r="J187" i="11" s="1"/>
  <c r="H187" i="11"/>
  <c r="P155" i="7"/>
  <c r="J155" i="11" s="1"/>
  <c r="H155" i="11"/>
  <c r="P215" i="7"/>
  <c r="J215" i="11" s="1"/>
  <c r="H215" i="11"/>
  <c r="P201" i="7"/>
  <c r="J201" i="11" s="1"/>
  <c r="H201" i="11"/>
  <c r="P191" i="7"/>
  <c r="J191" i="11" s="1"/>
  <c r="H191" i="11"/>
  <c r="P175" i="7"/>
  <c r="J175" i="11" s="1"/>
  <c r="H175" i="11"/>
  <c r="P222" i="7"/>
  <c r="J222" i="11" s="1"/>
  <c r="H222" i="11"/>
  <c r="P206" i="7"/>
  <c r="J206" i="11" s="1"/>
  <c r="H206" i="11"/>
  <c r="P159" i="7"/>
  <c r="J159" i="11" s="1"/>
  <c r="P219" i="7"/>
  <c r="J219" i="11" s="1"/>
  <c r="P197" i="7"/>
  <c r="J197" i="11" s="1"/>
  <c r="P192" i="7"/>
  <c r="J192" i="11" s="1"/>
  <c r="P184" i="7"/>
  <c r="J184" i="11" s="1"/>
  <c r="P176" i="7"/>
  <c r="J176" i="11" s="1"/>
  <c r="P168" i="7"/>
  <c r="J168" i="11" s="1"/>
  <c r="P160" i="7"/>
  <c r="J160" i="11" s="1"/>
  <c r="P152" i="7"/>
  <c r="J152" i="11" s="1"/>
  <c r="P148" i="7"/>
  <c r="J148" i="11" s="1"/>
  <c r="P183" i="7"/>
  <c r="J183" i="11" s="1"/>
  <c r="P218" i="7"/>
  <c r="J218" i="11" s="1"/>
  <c r="P221" i="7"/>
  <c r="J221" i="11" s="1"/>
  <c r="P217" i="7"/>
  <c r="J217" i="11" s="1"/>
  <c r="P213" i="7"/>
  <c r="J213" i="11" s="1"/>
  <c r="P209" i="7"/>
  <c r="J209" i="11" s="1"/>
  <c r="P210" i="7"/>
  <c r="J210" i="11" s="1"/>
  <c r="P157" i="7"/>
  <c r="J157" i="11" s="1"/>
  <c r="P207" i="7"/>
  <c r="J207" i="11" s="1"/>
  <c r="P205" i="7"/>
  <c r="J205" i="11" s="1"/>
  <c r="P193" i="7"/>
  <c r="J193" i="11" s="1"/>
  <c r="P185" i="7"/>
  <c r="J185" i="11" s="1"/>
  <c r="P177" i="7"/>
  <c r="J177" i="11" s="1"/>
  <c r="P169" i="7"/>
  <c r="J169" i="11" s="1"/>
  <c r="P161" i="7"/>
  <c r="J161" i="11" s="1"/>
  <c r="P153" i="7"/>
  <c r="J153" i="11" s="1"/>
  <c r="P214" i="7"/>
  <c r="J214" i="11" s="1"/>
  <c r="P167" i="7"/>
  <c r="J167" i="11" s="1"/>
  <c r="P223" i="7"/>
  <c r="J223" i="11" s="1"/>
  <c r="P211" i="7"/>
  <c r="J211" i="11" s="1"/>
  <c r="P194" i="7"/>
  <c r="J194" i="11" s="1"/>
  <c r="P186" i="7"/>
  <c r="J186" i="11" s="1"/>
  <c r="P178" i="7"/>
  <c r="J178" i="11" s="1"/>
  <c r="P170" i="7"/>
  <c r="J170" i="11" s="1"/>
  <c r="P162" i="7"/>
  <c r="J162" i="11" s="1"/>
  <c r="P154" i="7"/>
  <c r="J154" i="11" s="1"/>
  <c r="P149" i="7"/>
  <c r="J149" i="11" s="1"/>
  <c r="P204" i="7"/>
  <c r="J204" i="11" s="1"/>
  <c r="P220" i="7"/>
  <c r="J220" i="11" s="1"/>
  <c r="P216" i="7"/>
  <c r="J216" i="11" s="1"/>
  <c r="P212" i="7"/>
  <c r="J212" i="11" s="1"/>
  <c r="P208" i="7"/>
  <c r="J208" i="11" s="1"/>
  <c r="P179" i="7"/>
  <c r="J179" i="11" s="1"/>
  <c r="P171" i="7"/>
  <c r="J171" i="11" s="1"/>
  <c r="P163" i="7"/>
  <c r="J163" i="11" s="1"/>
  <c r="P181" i="7"/>
  <c r="J181" i="11" s="1"/>
  <c r="P173" i="7"/>
  <c r="J173" i="11" s="1"/>
  <c r="P165" i="7"/>
  <c r="J165" i="11" s="1"/>
  <c r="P188" i="7"/>
  <c r="J188" i="11" s="1"/>
  <c r="P172" i="7"/>
  <c r="J172" i="11" s="1"/>
  <c r="P156" i="7"/>
  <c r="J156" i="11" s="1"/>
  <c r="P146" i="7"/>
  <c r="J146" i="11" s="1"/>
  <c r="P202" i="7"/>
  <c r="J202" i="11" s="1"/>
  <c r="P196" i="7"/>
  <c r="J196" i="11" s="1"/>
  <c r="P190" i="7"/>
  <c r="J190" i="11" s="1"/>
  <c r="P182" i="7"/>
  <c r="J182" i="11" s="1"/>
  <c r="P174" i="7"/>
  <c r="J174" i="11" s="1"/>
  <c r="P166" i="7"/>
  <c r="J166" i="11" s="1"/>
  <c r="P158" i="7"/>
  <c r="J158" i="11" s="1"/>
  <c r="P151" i="7"/>
  <c r="J151" i="11" s="1"/>
  <c r="P147" i="7"/>
  <c r="J147" i="11" s="1"/>
  <c r="P195" i="7"/>
  <c r="J195" i="11" s="1"/>
  <c r="P180" i="7"/>
  <c r="J180" i="11" s="1"/>
  <c r="P164" i="7"/>
  <c r="J164" i="11" s="1"/>
  <c r="P150" i="7"/>
  <c r="J150" i="11" s="1"/>
  <c r="H228" i="11" l="1"/>
  <c r="W93" i="3"/>
  <c r="Y93" i="3" s="1"/>
  <c r="X92" i="3"/>
  <c r="W92" i="3" s="1"/>
  <c r="Y92" i="3" s="1"/>
  <c r="X91" i="3"/>
  <c r="W91" i="3" s="1"/>
  <c r="Y91" i="3" s="1"/>
  <c r="X90" i="3"/>
  <c r="W90" i="3" s="1"/>
  <c r="Y90" i="3" s="1"/>
  <c r="X89" i="3"/>
  <c r="W89" i="3" s="1"/>
  <c r="Y89" i="3" s="1"/>
  <c r="X88" i="3"/>
  <c r="W88" i="3" s="1"/>
  <c r="Y88" i="3" s="1"/>
  <c r="X87" i="3"/>
  <c r="W87" i="3" s="1"/>
  <c r="Y87" i="3" s="1"/>
  <c r="X86" i="3"/>
  <c r="W86" i="3" s="1"/>
  <c r="Y86" i="3" s="1"/>
  <c r="X85" i="3"/>
  <c r="W85" i="3" s="1"/>
  <c r="Y85" i="3" s="1"/>
  <c r="X84" i="3"/>
  <c r="W84" i="3" s="1"/>
  <c r="Y84" i="3" s="1"/>
  <c r="X83" i="3"/>
  <c r="W83" i="3" s="1"/>
  <c r="Y83" i="3" s="1"/>
  <c r="X82" i="3"/>
  <c r="W82" i="3" s="1"/>
  <c r="Y82" i="3" s="1"/>
  <c r="X81" i="3"/>
  <c r="W81" i="3" s="1"/>
  <c r="Y81" i="3" s="1"/>
  <c r="X80" i="3"/>
  <c r="W80" i="3" s="1"/>
  <c r="Y80" i="3" s="1"/>
  <c r="X79" i="3"/>
  <c r="W79" i="3" s="1"/>
  <c r="Y79" i="3" s="1"/>
  <c r="X78" i="3"/>
  <c r="W78" i="3" s="1"/>
  <c r="Y78" i="3" s="1"/>
  <c r="X77" i="3"/>
  <c r="W77" i="3" s="1"/>
  <c r="Y77" i="3" s="1"/>
  <c r="X76" i="3"/>
  <c r="W76" i="3" s="1"/>
  <c r="Y76" i="3" s="1"/>
  <c r="X75" i="3"/>
  <c r="W75" i="3" s="1"/>
  <c r="Y75" i="3" s="1"/>
  <c r="X74" i="3"/>
  <c r="W74" i="3" s="1"/>
  <c r="Y74" i="3" s="1"/>
  <c r="X73" i="3"/>
  <c r="W73" i="3" s="1"/>
  <c r="Y73" i="3" s="1"/>
  <c r="X72" i="3"/>
  <c r="W72" i="3" s="1"/>
  <c r="Y72" i="3" s="1"/>
  <c r="X71" i="3"/>
  <c r="W71" i="3" s="1"/>
  <c r="Y71" i="3" s="1"/>
  <c r="X70" i="3"/>
  <c r="W70" i="3" s="1"/>
  <c r="Y70" i="3" s="1"/>
  <c r="X69" i="3"/>
  <c r="W69" i="3" s="1"/>
  <c r="Y69" i="3" s="1"/>
  <c r="X68" i="3"/>
  <c r="W68" i="3" s="1"/>
  <c r="Y68" i="3" s="1"/>
  <c r="X67" i="3"/>
  <c r="W67" i="3" s="1"/>
  <c r="Y67" i="3" s="1"/>
  <c r="X66" i="3"/>
  <c r="W66" i="3" s="1"/>
  <c r="Y66" i="3" s="1"/>
  <c r="X65" i="3"/>
  <c r="W65" i="3" s="1"/>
  <c r="Y65" i="3" s="1"/>
  <c r="X64" i="3"/>
  <c r="W64" i="3" s="1"/>
  <c r="Y64" i="3" s="1"/>
  <c r="X63" i="3"/>
  <c r="W63" i="3" s="1"/>
  <c r="Y63" i="3" s="1"/>
  <c r="X62" i="3"/>
  <c r="W62" i="3" s="1"/>
  <c r="Y62" i="3" s="1"/>
  <c r="X61" i="3"/>
  <c r="W61" i="3" s="1"/>
  <c r="Y61" i="3" s="1"/>
  <c r="V92" i="3"/>
  <c r="V93" i="3"/>
  <c r="Y95" i="3" l="1"/>
  <c r="Y99" i="3"/>
  <c r="W94" i="3"/>
  <c r="Y94" i="3" s="1"/>
  <c r="Y96" i="3"/>
  <c r="H4" i="7" l="1"/>
  <c r="B228" i="7"/>
  <c r="G92" i="7" l="1"/>
  <c r="G100" i="7"/>
  <c r="G101" i="7"/>
  <c r="G102" i="7"/>
  <c r="G103" i="7"/>
  <c r="G93" i="7"/>
  <c r="G94" i="7"/>
  <c r="G126" i="7"/>
  <c r="G127" i="7"/>
  <c r="G106" i="7"/>
  <c r="G110" i="7"/>
  <c r="G114" i="7"/>
  <c r="G111" i="7"/>
  <c r="G112" i="7"/>
  <c r="G96" i="7"/>
  <c r="G95" i="7"/>
  <c r="G122" i="7"/>
  <c r="G128" i="7"/>
  <c r="G123" i="7"/>
  <c r="G97" i="7"/>
  <c r="G104" i="7"/>
  <c r="G98" i="7"/>
  <c r="G99" i="7"/>
  <c r="G105" i="7"/>
  <c r="G107" i="7"/>
  <c r="G108" i="7"/>
  <c r="G136" i="7"/>
  <c r="G118" i="7"/>
  <c r="G109" i="7"/>
  <c r="G113" i="7"/>
  <c r="G115" i="7"/>
  <c r="G116" i="7"/>
  <c r="G117" i="7"/>
  <c r="G119" i="7"/>
  <c r="G120" i="7"/>
  <c r="G121" i="7"/>
  <c r="G129" i="7"/>
  <c r="G124" i="7"/>
  <c r="G125" i="7"/>
  <c r="G130" i="7"/>
  <c r="G131" i="7"/>
  <c r="G132" i="7"/>
  <c r="G133" i="7"/>
  <c r="G134" i="7"/>
  <c r="G135" i="7"/>
  <c r="G137" i="7"/>
  <c r="G138" i="7"/>
  <c r="G139" i="7"/>
  <c r="G140" i="7"/>
  <c r="G141" i="7"/>
  <c r="G142" i="7"/>
  <c r="G143" i="7"/>
  <c r="G144" i="7"/>
  <c r="G145" i="7"/>
  <c r="G198" i="7"/>
  <c r="G199" i="7"/>
  <c r="G200" i="7"/>
  <c r="G224" i="7"/>
  <c r="G225" i="7"/>
  <c r="G226" i="7"/>
  <c r="G227" i="7"/>
  <c r="U61" i="3" l="1"/>
  <c r="V61" i="3" s="1"/>
  <c r="U90" i="3"/>
  <c r="V90" i="3" s="1"/>
  <c r="U89" i="3"/>
  <c r="V89" i="3" s="1"/>
  <c r="U88" i="3"/>
  <c r="V88" i="3" s="1"/>
  <c r="U87" i="3"/>
  <c r="V87" i="3" s="1"/>
  <c r="U86" i="3"/>
  <c r="V86" i="3" s="1"/>
  <c r="U85" i="3"/>
  <c r="V85" i="3" s="1"/>
  <c r="U84" i="3"/>
  <c r="V84" i="3" s="1"/>
  <c r="U83" i="3"/>
  <c r="V83" i="3" s="1"/>
  <c r="U82" i="3"/>
  <c r="V82" i="3" s="1"/>
  <c r="U81" i="3"/>
  <c r="V81" i="3" s="1"/>
  <c r="U80" i="3"/>
  <c r="V80" i="3" s="1"/>
  <c r="U79" i="3"/>
  <c r="V79" i="3" s="1"/>
  <c r="U78" i="3"/>
  <c r="V78" i="3" s="1"/>
  <c r="U77" i="3"/>
  <c r="V77" i="3" s="1"/>
  <c r="U76" i="3"/>
  <c r="V76" i="3" s="1"/>
  <c r="U75" i="3"/>
  <c r="V75" i="3" s="1"/>
  <c r="U74" i="3"/>
  <c r="V74" i="3" s="1"/>
  <c r="U73" i="3"/>
  <c r="V73" i="3" s="1"/>
  <c r="U72" i="3"/>
  <c r="V72" i="3" s="1"/>
  <c r="U71" i="3"/>
  <c r="V71" i="3" s="1"/>
  <c r="U70" i="3"/>
  <c r="V70" i="3" s="1"/>
  <c r="U69" i="3"/>
  <c r="V69" i="3" s="1"/>
  <c r="U68" i="3"/>
  <c r="V68" i="3" s="1"/>
  <c r="U67" i="3"/>
  <c r="V67" i="3" s="1"/>
  <c r="U66" i="3"/>
  <c r="V66" i="3" s="1"/>
  <c r="U65" i="3"/>
  <c r="V65" i="3" s="1"/>
  <c r="U64" i="3"/>
  <c r="V64" i="3" s="1"/>
  <c r="U63" i="3"/>
  <c r="V63" i="3" s="1"/>
  <c r="U62" i="3"/>
  <c r="V62" i="3" s="1"/>
  <c r="U60" i="3"/>
  <c r="U59" i="3"/>
  <c r="U56" i="3"/>
  <c r="U55" i="3"/>
  <c r="U53" i="3"/>
  <c r="U52" i="3"/>
  <c r="U51" i="3"/>
  <c r="U50" i="3"/>
  <c r="U49" i="3"/>
  <c r="U48" i="3"/>
  <c r="U47" i="3"/>
  <c r="U46" i="3"/>
  <c r="U45" i="3"/>
  <c r="U44" i="3"/>
  <c r="U43" i="3"/>
  <c r="U42" i="3"/>
  <c r="U41" i="3"/>
  <c r="U40" i="3"/>
  <c r="U39" i="3"/>
  <c r="U38" i="3"/>
  <c r="U35" i="3"/>
  <c r="U34" i="3"/>
  <c r="U32" i="3"/>
  <c r="U30" i="3"/>
  <c r="U29" i="3"/>
  <c r="U28" i="3"/>
  <c r="U27" i="3"/>
  <c r="U26" i="3"/>
  <c r="U25" i="3"/>
  <c r="U24" i="3"/>
  <c r="U23" i="3"/>
  <c r="U22" i="3"/>
  <c r="U21" i="3"/>
  <c r="U20" i="3"/>
  <c r="U19" i="3"/>
  <c r="U18" i="3"/>
  <c r="U17" i="3"/>
  <c r="U16" i="3"/>
  <c r="U15" i="3"/>
  <c r="U14" i="3"/>
  <c r="U13" i="3"/>
  <c r="U12" i="3"/>
  <c r="U11" i="3"/>
  <c r="U10" i="3"/>
  <c r="V10" i="3" s="1"/>
  <c r="C11" i="1" l="1"/>
  <c r="V13" i="3"/>
  <c r="C15" i="1"/>
  <c r="V17" i="3"/>
  <c r="C19" i="1"/>
  <c r="V21" i="3"/>
  <c r="C23" i="1"/>
  <c r="V25" i="3"/>
  <c r="C27" i="1"/>
  <c r="V29" i="3"/>
  <c r="C32" i="1"/>
  <c r="V34" i="3"/>
  <c r="C38" i="1"/>
  <c r="V40" i="3"/>
  <c r="C42" i="1"/>
  <c r="V44" i="3"/>
  <c r="C46" i="1"/>
  <c r="V48" i="3"/>
  <c r="C50" i="1"/>
  <c r="V52" i="3"/>
  <c r="C54" i="1"/>
  <c r="V56" i="3"/>
  <c r="C12" i="1"/>
  <c r="V14" i="3"/>
  <c r="C16" i="1"/>
  <c r="V18" i="3"/>
  <c r="C20" i="1"/>
  <c r="V22" i="3"/>
  <c r="C24" i="1"/>
  <c r="V26" i="3"/>
  <c r="C28" i="1"/>
  <c r="V30" i="3"/>
  <c r="C33" i="1"/>
  <c r="V35" i="3"/>
  <c r="C39" i="1"/>
  <c r="V41" i="3"/>
  <c r="C43" i="1"/>
  <c r="V45" i="3"/>
  <c r="C47" i="1"/>
  <c r="V49" i="3"/>
  <c r="C51" i="1"/>
  <c r="V53" i="3"/>
  <c r="C57" i="1"/>
  <c r="V59" i="3"/>
  <c r="C9" i="1"/>
  <c r="V11" i="3"/>
  <c r="C13" i="1"/>
  <c r="V15" i="3"/>
  <c r="C17" i="1"/>
  <c r="V19" i="3"/>
  <c r="C21" i="1"/>
  <c r="V23" i="3"/>
  <c r="C25" i="1"/>
  <c r="V27" i="3"/>
  <c r="C29" i="1"/>
  <c r="C36" i="1"/>
  <c r="V38" i="3"/>
  <c r="C40" i="1"/>
  <c r="V42" i="3"/>
  <c r="C44" i="1"/>
  <c r="V46" i="3"/>
  <c r="C48" i="1"/>
  <c r="V50" i="3"/>
  <c r="C52" i="1"/>
  <c r="V54" i="3"/>
  <c r="C58" i="1"/>
  <c r="V60" i="3"/>
  <c r="C10" i="1"/>
  <c r="V12" i="3"/>
  <c r="C14" i="1"/>
  <c r="V16" i="3"/>
  <c r="C18" i="1"/>
  <c r="V20" i="3"/>
  <c r="C22" i="1"/>
  <c r="V24" i="3"/>
  <c r="C26" i="1"/>
  <c r="V28" i="3"/>
  <c r="C30" i="1"/>
  <c r="V32" i="3"/>
  <c r="C37" i="1"/>
  <c r="V39" i="3"/>
  <c r="C41" i="1"/>
  <c r="V43" i="3"/>
  <c r="C45" i="1"/>
  <c r="V47" i="3"/>
  <c r="C49" i="1"/>
  <c r="V51" i="3"/>
  <c r="C53" i="1"/>
  <c r="V55" i="3"/>
  <c r="C60" i="1"/>
  <c r="C64" i="1"/>
  <c r="C68" i="1"/>
  <c r="C72" i="1"/>
  <c r="C76" i="1"/>
  <c r="C80" i="1"/>
  <c r="C84" i="1"/>
  <c r="C88" i="1"/>
  <c r="C61" i="1"/>
  <c r="C65" i="1"/>
  <c r="C69" i="1"/>
  <c r="C73" i="1"/>
  <c r="C77" i="1"/>
  <c r="C81" i="1"/>
  <c r="C85" i="1"/>
  <c r="C62" i="1"/>
  <c r="C66" i="1"/>
  <c r="C70" i="1"/>
  <c r="C74" i="1"/>
  <c r="C78" i="1"/>
  <c r="C82" i="1"/>
  <c r="C86" i="1"/>
  <c r="C59" i="1"/>
  <c r="C63" i="1"/>
  <c r="C67" i="1"/>
  <c r="C71" i="1"/>
  <c r="C75" i="1"/>
  <c r="C79" i="1"/>
  <c r="C83" i="1"/>
  <c r="C87" i="1"/>
  <c r="G76" i="1"/>
  <c r="G77" i="1"/>
  <c r="G78" i="1"/>
  <c r="G79" i="1"/>
  <c r="G80" i="1"/>
  <c r="G81" i="1"/>
  <c r="G82" i="1"/>
  <c r="G83" i="1"/>
  <c r="G84" i="1"/>
  <c r="G85" i="1"/>
  <c r="G86" i="1"/>
  <c r="G87" i="1"/>
  <c r="G88" i="1"/>
  <c r="G89" i="1"/>
  <c r="G58" i="1"/>
  <c r="G59" i="1"/>
  <c r="G60" i="1"/>
  <c r="G61" i="1"/>
  <c r="G62" i="1"/>
  <c r="G63" i="1"/>
  <c r="G64" i="1"/>
  <c r="G65" i="1"/>
  <c r="G66" i="1"/>
  <c r="G67" i="1"/>
  <c r="G68" i="1"/>
  <c r="G69" i="1"/>
  <c r="G70" i="1"/>
  <c r="G71" i="1"/>
  <c r="G72" i="1"/>
  <c r="G73" i="1"/>
  <c r="G74" i="1"/>
  <c r="G75" i="1"/>
  <c r="C61" i="3" l="1"/>
  <c r="X60" i="3"/>
  <c r="W60" i="3" s="1"/>
  <c r="Y60" i="3" s="1"/>
  <c r="C60" i="3"/>
  <c r="H19" i="7" l="1"/>
  <c r="H18" i="7"/>
  <c r="H17" i="7"/>
  <c r="H16" i="7"/>
  <c r="H15" i="7"/>
  <c r="H14" i="7"/>
  <c r="H13" i="7"/>
  <c r="H12" i="7"/>
  <c r="H11" i="7"/>
  <c r="H10" i="7"/>
  <c r="H9" i="7"/>
  <c r="H8" i="7"/>
  <c r="H7" i="7"/>
  <c r="H6" i="7"/>
  <c r="H5" i="7"/>
  <c r="G91" i="7"/>
  <c r="G90" i="7"/>
  <c r="G89" i="7"/>
  <c r="G79" i="7"/>
  <c r="G78" i="7"/>
  <c r="G76" i="7"/>
  <c r="G75" i="7"/>
  <c r="G77" i="7"/>
  <c r="G74" i="7"/>
  <c r="G73" i="7"/>
  <c r="G72" i="7"/>
  <c r="G71" i="7"/>
  <c r="G70" i="7"/>
  <c r="G68" i="7"/>
  <c r="G69" i="7"/>
  <c r="G67" i="7"/>
  <c r="G66" i="7"/>
  <c r="G64" i="7"/>
  <c r="G65" i="7"/>
  <c r="G63" i="7"/>
  <c r="G62" i="7"/>
  <c r="G83" i="7"/>
  <c r="G82" i="7"/>
  <c r="G81" i="7"/>
  <c r="G87" i="7"/>
  <c r="G86" i="7"/>
  <c r="G88" i="7"/>
  <c r="G80" i="7"/>
  <c r="G85" i="7"/>
  <c r="G84" i="7"/>
  <c r="H228" i="7" l="1"/>
  <c r="E56" i="1"/>
  <c r="E57" i="1"/>
  <c r="E58" i="1"/>
  <c r="E59" i="1"/>
  <c r="E60" i="1"/>
  <c r="E61" i="1"/>
  <c r="E62" i="1"/>
  <c r="E63" i="1"/>
  <c r="E64" i="1"/>
  <c r="E65" i="1"/>
  <c r="E66" i="1"/>
  <c r="E67" i="1"/>
  <c r="E68" i="1"/>
  <c r="E69" i="1"/>
  <c r="E70" i="1"/>
  <c r="E71" i="1"/>
  <c r="E72" i="1"/>
  <c r="E73" i="1"/>
  <c r="E74" i="1"/>
  <c r="E75" i="1"/>
  <c r="E76" i="1"/>
  <c r="E112" i="1"/>
  <c r="E113" i="1"/>
  <c r="I33" i="3" l="1"/>
  <c r="P53" i="7"/>
  <c r="J53" i="11" s="1"/>
  <c r="P54" i="7"/>
  <c r="J54" i="11" s="1"/>
  <c r="P4" i="7"/>
  <c r="J4" i="11" s="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P52" i="7" s="1"/>
  <c r="G53" i="7"/>
  <c r="G54" i="7"/>
  <c r="G55" i="7"/>
  <c r="P55" i="7" s="1"/>
  <c r="J55" i="11" s="1"/>
  <c r="P84" i="7"/>
  <c r="G56" i="7"/>
  <c r="P56" i="7" s="1"/>
  <c r="G57" i="7"/>
  <c r="P57" i="7" s="1"/>
  <c r="P85" i="7"/>
  <c r="P80" i="7"/>
  <c r="P88" i="7"/>
  <c r="P86" i="7"/>
  <c r="P87" i="7"/>
  <c r="P81" i="7"/>
  <c r="P82" i="7"/>
  <c r="P83" i="7"/>
  <c r="G58" i="7"/>
  <c r="P58" i="7" s="1"/>
  <c r="P62" i="7"/>
  <c r="G59" i="7"/>
  <c r="P59" i="7" s="1"/>
  <c r="G60" i="7"/>
  <c r="P60" i="7" s="1"/>
  <c r="G61" i="7"/>
  <c r="P61" i="7" s="1"/>
  <c r="P63" i="7"/>
  <c r="P65" i="7"/>
  <c r="P64" i="7"/>
  <c r="P66" i="7"/>
  <c r="P67" i="7"/>
  <c r="P69" i="7"/>
  <c r="P68" i="7"/>
  <c r="P70" i="7"/>
  <c r="P71" i="7"/>
  <c r="P72" i="7"/>
  <c r="P73" i="7"/>
  <c r="P74" i="7"/>
  <c r="P77" i="7"/>
  <c r="P75" i="7"/>
  <c r="P76" i="7"/>
  <c r="P78" i="7"/>
  <c r="P79" i="7"/>
  <c r="P100" i="7"/>
  <c r="P101" i="7"/>
  <c r="P102" i="7"/>
  <c r="P103" i="7"/>
  <c r="P89" i="7"/>
  <c r="P93" i="7"/>
  <c r="P90" i="7"/>
  <c r="P94" i="7"/>
  <c r="P126" i="7"/>
  <c r="P127" i="7"/>
  <c r="P106" i="7"/>
  <c r="P91" i="7"/>
  <c r="P110" i="7"/>
  <c r="P114" i="7"/>
  <c r="P111" i="7"/>
  <c r="P112" i="7"/>
  <c r="P96" i="7"/>
  <c r="P95" i="7"/>
  <c r="J95" i="11" s="1"/>
  <c r="P122" i="7"/>
  <c r="P128" i="7"/>
  <c r="P123" i="7"/>
  <c r="P97" i="7"/>
  <c r="P104" i="7"/>
  <c r="P98" i="7"/>
  <c r="P99" i="7"/>
  <c r="P105" i="7"/>
  <c r="P107" i="7"/>
  <c r="P108" i="7"/>
  <c r="P136" i="7"/>
  <c r="P118" i="7"/>
  <c r="P109" i="7"/>
  <c r="P113" i="7"/>
  <c r="J113" i="11" s="1"/>
  <c r="P115" i="7"/>
  <c r="P116" i="7"/>
  <c r="P117" i="7"/>
  <c r="P119" i="7"/>
  <c r="P120" i="7"/>
  <c r="P121" i="7"/>
  <c r="P129" i="7"/>
  <c r="P124" i="7"/>
  <c r="P125" i="7"/>
  <c r="P130" i="7"/>
  <c r="P131" i="7"/>
  <c r="P132" i="7"/>
  <c r="P133" i="7"/>
  <c r="P134" i="7"/>
  <c r="P135" i="7"/>
  <c r="P137" i="7"/>
  <c r="J137" i="11" s="1"/>
  <c r="P138" i="7"/>
  <c r="J138" i="11" s="1"/>
  <c r="P139" i="7"/>
  <c r="J139" i="11" s="1"/>
  <c r="P140" i="7"/>
  <c r="J140" i="11" s="1"/>
  <c r="P141" i="7"/>
  <c r="J141" i="11" s="1"/>
  <c r="P142" i="7"/>
  <c r="J142" i="11" s="1"/>
  <c r="P143" i="7"/>
  <c r="J143" i="11" s="1"/>
  <c r="P144" i="7"/>
  <c r="J144" i="11" s="1"/>
  <c r="P145" i="7"/>
  <c r="J145" i="11" s="1"/>
  <c r="P198" i="7"/>
  <c r="J198" i="11" s="1"/>
  <c r="P199" i="7"/>
  <c r="J199" i="11" s="1"/>
  <c r="P200" i="7"/>
  <c r="J200" i="11" s="1"/>
  <c r="P224" i="7"/>
  <c r="J224" i="11" s="1"/>
  <c r="P225" i="7"/>
  <c r="J225" i="11" s="1"/>
  <c r="P226" i="7"/>
  <c r="J226" i="11" s="1"/>
  <c r="P227" i="7"/>
  <c r="J227" i="11" s="1"/>
  <c r="O4" i="7"/>
  <c r="I4" i="11" s="1"/>
  <c r="O5" i="7"/>
  <c r="I5" i="11" s="1"/>
  <c r="O6" i="7"/>
  <c r="O7" i="7"/>
  <c r="O8" i="7"/>
  <c r="O9" i="7"/>
  <c r="I9" i="11" s="1"/>
  <c r="O10" i="7"/>
  <c r="I10" i="11" s="1"/>
  <c r="O11" i="7"/>
  <c r="I11" i="11" s="1"/>
  <c r="O12" i="7"/>
  <c r="I12" i="11" s="1"/>
  <c r="O13" i="7"/>
  <c r="I13" i="11" s="1"/>
  <c r="O14" i="7"/>
  <c r="O15" i="7"/>
  <c r="O16" i="7"/>
  <c r="O17" i="7"/>
  <c r="O18" i="7"/>
  <c r="I18" i="11" s="1"/>
  <c r="O19" i="7"/>
  <c r="I19" i="11" s="1"/>
  <c r="O20" i="7"/>
  <c r="I20" i="11" s="1"/>
  <c r="O21" i="7"/>
  <c r="O22" i="7"/>
  <c r="O23" i="7"/>
  <c r="O24" i="7"/>
  <c r="I24" i="11" s="1"/>
  <c r="O25" i="7"/>
  <c r="O26" i="7"/>
  <c r="O27" i="7"/>
  <c r="O28" i="7"/>
  <c r="O29" i="7"/>
  <c r="O30" i="7"/>
  <c r="O31" i="7"/>
  <c r="O32" i="7"/>
  <c r="O33" i="7"/>
  <c r="O34" i="7"/>
  <c r="O35" i="7"/>
  <c r="O36" i="7"/>
  <c r="I28" i="11" s="1"/>
  <c r="O37" i="7"/>
  <c r="I33" i="11" s="1"/>
  <c r="O38" i="7"/>
  <c r="O39" i="7"/>
  <c r="I39" i="11" s="1"/>
  <c r="O40" i="7"/>
  <c r="I40" i="11" s="1"/>
  <c r="O41" i="7"/>
  <c r="I41" i="11" s="1"/>
  <c r="O42" i="7"/>
  <c r="O43" i="7"/>
  <c r="O44" i="7"/>
  <c r="O45" i="7"/>
  <c r="O46" i="7"/>
  <c r="O47" i="7"/>
  <c r="O48" i="7"/>
  <c r="O49" i="7"/>
  <c r="O50" i="7"/>
  <c r="O51" i="7"/>
  <c r="O52" i="7"/>
  <c r="O53" i="7"/>
  <c r="I53" i="11" s="1"/>
  <c r="O54" i="7"/>
  <c r="I54" i="11" s="1"/>
  <c r="O55" i="7"/>
  <c r="I55" i="11" s="1"/>
  <c r="O84" i="7"/>
  <c r="O56" i="7"/>
  <c r="O57" i="7"/>
  <c r="O85" i="7"/>
  <c r="O80" i="7"/>
  <c r="O88" i="7"/>
  <c r="O86" i="7"/>
  <c r="O87" i="7"/>
  <c r="O81" i="7"/>
  <c r="O82" i="7"/>
  <c r="O83" i="7"/>
  <c r="O58" i="7"/>
  <c r="O62" i="7"/>
  <c r="O59" i="7"/>
  <c r="O60" i="7"/>
  <c r="O61" i="7"/>
  <c r="O63" i="7"/>
  <c r="O65" i="7"/>
  <c r="O64" i="7"/>
  <c r="O66" i="7"/>
  <c r="O67" i="7"/>
  <c r="O69" i="7"/>
  <c r="O68" i="7"/>
  <c r="O70" i="7"/>
  <c r="O71" i="7"/>
  <c r="I80" i="11" s="1"/>
  <c r="O72" i="7"/>
  <c r="O73" i="7"/>
  <c r="O74" i="7"/>
  <c r="O77" i="7"/>
  <c r="I84" i="11" s="1"/>
  <c r="O75" i="7"/>
  <c r="O76" i="7"/>
  <c r="O92" i="7"/>
  <c r="O78" i="7"/>
  <c r="O79" i="7"/>
  <c r="O100" i="7"/>
  <c r="O101" i="7"/>
  <c r="O102" i="7"/>
  <c r="I92" i="11" s="1"/>
  <c r="O103" i="7"/>
  <c r="O89" i="7"/>
  <c r="O93" i="7"/>
  <c r="O90" i="7"/>
  <c r="O94" i="7"/>
  <c r="O126" i="7"/>
  <c r="O127" i="7"/>
  <c r="O106" i="7"/>
  <c r="O91" i="7"/>
  <c r="O110" i="7"/>
  <c r="O114" i="7"/>
  <c r="O111" i="7"/>
  <c r="O112" i="7"/>
  <c r="O96" i="7"/>
  <c r="O95" i="7"/>
  <c r="O122" i="7"/>
  <c r="O128" i="7"/>
  <c r="O123" i="7"/>
  <c r="O97" i="7"/>
  <c r="O104" i="7"/>
  <c r="O98" i="7"/>
  <c r="O99" i="7"/>
  <c r="O105" i="7"/>
  <c r="O107" i="7"/>
  <c r="I116" i="11" s="1"/>
  <c r="O108" i="7"/>
  <c r="O136" i="7"/>
  <c r="O118" i="7"/>
  <c r="O109" i="7"/>
  <c r="O113" i="7"/>
  <c r="O115" i="7"/>
  <c r="O116" i="7"/>
  <c r="O117" i="7"/>
  <c r="O119" i="7"/>
  <c r="O120" i="7"/>
  <c r="I126" i="11" s="1"/>
  <c r="O121" i="7"/>
  <c r="I127" i="11" s="1"/>
  <c r="O129" i="7"/>
  <c r="O124" i="7"/>
  <c r="O125" i="7"/>
  <c r="O130" i="7"/>
  <c r="O131" i="7"/>
  <c r="O132" i="7"/>
  <c r="O133" i="7"/>
  <c r="I134" i="11" s="1"/>
  <c r="O134" i="7"/>
  <c r="O135" i="7"/>
  <c r="O137" i="7"/>
  <c r="I137" i="11" s="1"/>
  <c r="O138" i="7"/>
  <c r="I138" i="11" s="1"/>
  <c r="O139" i="7"/>
  <c r="I139" i="11" s="1"/>
  <c r="O140" i="7"/>
  <c r="I140" i="11" s="1"/>
  <c r="O141" i="7"/>
  <c r="I141" i="11" s="1"/>
  <c r="O142" i="7"/>
  <c r="I142" i="11" s="1"/>
  <c r="O143" i="7"/>
  <c r="I143" i="11" s="1"/>
  <c r="O144" i="7"/>
  <c r="I144" i="11" s="1"/>
  <c r="O145" i="7"/>
  <c r="I145" i="11" s="1"/>
  <c r="O198" i="7"/>
  <c r="I198" i="11" s="1"/>
  <c r="O199" i="7"/>
  <c r="I199" i="11" s="1"/>
  <c r="O200" i="7"/>
  <c r="I200" i="11" s="1"/>
  <c r="O224" i="7"/>
  <c r="I224" i="11" s="1"/>
  <c r="O225" i="7"/>
  <c r="I225" i="11" s="1"/>
  <c r="O226" i="7"/>
  <c r="I226" i="11" s="1"/>
  <c r="O227" i="7"/>
  <c r="I227" i="11" s="1"/>
  <c r="Y3" i="5"/>
  <c r="I136" i="11" l="1"/>
  <c r="I132" i="11"/>
  <c r="I128" i="11"/>
  <c r="I124" i="11"/>
  <c r="I108" i="11"/>
  <c r="I100" i="11"/>
  <c r="I96" i="11"/>
  <c r="I88" i="11"/>
  <c r="I76" i="11"/>
  <c r="I72" i="11"/>
  <c r="I68" i="11"/>
  <c r="I64" i="11"/>
  <c r="I60" i="11"/>
  <c r="I56" i="11"/>
  <c r="I49" i="11"/>
  <c r="I46" i="11"/>
  <c r="I42" i="11"/>
  <c r="I25" i="11"/>
  <c r="I14" i="11"/>
  <c r="I6" i="11"/>
  <c r="I91" i="11"/>
  <c r="I45" i="11"/>
  <c r="I17" i="11"/>
  <c r="J133" i="11"/>
  <c r="J135" i="11"/>
  <c r="J131" i="11"/>
  <c r="J136" i="11"/>
  <c r="I120" i="11"/>
  <c r="I135" i="11"/>
  <c r="I131" i="11"/>
  <c r="I103" i="11"/>
  <c r="I87" i="11"/>
  <c r="I75" i="11"/>
  <c r="I59" i="11"/>
  <c r="I51" i="11"/>
  <c r="J132" i="11"/>
  <c r="J104" i="11"/>
  <c r="I133" i="11"/>
  <c r="J134" i="11"/>
  <c r="J69" i="11"/>
  <c r="J65" i="11"/>
  <c r="J98" i="11"/>
  <c r="J130" i="11"/>
  <c r="J106" i="11"/>
  <c r="J90" i="11"/>
  <c r="J61" i="11"/>
  <c r="J124" i="11"/>
  <c r="J119" i="11"/>
  <c r="J108" i="11"/>
  <c r="J128" i="11"/>
  <c r="J112" i="11"/>
  <c r="J91" i="11"/>
  <c r="J94" i="11"/>
  <c r="J79" i="11"/>
  <c r="J77" i="11"/>
  <c r="J71" i="11"/>
  <c r="J67" i="11"/>
  <c r="J63" i="11"/>
  <c r="J62" i="11"/>
  <c r="J81" i="11"/>
  <c r="I98" i="11"/>
  <c r="I94" i="11"/>
  <c r="I37" i="11"/>
  <c r="I15" i="11"/>
  <c r="I7" i="11"/>
  <c r="I43" i="11"/>
  <c r="J73" i="11"/>
  <c r="I104" i="11"/>
  <c r="I123" i="11"/>
  <c r="I111" i="11"/>
  <c r="I107" i="11"/>
  <c r="I99" i="11"/>
  <c r="I95" i="11"/>
  <c r="I83" i="11"/>
  <c r="I38" i="11"/>
  <c r="I35" i="11"/>
  <c r="I31" i="11"/>
  <c r="I8" i="11"/>
  <c r="I90" i="11"/>
  <c r="I44" i="11"/>
  <c r="I36" i="11"/>
  <c r="I32" i="11"/>
  <c r="I129" i="11"/>
  <c r="I109" i="11"/>
  <c r="I97" i="11"/>
  <c r="I93" i="11"/>
  <c r="I34" i="11"/>
  <c r="I16" i="11"/>
  <c r="I112" i="11"/>
  <c r="I115" i="11"/>
  <c r="I71" i="11"/>
  <c r="I63" i="11"/>
  <c r="I52" i="11"/>
  <c r="I130" i="11"/>
  <c r="I122" i="11"/>
  <c r="I118" i="11"/>
  <c r="I114" i="11"/>
  <c r="I110" i="11"/>
  <c r="I106" i="11"/>
  <c r="I102" i="11"/>
  <c r="I86" i="11"/>
  <c r="I82" i="11"/>
  <c r="I78" i="11"/>
  <c r="I74" i="11"/>
  <c r="I70" i="11"/>
  <c r="I66" i="11"/>
  <c r="I62" i="11"/>
  <c r="I58" i="11"/>
  <c r="I50" i="11"/>
  <c r="I48" i="11"/>
  <c r="I27" i="11"/>
  <c r="I22" i="11"/>
  <c r="J118" i="11"/>
  <c r="I29" i="11"/>
  <c r="I119" i="11"/>
  <c r="I79" i="11"/>
  <c r="I67" i="11"/>
  <c r="I23" i="11"/>
  <c r="I125" i="11"/>
  <c r="I121" i="11"/>
  <c r="I117" i="11"/>
  <c r="I113" i="11"/>
  <c r="I105" i="11"/>
  <c r="I101" i="11"/>
  <c r="I89" i="11"/>
  <c r="I85" i="11"/>
  <c r="I81" i="11"/>
  <c r="I77" i="11"/>
  <c r="I73" i="11"/>
  <c r="I69" i="11"/>
  <c r="I65" i="11"/>
  <c r="I61" i="11"/>
  <c r="I57" i="11"/>
  <c r="I47" i="11"/>
  <c r="I30" i="11"/>
  <c r="I26" i="11"/>
  <c r="I21" i="11"/>
  <c r="J102" i="11"/>
  <c r="J121" i="11"/>
  <c r="J116" i="11"/>
  <c r="J105" i="11"/>
  <c r="J97" i="11"/>
  <c r="J114" i="11"/>
  <c r="J76" i="11"/>
  <c r="J68" i="11"/>
  <c r="J64" i="11"/>
  <c r="J60" i="11"/>
  <c r="J83" i="11"/>
  <c r="J57" i="11"/>
  <c r="J96" i="11"/>
  <c r="J59" i="11"/>
  <c r="J103" i="11"/>
  <c r="J80" i="11"/>
  <c r="J84" i="11"/>
  <c r="J117" i="11"/>
  <c r="J109" i="11"/>
  <c r="J107" i="11"/>
  <c r="J122" i="11"/>
  <c r="J111" i="11"/>
  <c r="J78" i="11"/>
  <c r="J74" i="11"/>
  <c r="J70" i="11"/>
  <c r="J66" i="11"/>
  <c r="J58" i="11"/>
  <c r="J85" i="11"/>
  <c r="J127" i="11"/>
  <c r="J93" i="11"/>
  <c r="J101" i="11"/>
  <c r="J86" i="11"/>
  <c r="J125" i="11"/>
  <c r="J120" i="11"/>
  <c r="J115" i="11"/>
  <c r="J129" i="11"/>
  <c r="J99" i="11"/>
  <c r="J123" i="11"/>
  <c r="J110" i="11"/>
  <c r="J126" i="11"/>
  <c r="J100" i="11"/>
  <c r="J75" i="11"/>
  <c r="J72" i="11"/>
  <c r="J82" i="11"/>
  <c r="J88" i="11"/>
  <c r="J56" i="11"/>
  <c r="P48" i="7"/>
  <c r="P44" i="7"/>
  <c r="P40" i="7"/>
  <c r="J40" i="11" s="1"/>
  <c r="P36" i="7"/>
  <c r="P32" i="7"/>
  <c r="P28" i="7"/>
  <c r="P24" i="7"/>
  <c r="P20" i="7"/>
  <c r="P16" i="7"/>
  <c r="P12" i="7"/>
  <c r="J12" i="11" s="1"/>
  <c r="P8" i="7"/>
  <c r="P92" i="7"/>
  <c r="J92" i="11" s="1"/>
  <c r="P51" i="7"/>
  <c r="P47" i="7"/>
  <c r="P43" i="7"/>
  <c r="P39" i="7"/>
  <c r="J39" i="11" s="1"/>
  <c r="P35" i="7"/>
  <c r="P31" i="7"/>
  <c r="P27" i="7"/>
  <c r="P23" i="7"/>
  <c r="P19" i="7"/>
  <c r="J19" i="11" s="1"/>
  <c r="P15" i="7"/>
  <c r="P11" i="7"/>
  <c r="J11" i="11" s="1"/>
  <c r="P7" i="7"/>
  <c r="P50" i="7"/>
  <c r="J50" i="11" s="1"/>
  <c r="P46" i="7"/>
  <c r="P42" i="7"/>
  <c r="P38" i="7"/>
  <c r="P34" i="7"/>
  <c r="P30" i="7"/>
  <c r="P26" i="7"/>
  <c r="P22" i="7"/>
  <c r="J22" i="11" s="1"/>
  <c r="P18" i="7"/>
  <c r="J18" i="11" s="1"/>
  <c r="P14" i="7"/>
  <c r="J15" i="11" s="1"/>
  <c r="P10" i="7"/>
  <c r="J10" i="11" s="1"/>
  <c r="P6" i="7"/>
  <c r="J7" i="11" s="1"/>
  <c r="P49" i="7"/>
  <c r="J49" i="11" s="1"/>
  <c r="P45" i="7"/>
  <c r="J45" i="11" s="1"/>
  <c r="P41" i="7"/>
  <c r="J41" i="11" s="1"/>
  <c r="P37" i="7"/>
  <c r="J37" i="11" s="1"/>
  <c r="P33" i="7"/>
  <c r="P29" i="7"/>
  <c r="P25" i="7"/>
  <c r="P21" i="7"/>
  <c r="J21" i="11" s="1"/>
  <c r="P17" i="7"/>
  <c r="J16" i="11" s="1"/>
  <c r="P13" i="7"/>
  <c r="J13" i="11" s="1"/>
  <c r="P9" i="7"/>
  <c r="J9" i="11" s="1"/>
  <c r="P5" i="7"/>
  <c r="J5" i="11" s="1"/>
  <c r="K228" i="7"/>
  <c r="K230" i="7" s="1"/>
  <c r="O228" i="7"/>
  <c r="I37" i="3"/>
  <c r="U37" i="3" s="1"/>
  <c r="J29" i="11" l="1"/>
  <c r="J89" i="11"/>
  <c r="J33" i="11"/>
  <c r="I228" i="11"/>
  <c r="J6" i="11"/>
  <c r="J14" i="11"/>
  <c r="J8" i="11"/>
  <c r="J17" i="11"/>
  <c r="J35" i="11"/>
  <c r="J23" i="11"/>
  <c r="J20" i="11"/>
  <c r="J51" i="11"/>
  <c r="J32" i="11"/>
  <c r="J42" i="11"/>
  <c r="J24" i="11"/>
  <c r="J25" i="11"/>
  <c r="J43" i="11"/>
  <c r="J87" i="11"/>
  <c r="J26" i="11"/>
  <c r="J27" i="11"/>
  <c r="J30" i="11"/>
  <c r="J46" i="11"/>
  <c r="J31" i="11"/>
  <c r="J47" i="11"/>
  <c r="J28" i="11"/>
  <c r="J44" i="11"/>
  <c r="J34" i="11"/>
  <c r="J48" i="11"/>
  <c r="J38" i="11"/>
  <c r="J36" i="11"/>
  <c r="J52" i="11"/>
  <c r="C35" i="1"/>
  <c r="V37" i="3"/>
  <c r="C31" i="1"/>
  <c r="V33" i="3"/>
  <c r="X11" i="3"/>
  <c r="W11" i="3" s="1"/>
  <c r="Y11" i="3" s="1"/>
  <c r="X12" i="3"/>
  <c r="W12" i="3" s="1"/>
  <c r="Y12" i="3" s="1"/>
  <c r="X13" i="3"/>
  <c r="W13" i="3" s="1"/>
  <c r="Y13" i="3" s="1"/>
  <c r="X14" i="3"/>
  <c r="W14" i="3" s="1"/>
  <c r="Y14" i="3" s="1"/>
  <c r="X15" i="3"/>
  <c r="W15" i="3" s="1"/>
  <c r="Y15" i="3" s="1"/>
  <c r="X16" i="3"/>
  <c r="W16" i="3" s="1"/>
  <c r="Y16" i="3" s="1"/>
  <c r="X17" i="3"/>
  <c r="W17" i="3" s="1"/>
  <c r="Y17" i="3" s="1"/>
  <c r="X18" i="3"/>
  <c r="W18" i="3" s="1"/>
  <c r="Y18" i="3" s="1"/>
  <c r="X19" i="3"/>
  <c r="W19" i="3" s="1"/>
  <c r="Y19" i="3" s="1"/>
  <c r="X20" i="3"/>
  <c r="W20" i="3" s="1"/>
  <c r="Y20" i="3" s="1"/>
  <c r="X21" i="3"/>
  <c r="W21" i="3" s="1"/>
  <c r="Y21" i="3" s="1"/>
  <c r="X22" i="3"/>
  <c r="W22" i="3" s="1"/>
  <c r="Y22" i="3" s="1"/>
  <c r="X23" i="3"/>
  <c r="W23" i="3" s="1"/>
  <c r="Y23" i="3" s="1"/>
  <c r="X24" i="3"/>
  <c r="W24" i="3" s="1"/>
  <c r="Y24" i="3" s="1"/>
  <c r="X25" i="3"/>
  <c r="W25" i="3" s="1"/>
  <c r="Y25" i="3" s="1"/>
  <c r="X26" i="3"/>
  <c r="W26" i="3" s="1"/>
  <c r="Y26" i="3" s="1"/>
  <c r="X27" i="3"/>
  <c r="W27" i="3" s="1"/>
  <c r="Y27" i="3" s="1"/>
  <c r="X28" i="3"/>
  <c r="W28" i="3" s="1"/>
  <c r="Y28" i="3" s="1"/>
  <c r="X29" i="3"/>
  <c r="W29" i="3" s="1"/>
  <c r="Y29" i="3" s="1"/>
  <c r="X30" i="3"/>
  <c r="W30" i="3" s="1"/>
  <c r="Y30" i="3" s="1"/>
  <c r="X31" i="3"/>
  <c r="W31" i="3" s="1"/>
  <c r="Y31" i="3" s="1"/>
  <c r="X32" i="3"/>
  <c r="W32" i="3" s="1"/>
  <c r="Y32" i="3" s="1"/>
  <c r="X33" i="3"/>
  <c r="W33" i="3" s="1"/>
  <c r="Y33" i="3" s="1"/>
  <c r="X34" i="3"/>
  <c r="W34" i="3" s="1"/>
  <c r="Y34" i="3" s="1"/>
  <c r="X35" i="3"/>
  <c r="W35" i="3" s="1"/>
  <c r="Y35" i="3" s="1"/>
  <c r="X36" i="3"/>
  <c r="W36" i="3" s="1"/>
  <c r="Y36" i="3" s="1"/>
  <c r="X37" i="3"/>
  <c r="W37" i="3" s="1"/>
  <c r="Y37" i="3" s="1"/>
  <c r="X38" i="3"/>
  <c r="W38" i="3" s="1"/>
  <c r="Y38" i="3" s="1"/>
  <c r="X39" i="3"/>
  <c r="W39" i="3" s="1"/>
  <c r="Y39" i="3" s="1"/>
  <c r="X40" i="3"/>
  <c r="W40" i="3" s="1"/>
  <c r="Y40" i="3" s="1"/>
  <c r="X41" i="3"/>
  <c r="W41" i="3" s="1"/>
  <c r="Y41" i="3" s="1"/>
  <c r="X42" i="3"/>
  <c r="W42" i="3" s="1"/>
  <c r="Y42" i="3" s="1"/>
  <c r="X43" i="3"/>
  <c r="W43" i="3" s="1"/>
  <c r="Y43" i="3" s="1"/>
  <c r="X44" i="3"/>
  <c r="W44" i="3" s="1"/>
  <c r="Y44" i="3" s="1"/>
  <c r="X45" i="3"/>
  <c r="W45" i="3" s="1"/>
  <c r="Y45" i="3" s="1"/>
  <c r="X46" i="3"/>
  <c r="W46" i="3" s="1"/>
  <c r="Y46" i="3" s="1"/>
  <c r="X47" i="3"/>
  <c r="W47" i="3" s="1"/>
  <c r="Y47" i="3" s="1"/>
  <c r="X48" i="3"/>
  <c r="W48" i="3" s="1"/>
  <c r="Y48" i="3" s="1"/>
  <c r="X49" i="3"/>
  <c r="W49" i="3" s="1"/>
  <c r="Y49" i="3" s="1"/>
  <c r="X50" i="3"/>
  <c r="W50" i="3" s="1"/>
  <c r="Y50" i="3" s="1"/>
  <c r="X51" i="3"/>
  <c r="W51" i="3" s="1"/>
  <c r="Y51" i="3" s="1"/>
  <c r="X52" i="3"/>
  <c r="W52" i="3" s="1"/>
  <c r="Y52" i="3" s="1"/>
  <c r="X53" i="3"/>
  <c r="W53" i="3" s="1"/>
  <c r="Y53" i="3" s="1"/>
  <c r="X54" i="3"/>
  <c r="W54" i="3" s="1"/>
  <c r="Y54" i="3" s="1"/>
  <c r="X55" i="3"/>
  <c r="W55" i="3" s="1"/>
  <c r="Y55" i="3" s="1"/>
  <c r="X56" i="3"/>
  <c r="W56" i="3" s="1"/>
  <c r="Y56" i="3" s="1"/>
  <c r="X57" i="3"/>
  <c r="W57" i="3" s="1"/>
  <c r="Y57" i="3" s="1"/>
  <c r="X58" i="3"/>
  <c r="W58" i="3" s="1"/>
  <c r="Y58" i="3" s="1"/>
  <c r="X59" i="3"/>
  <c r="W59" i="3" s="1"/>
  <c r="Y59" i="3" s="1"/>
  <c r="X10" i="3"/>
  <c r="W10" i="3" s="1"/>
  <c r="Y10" i="3" s="1"/>
  <c r="J228" i="11" l="1"/>
  <c r="I57" i="3"/>
  <c r="I58" i="3"/>
  <c r="I36" i="3"/>
  <c r="C55" i="1" l="1"/>
  <c r="V57" i="3"/>
  <c r="V58" i="3"/>
  <c r="U36" i="3"/>
  <c r="F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N228" i="7"/>
  <c r="M228" i="7"/>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T13" i="3"/>
  <c r="C13" i="3"/>
  <c r="C12" i="3"/>
  <c r="C11" i="3"/>
  <c r="C10"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C5" i="1"/>
  <c r="C4" i="1"/>
  <c r="C34" i="1" l="1"/>
  <c r="V36" i="3"/>
  <c r="C8" i="1"/>
  <c r="L117" i="1"/>
  <c r="P228" i="7" l="1"/>
  <c r="U91" i="3" l="1"/>
  <c r="C89" i="1" l="1"/>
  <c r="V91" i="3"/>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<sst xmlns="http://schemas.openxmlformats.org/spreadsheetml/2006/main" count="901" uniqueCount="495">
  <si>
    <t>Vendor Name</t>
  </si>
  <si>
    <t>PO Line #</t>
  </si>
  <si>
    <t>PO Number</t>
  </si>
  <si>
    <t>Date</t>
  </si>
  <si>
    <t>JSA / Jefferson Lab - DOE</t>
  </si>
  <si>
    <t>Percent Complete</t>
  </si>
  <si>
    <t>Completed Work Amt</t>
  </si>
  <si>
    <t>Prev Vouchered Amount</t>
  </si>
  <si>
    <t>Completed  Work Retention Amt</t>
  </si>
  <si>
    <t>Eligible for Voucher Amt</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</si>
  <si>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</si>
  <si>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</si>
  <si>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</si>
  <si>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</si>
  <si>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</si>
  <si>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</si>
  <si>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</si>
  <si>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</si>
  <si>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</si>
  <si>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</si>
  <si>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</si>
  <si>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</si>
  <si>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</si>
  <si>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</si>
  <si>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</si>
  <si>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</si>
  <si>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</si>
  <si>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</si>
  <si>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</si>
  <si>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</si>
  <si>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</si>
  <si>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</si>
  <si>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</si>
  <si>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</si>
  <si>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</si>
  <si>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</si>
  <si>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</si>
  <si>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</si>
  <si>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</si>
  <si>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</si>
  <si>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</si>
  <si>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</si>
  <si>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</si>
  <si>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</si>
  <si>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</si>
  <si>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</si>
  <si>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</si>
  <si>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</si>
  <si>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</si>
  <si>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</si>
  <si>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</si>
  <si>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</si>
  <si>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</si>
  <si>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</si>
  <si>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</si>
  <si>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</si>
  <si>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</si>
  <si>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</si>
  <si>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</si>
  <si>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</si>
  <si>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</si>
  <si>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</si>
  <si>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</si>
  <si>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</si>
  <si>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</si>
  <si>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</si>
  <si>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</si>
  <si>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</si>
  <si>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</si>
  <si>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</si>
  <si>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</si>
  <si>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</si>
  <si>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</si>
  <si>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</si>
  <si>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</si>
  <si>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</si>
  <si>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</si>
  <si>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</si>
  <si>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Invoice #</t>
  </si>
  <si>
    <t>Milestone/ Line</t>
  </si>
  <si>
    <t>MOD 003: Accel Shipment (1-16) Incentives (Max of $323,136)</t>
  </si>
  <si>
    <t>MOD 008: CTM Spare Parts</t>
  </si>
  <si>
    <t>Invoice Amount</t>
  </si>
  <si>
    <t>MOD 002: DESY Equip Refurbishment</t>
  </si>
  <si>
    <t>PH II: Mfg Drawings Accepted by JLab</t>
  </si>
  <si>
    <t>PH II: FAs Mech Pre-fab (Deep Draw)</t>
  </si>
  <si>
    <t xml:space="preserve">PH III: Mech Pre-Fab Cavities (9-72) </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</si>
  <si>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</si>
  <si>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</si>
  <si>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</si>
  <si>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</si>
  <si>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</si>
  <si>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</si>
  <si>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</si>
  <si>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</si>
  <si>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</si>
  <si>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</si>
  <si>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</si>
  <si>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</si>
  <si>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</si>
  <si>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</si>
  <si>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</si>
  <si>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</si>
  <si>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</si>
  <si>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</si>
  <si>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</si>
  <si>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</si>
  <si>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</si>
  <si>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</si>
  <si>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</si>
  <si>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</si>
  <si>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</si>
  <si>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</si>
  <si>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</si>
  <si>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</si>
  <si>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</si>
  <si>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</si>
  <si>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</si>
  <si>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</si>
  <si>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</si>
  <si>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</si>
  <si>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</si>
  <si>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</si>
  <si>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</si>
  <si>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</si>
  <si>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</si>
  <si>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</si>
  <si>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</si>
  <si>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</si>
  <si>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</si>
  <si>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</si>
  <si>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</si>
  <si>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</si>
  <si>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</si>
  <si>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</si>
  <si>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</si>
  <si>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</si>
  <si>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</si>
  <si>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</si>
  <si>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</si>
  <si>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</si>
  <si>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</si>
  <si>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</si>
  <si>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</si>
  <si>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</si>
  <si>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</si>
  <si>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</si>
  <si>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</si>
  <si>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</si>
  <si>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</si>
  <si>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</si>
  <si>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</si>
  <si>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</si>
  <si>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</si>
  <si>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</si>
  <si>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</si>
  <si>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</si>
  <si>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</si>
  <si>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</si>
  <si>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</si>
  <si>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</si>
  <si>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</si>
  <si>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</si>
  <si>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</si>
  <si>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</si>
  <si>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</si>
  <si>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</si>
  <si>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</si>
  <si>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</si>
  <si>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</si>
  <si>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</si>
  <si>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</si>
  <si>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</si>
  <si>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Note</t>
  </si>
  <si>
    <t>Status</t>
  </si>
  <si>
    <t>Pre-Fab</t>
  </si>
  <si>
    <t>HP1</t>
  </si>
  <si>
    <t>HP2</t>
  </si>
  <si>
    <t>HP3</t>
  </si>
  <si>
    <t>Shipped</t>
  </si>
  <si>
    <t>Received</t>
  </si>
  <si>
    <t>Accepted</t>
  </si>
  <si>
    <t>Complete</t>
  </si>
  <si>
    <t>Prior % Complete</t>
  </si>
  <si>
    <t>MOD 004: Incentives for Accelerated Production Deliveries</t>
  </si>
  <si>
    <t>Approval Date</t>
  </si>
  <si>
    <t>Unit #</t>
  </si>
  <si>
    <t>Incentivized Ship Date</t>
  </si>
  <si>
    <t>Incentive Earned</t>
  </si>
  <si>
    <t>Serial #</t>
  </si>
  <si>
    <t>Actual Ship Date</t>
  </si>
  <si>
    <t>Recipe Modification (Mod 9)</t>
  </si>
  <si>
    <t>Accept Date</t>
  </si>
  <si>
    <t>Caps            
 (Mod 10)</t>
  </si>
  <si>
    <t xml:space="preserve">MOD 002: DESY Equip Service &amp; Support Costs  </t>
  </si>
  <si>
    <t>MOD 010: Ningxia Material Sorting</t>
  </si>
  <si>
    <t>MOD 009: Recipe Modification (21-133) ($4283.18/cavity)</t>
  </si>
  <si>
    <t>Line</t>
  </si>
  <si>
    <t>Amount</t>
  </si>
  <si>
    <t>PO Line</t>
  </si>
  <si>
    <t>Wks +/- Incentive Date</t>
  </si>
  <si>
    <t>CavityMilestone</t>
  </si>
  <si>
    <t>Cavity</t>
  </si>
  <si>
    <t>Incentive Date</t>
  </si>
  <si>
    <t>Incentive</t>
  </si>
  <si>
    <t>MOD 012: DESY Testing 4X RF Tests</t>
  </si>
  <si>
    <t>MOD 012: Add DESY Testing Costs (Not to Exceed)</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</si>
  <si>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</si>
  <si>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</si>
  <si>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</si>
  <si>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</si>
  <si>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</si>
  <si>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</si>
  <si>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</si>
  <si>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</si>
  <si>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</si>
  <si>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</si>
  <si>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</si>
  <si>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</si>
  <si>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</si>
  <si>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</si>
  <si>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</si>
  <si>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</si>
  <si>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</si>
  <si>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</si>
  <si>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</si>
  <si>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</si>
  <si>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</si>
  <si>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</si>
  <si>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</si>
  <si>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</si>
  <si>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</si>
  <si>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</si>
  <si>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</si>
  <si>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</si>
  <si>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</si>
  <si>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</si>
  <si>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</si>
  <si>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</si>
  <si>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</si>
  <si>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</si>
  <si>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</si>
  <si>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</si>
  <si>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</si>
  <si>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</si>
  <si>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</si>
  <si>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</si>
  <si>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</si>
  <si>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</si>
  <si>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</si>
  <si>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</si>
  <si>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</si>
  <si>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</si>
  <si>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</si>
  <si>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</si>
  <si>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</si>
  <si>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</si>
  <si>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</si>
  <si>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</si>
  <si>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</si>
  <si>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</si>
  <si>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</si>
  <si>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</si>
  <si>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</si>
  <si>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</si>
  <si>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</si>
  <si>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</si>
  <si>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</si>
  <si>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</si>
  <si>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</si>
  <si>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</si>
  <si>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</si>
  <si>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</si>
  <si>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</si>
  <si>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</si>
  <si>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</si>
  <si>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</si>
  <si>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</si>
  <si>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</si>
  <si>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</si>
  <si>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</si>
  <si>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</si>
  <si>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</si>
  <si>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</si>
  <si>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</si>
  <si>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</si>
  <si>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</si>
  <si>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</si>
  <si>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</si>
  <si>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</si>
  <si>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</si>
  <si>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</si>
  <si>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</si>
  <si>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</si>
  <si>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</si>
  <si>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</si>
  <si>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</si>
  <si>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</si>
  <si>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</si>
  <si>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</si>
  <si>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</si>
  <si>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</si>
  <si>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</si>
  <si>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</si>
  <si>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</si>
  <si>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</si>
  <si>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</si>
  <si>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</si>
  <si>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</si>
  <si>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</si>
  <si>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</si>
  <si>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</si>
  <si>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</si>
  <si>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</si>
  <si>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</si>
  <si>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</si>
  <si>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</si>
  <si>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</si>
  <si>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</si>
  <si>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</si>
  <si>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</si>
  <si>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</si>
  <si>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</si>
  <si>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</si>
  <si>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</si>
  <si>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</si>
  <si>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</si>
  <si>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</si>
  <si>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</si>
  <si>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</si>
  <si>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</si>
  <si>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</si>
  <si>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</si>
  <si>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</si>
  <si>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</si>
  <si>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</si>
  <si>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</si>
  <si>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</si>
  <si>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</si>
  <si>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</si>
  <si>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</si>
  <si>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</si>
  <si>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</si>
  <si>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</si>
  <si>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</si>
  <si>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</si>
  <si>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</si>
  <si>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</si>
  <si>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</si>
  <si>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</si>
  <si>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</si>
  <si>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</si>
  <si>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</si>
  <si>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</si>
  <si>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</si>
  <si>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</si>
  <si>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</si>
  <si>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</si>
  <si>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</si>
  <si>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</si>
  <si>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</si>
  <si>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</si>
  <si>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</si>
  <si>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</si>
  <si>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 xml:space="preserve">MOD 010: Niobium Caps $490.00/ea (Cavs 17-133)  </t>
  </si>
  <si>
    <t>Ship#</t>
  </si>
  <si>
    <t>RI CAVITY DELIVERY/ ACCEPTANCE</t>
  </si>
  <si>
    <t>First Articles</t>
  </si>
  <si>
    <t>Production</t>
  </si>
  <si>
    <t>CAV134</t>
  </si>
  <si>
    <t>CAV135</t>
  </si>
  <si>
    <t>CAV136</t>
  </si>
  <si>
    <t>CAV137</t>
  </si>
  <si>
    <t>CAV138</t>
  </si>
  <si>
    <t>CAV139</t>
  </si>
  <si>
    <t>CAV140</t>
  </si>
  <si>
    <t>CAV141</t>
  </si>
  <si>
    <t>Options (1-16)</t>
  </si>
  <si>
    <t>CAV142</t>
  </si>
  <si>
    <t>CAV143</t>
  </si>
  <si>
    <t>CAV144</t>
  </si>
  <si>
    <t>CAV145</t>
  </si>
  <si>
    <t>CAV146</t>
  </si>
  <si>
    <t>CAV147</t>
  </si>
  <si>
    <t>CAV148</t>
  </si>
  <si>
    <t>CAV149</t>
  </si>
  <si>
    <t>CAV150</t>
  </si>
  <si>
    <t>CAV151</t>
  </si>
  <si>
    <t>CAV152</t>
  </si>
  <si>
    <t>CAV153</t>
  </si>
  <si>
    <t>CAV154</t>
  </si>
  <si>
    <t>CAV155</t>
  </si>
  <si>
    <t>CAV156</t>
  </si>
  <si>
    <t>CAV157</t>
  </si>
  <si>
    <t>CAV158</t>
  </si>
  <si>
    <t>CAV159</t>
  </si>
  <si>
    <t>CAV160</t>
  </si>
  <si>
    <t>CAV161</t>
  </si>
  <si>
    <t>CAV162</t>
  </si>
  <si>
    <t>CAV163</t>
  </si>
  <si>
    <t>CAV164</t>
  </si>
  <si>
    <t>CAV165</t>
  </si>
  <si>
    <t>CAV166</t>
  </si>
  <si>
    <t>CAV167</t>
  </si>
  <si>
    <t>CAV168</t>
  </si>
  <si>
    <t>CAV169</t>
  </si>
  <si>
    <t>CAV170</t>
  </si>
  <si>
    <t>CAV171</t>
  </si>
  <si>
    <t>CAV172</t>
  </si>
  <si>
    <t>CAV173</t>
  </si>
  <si>
    <t>CAV174</t>
  </si>
  <si>
    <t>CAV175</t>
  </si>
  <si>
    <t>CAV176</t>
  </si>
  <si>
    <t>CAV177</t>
  </si>
  <si>
    <t>CAV178</t>
  </si>
  <si>
    <t>CAV179</t>
  </si>
  <si>
    <t>CAV180</t>
  </si>
  <si>
    <t>CAV181</t>
  </si>
  <si>
    <t>Excess Cavs (TD)</t>
  </si>
  <si>
    <t>Excess Cavs (NX)</t>
  </si>
  <si>
    <t>32+3 (MOD13)</t>
  </si>
  <si>
    <t>CAV182</t>
  </si>
  <si>
    <t>CAV183</t>
  </si>
  <si>
    <t>CAV184</t>
  </si>
  <si>
    <t>CAV185</t>
  </si>
  <si>
    <t>CAV186</t>
  </si>
  <si>
    <t>CAV187</t>
  </si>
  <si>
    <t>CAV188</t>
  </si>
  <si>
    <t>CAV189</t>
  </si>
  <si>
    <t>CAV190</t>
  </si>
  <si>
    <t>CAV191</t>
  </si>
  <si>
    <t>CAV192</t>
  </si>
  <si>
    <t>CAV193</t>
  </si>
  <si>
    <t>CAV194</t>
  </si>
  <si>
    <t>CAV195</t>
  </si>
  <si>
    <t>CAV196</t>
  </si>
  <si>
    <t>CAV197</t>
  </si>
  <si>
    <t>CAV198</t>
  </si>
  <si>
    <t>CAV199</t>
  </si>
  <si>
    <t>CAV200</t>
  </si>
  <si>
    <t>CAV201</t>
  </si>
  <si>
    <t>CAV202</t>
  </si>
  <si>
    <t>RI Cavity Acceptance</t>
  </si>
  <si>
    <t>Delivery &amp; Acceptance</t>
  </si>
  <si>
    <t>Feb-17</t>
  </si>
  <si>
    <t>Mar-17</t>
  </si>
  <si>
    <t>Apr-17</t>
  </si>
  <si>
    <t>May-17</t>
  </si>
  <si>
    <t>Jun-17</t>
  </si>
  <si>
    <t>Jul-17</t>
  </si>
  <si>
    <t>Aug-17</t>
  </si>
  <si>
    <t>Sep-17</t>
  </si>
  <si>
    <t>Oct-17</t>
  </si>
  <si>
    <t>Nov-17</t>
  </si>
  <si>
    <t>Dec-17</t>
  </si>
  <si>
    <t>Recipe Mod (Mod 9)</t>
  </si>
  <si>
    <r>
      <rPr>
        <u/>
        <sz val="10"/>
        <color theme="1"/>
        <rFont val="Arial"/>
        <family val="2"/>
      </rPr>
      <t>MOD 002</t>
    </r>
    <r>
      <rPr>
        <sz val="10"/>
        <color theme="1"/>
        <rFont val="Arial"/>
        <family val="2"/>
      </rPr>
      <t>: DESY Equip Refurbishment</t>
    </r>
  </si>
  <si>
    <r>
      <rPr>
        <u/>
        <sz val="10"/>
        <color theme="1"/>
        <rFont val="Arial"/>
        <family val="2"/>
      </rPr>
      <t>MOD 002</t>
    </r>
    <r>
      <rPr>
        <sz val="10"/>
        <color theme="1"/>
        <rFont val="Arial"/>
        <family val="2"/>
      </rPr>
      <t xml:space="preserve">: DESY Equip Service &amp; Support Costs  </t>
    </r>
  </si>
  <si>
    <r>
      <rPr>
        <u/>
        <sz val="10"/>
        <color theme="1"/>
        <rFont val="Arial"/>
        <family val="2"/>
      </rPr>
      <t>MOD 003</t>
    </r>
    <r>
      <rPr>
        <sz val="10"/>
        <color theme="1"/>
        <rFont val="Arial"/>
        <family val="2"/>
      </rPr>
      <t>: Accel Shipment (1-16) Incentives (Max of $323,136)</t>
    </r>
  </si>
  <si>
    <r>
      <rPr>
        <u/>
        <sz val="10"/>
        <color theme="1"/>
        <rFont val="Arial"/>
        <family val="2"/>
      </rPr>
      <t>MOD 004</t>
    </r>
    <r>
      <rPr>
        <sz val="10"/>
        <color theme="1"/>
        <rFont val="Arial"/>
        <family val="2"/>
      </rPr>
      <t>: Incentives for Accelerated Production Deliveries</t>
    </r>
  </si>
  <si>
    <r>
      <rPr>
        <u/>
        <sz val="10"/>
        <color theme="1"/>
        <rFont val="Arial"/>
        <family val="2"/>
      </rPr>
      <t>MOD 005</t>
    </r>
    <r>
      <rPr>
        <sz val="10"/>
        <color theme="1"/>
        <rFont val="Arial"/>
        <family val="2"/>
      </rPr>
      <t>: DESY Equipment Lease ($9,200/ month)</t>
    </r>
  </si>
  <si>
    <r>
      <rPr>
        <u/>
        <sz val="10"/>
        <color theme="1"/>
        <rFont val="Arial"/>
        <family val="2"/>
      </rPr>
      <t>MOD 007</t>
    </r>
    <r>
      <rPr>
        <sz val="10"/>
        <color theme="1"/>
        <rFont val="Arial"/>
        <family val="2"/>
      </rPr>
      <t>: LCLS-II R&amp;D Cavities (4)</t>
    </r>
  </si>
  <si>
    <r>
      <rPr>
        <u/>
        <sz val="10"/>
        <color theme="1"/>
        <rFont val="Arial"/>
        <family val="2"/>
      </rPr>
      <t>MOD 008</t>
    </r>
    <r>
      <rPr>
        <sz val="10"/>
        <color theme="1"/>
        <rFont val="Arial"/>
        <family val="2"/>
      </rPr>
      <t>: CTM Spare Parts</t>
    </r>
  </si>
  <si>
    <r>
      <rPr>
        <u/>
        <sz val="10"/>
        <color theme="1"/>
        <rFont val="Arial"/>
        <family val="2"/>
      </rPr>
      <t>MOD 009</t>
    </r>
    <r>
      <rPr>
        <sz val="10"/>
        <color theme="1"/>
        <rFont val="Arial"/>
        <family val="2"/>
      </rPr>
      <t>: Recipe Modification (21-133) ($4283.18/cavity)</t>
    </r>
  </si>
  <si>
    <r>
      <rPr>
        <u/>
        <sz val="10"/>
        <color theme="1"/>
        <rFont val="Arial"/>
        <family val="2"/>
      </rPr>
      <t>MOD 010</t>
    </r>
    <r>
      <rPr>
        <sz val="10"/>
        <color theme="1"/>
        <rFont val="Arial"/>
        <family val="2"/>
      </rPr>
      <t xml:space="preserve">: Niobium Caps $490.00/ea (Cavs 17-133)  </t>
    </r>
  </si>
  <si>
    <r>
      <rPr>
        <u/>
        <sz val="10"/>
        <color theme="1"/>
        <rFont val="Arial"/>
        <family val="2"/>
      </rPr>
      <t>MOD 010</t>
    </r>
    <r>
      <rPr>
        <sz val="10"/>
        <color theme="1"/>
        <rFont val="Arial"/>
        <family val="2"/>
      </rPr>
      <t>: Ningxia Material Sorting</t>
    </r>
  </si>
  <si>
    <r>
      <rPr>
        <u/>
        <sz val="10"/>
        <color theme="1"/>
        <rFont val="Arial"/>
        <family val="2"/>
      </rPr>
      <t>MOD 011</t>
    </r>
    <r>
      <rPr>
        <sz val="10"/>
        <color theme="1"/>
        <rFont val="Arial"/>
        <family val="2"/>
      </rPr>
      <t>: Optional Cavities 1-8</t>
    </r>
  </si>
  <si>
    <t>Vendor</t>
  </si>
  <si>
    <t>PO</t>
  </si>
  <si>
    <t>Complete thru</t>
  </si>
  <si>
    <r>
      <t>"</t>
    </r>
    <r>
      <rPr>
        <sz val="16"/>
        <rFont val="Arial"/>
        <family val="2"/>
      </rPr>
      <t>+</t>
    </r>
    <r>
      <rPr>
        <sz val="12"/>
        <rFont val="Arial"/>
        <family val="2"/>
      </rPr>
      <t>"Monthly Accruals</t>
    </r>
  </si>
  <si>
    <t>PO Line Beg Bal</t>
  </si>
  <si>
    <t>Est Complete Date</t>
  </si>
  <si>
    <t>FA Incentive</t>
  </si>
  <si>
    <t>Prod Incentive Avail</t>
  </si>
  <si>
    <t>FA Incentive Avail</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</si>
  <si>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</si>
  <si>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</si>
  <si>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</si>
  <si>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</si>
  <si>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</si>
  <si>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</si>
  <si>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Nov-16</t>
  </si>
  <si>
    <t>Dec-16</t>
  </si>
  <si>
    <t>Jan-17</t>
  </si>
  <si>
    <t>Notes</t>
  </si>
  <si>
    <t>Sept 16' (1st) Hazemema Service</t>
  </si>
  <si>
    <t>May 17' (2nd) Hazemema Service</t>
  </si>
  <si>
    <t>May 17' (1st) CTM Service</t>
  </si>
  <si>
    <t>3 additional HPRs</t>
  </si>
  <si>
    <t>line</t>
  </si>
  <si>
    <t>MOD019: Delivery &amp; Accept Optional 3</t>
  </si>
  <si>
    <t>Laney</t>
  </si>
  <si>
    <t>MOD020: Heat Treatment of Lot B</t>
  </si>
  <si>
    <t>MOD020: Bellow Tank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</si>
</sst>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sz val="10"/>
      <color theme="0"/>
      <name val="Arial"/>
      <family val="2"/>
    </font>
    <font>
      <sz val="11"/>
      <color theme="0"/>
      <name val="Calibri"/>
      <family val="2"/>
      <scheme val="minor"/>
    </font>
    <font>
      <sz val="12"/>
      <color theme="0"/>
      <name val="Calibri"/>
      <family val="2"/>
      <scheme val="minor"/>
    </font>
    <font>
      <sz val="18"/>
      <color theme="1"/>
      <name val="Arial Black"/>
      <family val="2"/>
    </font>
    <font>
      <sz val="10"/>
      <color theme="1"/>
      <name val="Calibri"/>
      <family val="2"/>
      <scheme val="minor"/>
    </font>
    <font>
      <sz val="11"/>
      <name val="Arial"/>
      <family val="2"/>
    </font>
    <font>
      <sz val="16"/>
      <name val="Arial"/>
      <family val="2"/>
    </font>
    <font>
      <b/>
      <sz val="18"/>
      <name val="Arial"/>
      <family val="2"/>
    </font>
    <font>
      <u/>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rgb="FFFFFF0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4" tint="0.39997558519241921"/>
      </top>
      <bottom style="thin">
        <color theme="4" tint="0.39997558519241921"/>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0" tint="-0.14993743705557422"/>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theme="0" tint="-0.14996795556505021"/>
      </right>
      <top style="thick">
        <color indexed="64"/>
      </top>
      <bottom style="thick">
        <color indexed="64"/>
      </bottom>
      <diagonal/>
    </border>
    <border>
      <left style="thin">
        <color theme="0" tint="-0.14996795556505021"/>
      </left>
      <right style="medium">
        <color theme="0" tint="-0.14993743705557422"/>
      </right>
      <top style="thick">
        <color indexed="64"/>
      </top>
      <bottom style="thick">
        <color indexed="64"/>
      </bottom>
      <diagonal/>
    </border>
    <border>
      <left style="thin">
        <color theme="0" tint="-0.14996795556505021"/>
      </left>
      <right style="thin">
        <color theme="0" tint="-0.14996795556505021"/>
      </right>
      <top style="thick">
        <color indexed="64"/>
      </top>
      <bottom style="thick">
        <color indexed="64"/>
      </bottom>
      <diagonal/>
    </border>
    <border>
      <left style="thin">
        <color theme="0" tint="-0.24994659260841701"/>
      </left>
      <right style="thin">
        <color theme="0" tint="-0.24994659260841701"/>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0"/>
      </left>
      <right style="thin">
        <color theme="0"/>
      </right>
      <top style="thin">
        <color theme="1"/>
      </top>
      <bottom/>
      <diagonal/>
    </border>
    <border>
      <left style="thin">
        <color theme="0"/>
      </left>
      <right style="thin">
        <color theme="0"/>
      </right>
      <top style="thin">
        <color indexed="64"/>
      </top>
      <bottom/>
      <diagonal/>
    </border>
    <border>
      <left style="thin">
        <color theme="0"/>
      </left>
      <right style="thin">
        <color theme="1"/>
      </right>
      <top style="thin">
        <color theme="1"/>
      </top>
      <bottom/>
      <diagonal/>
    </border>
    <border>
      <left style="thin">
        <color theme="0"/>
      </left>
      <right/>
      <top/>
      <bottom/>
      <diagonal/>
    </border>
    <border>
      <left/>
      <right style="thin">
        <color theme="0"/>
      </right>
      <top style="thin">
        <color theme="1"/>
      </top>
      <bottom/>
      <diagonal/>
    </border>
    <border>
      <left style="thin">
        <color theme="0"/>
      </left>
      <right/>
      <top style="thin">
        <color theme="1"/>
      </top>
      <bottom/>
      <diagonal/>
    </border>
  </borders>
  <cellStyleXfs count="14">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8" fillId="0" borderId="0" applyFont="0" applyFill="0" applyBorder="0" applyAlignment="0" applyProtection="0"/>
  </cellStyleXfs>
  <cellXfs count="262">
    <xf numFmtId="0" fontId="0" fillId="0" borderId="0" xfId="0"/>
    <xf numFmtId="0" fontId="0" fillId="0" borderId="1" xfId="0" applyBorder="1"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0" fontId="5" fillId="0" borderId="0" xfId="0" applyFont="1" applyAlignment="1">
      <alignment wrapText="1"/>
    </xf>
    <xf numFmtId="164" fontId="0" fillId="0" borderId="1" xfId="0" applyNumberFormat="1" applyBorder="1" applyProtection="1">
      <protection locked="0"/>
    </xf>
    <xf numFmtId="0" fontId="15" fillId="4" borderId="4" xfId="0" applyFont="1" applyFill="1" applyBorder="1" applyAlignment="1">
      <alignment horizontal="center"/>
    </xf>
    <xf numFmtId="9" fontId="0" fillId="0" borderId="4" xfId="1" applyFont="1" applyBorder="1" applyAlignment="1">
      <alignment horizontal="center"/>
    </xf>
    <xf numFmtId="0" fontId="8" fillId="0" borderId="0" xfId="0" applyFont="1"/>
    <xf numFmtId="0" fontId="5" fillId="0" borderId="0" xfId="0" applyFont="1" applyAlignment="1">
      <alignment horizontal="center" wrapText="1"/>
    </xf>
    <xf numFmtId="0" fontId="5" fillId="0" borderId="0" xfId="0" applyFont="1" applyBorder="1" applyAlignment="1">
      <alignment horizontal="center"/>
    </xf>
    <xf numFmtId="0" fontId="8" fillId="0" borderId="0" xfId="0" applyFont="1" applyAlignment="1"/>
    <xf numFmtId="0" fontId="8" fillId="0" borderId="0" xfId="0" applyFont="1" applyBorder="1"/>
    <xf numFmtId="0" fontId="8" fillId="0" borderId="0" xfId="0" applyFont="1" applyBorder="1" applyAlignment="1">
      <alignment wrapText="1"/>
    </xf>
    <xf numFmtId="0" fontId="8" fillId="0" borderId="0" xfId="0" applyFont="1" applyAlignment="1">
      <alignment horizontal="center" wrapText="1"/>
    </xf>
    <xf numFmtId="0" fontId="8" fillId="0" borderId="0" xfId="0" applyFont="1" applyAlignment="1">
      <alignment horizontal="left"/>
    </xf>
    <xf numFmtId="0" fontId="8" fillId="0" borderId="1" xfId="0" applyFont="1" applyBorder="1" applyAlignment="1" applyProtection="1">
      <alignment wrapText="1"/>
      <protection locked="0"/>
    </xf>
    <xf numFmtId="0" fontId="8" fillId="0" borderId="0" xfId="0" applyFont="1" applyAlignment="1">
      <alignment horizontal="center" vertical="top" wrapText="1"/>
    </xf>
    <xf numFmtId="0" fontId="8" fillId="0" borderId="0" xfId="0" applyFont="1" applyBorder="1" applyAlignment="1" applyProtection="1">
      <alignment wrapText="1"/>
      <protection locked="0"/>
    </xf>
    <xf numFmtId="0" fontId="0" fillId="0" borderId="0" xfId="0" applyAlignment="1">
      <alignment horizontal="left"/>
    </xf>
    <xf numFmtId="0" fontId="0" fillId="0" borderId="0" xfId="0" applyAlignment="1">
      <alignment horizontal="center"/>
    </xf>
    <xf numFmtId="0" fontId="12"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ill="1" applyBorder="1" applyAlignment="1">
      <alignment horizontal="center"/>
    </xf>
    <xf numFmtId="0" fontId="0" fillId="0" borderId="4" xfId="0" applyBorder="1"/>
    <xf numFmtId="0" fontId="0" fillId="2" borderId="4" xfId="0" applyFill="1" applyBorder="1"/>
    <xf numFmtId="0" fontId="20" fillId="0" borderId="0" xfId="0" applyFont="1" applyAlignment="1">
      <alignment horizontal="center" vertical="center"/>
    </xf>
    <xf numFmtId="0" fontId="21" fillId="5" borderId="9" xfId="0" applyFont="1" applyFill="1" applyBorder="1" applyAlignment="1">
      <alignment horizontal="center" vertical="center"/>
    </xf>
    <xf numFmtId="16" fontId="21" fillId="5" borderId="9" xfId="0" applyNumberFormat="1" applyFont="1" applyFill="1" applyBorder="1" applyAlignment="1">
      <alignment horizontal="center" vertical="center"/>
    </xf>
    <xf numFmtId="0" fontId="22" fillId="0" borderId="0" xfId="0" applyFont="1" applyAlignment="1">
      <alignment horizontal="center" vertical="center" wrapText="1"/>
    </xf>
    <xf numFmtId="166" fontId="0" fillId="0" borderId="4" xfId="0" applyNumberFormat="1" applyBorder="1"/>
    <xf numFmtId="0" fontId="8" fillId="3" borderId="4" xfId="0" applyFont="1" applyFill="1" applyBorder="1"/>
    <xf numFmtId="49" fontId="0" fillId="0" borderId="4" xfId="0" applyNumberFormat="1" applyBorder="1"/>
    <xf numFmtId="49" fontId="8" fillId="0" borderId="4" xfId="0" applyNumberFormat="1" applyFont="1" applyBorder="1"/>
    <xf numFmtId="0" fontId="8" fillId="0" borderId="0" xfId="0" applyFont="1" applyBorder="1" applyAlignment="1" applyProtection="1">
      <alignment horizontal="left"/>
      <protection locked="0"/>
    </xf>
    <xf numFmtId="169" fontId="0" fillId="0" borderId="0" xfId="1" applyNumberFormat="1" applyFont="1"/>
    <xf numFmtId="0" fontId="8" fillId="6" borderId="2" xfId="1" applyNumberFormat="1" applyFont="1" applyFill="1" applyBorder="1" applyAlignment="1" applyProtection="1">
      <alignment horizontal="center"/>
    </xf>
    <xf numFmtId="44" fontId="20" fillId="0" borderId="0" xfId="13" applyFont="1" applyAlignment="1">
      <alignment horizontal="center" vertical="center"/>
    </xf>
    <xf numFmtId="17" fontId="0" fillId="0" borderId="0" xfId="0" applyNumberFormat="1"/>
    <xf numFmtId="0" fontId="15" fillId="0" borderId="0" xfId="0" applyFont="1" applyFill="1" applyBorder="1" applyAlignment="1">
      <alignment horizontal="center"/>
    </xf>
    <xf numFmtId="0" fontId="23" fillId="0" borderId="0" xfId="0" applyFont="1"/>
    <xf numFmtId="44" fontId="0" fillId="0" borderId="0" xfId="13" applyFont="1"/>
    <xf numFmtId="44" fontId="8" fillId="0" borderId="0" xfId="13" applyFont="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4" fontId="0" fillId="0" borderId="0" xfId="0" applyNumberFormat="1"/>
    <xf numFmtId="0" fontId="8" fillId="0" borderId="0" xfId="0" applyFont="1" applyAlignment="1">
      <alignment wrapText="1"/>
    </xf>
    <xf numFmtId="0" fontId="5" fillId="0" borderId="0" xfId="0" applyFont="1" applyAlignment="1">
      <alignment horizontal="center"/>
    </xf>
    <xf numFmtId="0" fontId="8" fillId="0" borderId="0" xfId="0" applyFont="1" applyAlignment="1">
      <alignment horizontal="center"/>
    </xf>
    <xf numFmtId="1" fontId="20" fillId="0" borderId="0" xfId="0" applyNumberFormat="1" applyFont="1" applyAlignment="1">
      <alignment horizontal="center" vertical="center"/>
    </xf>
    <xf numFmtId="0" fontId="25" fillId="0" borderId="10"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12"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5" fillId="0" borderId="13" xfId="0"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Fill="1" applyBorder="1" applyAlignment="1">
      <alignment horizontal="center" vertical="center"/>
    </xf>
    <xf numFmtId="1" fontId="20" fillId="0"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xf>
    <xf numFmtId="167" fontId="20" fillId="0" borderId="0" xfId="13" applyNumberFormat="1" applyFont="1" applyFill="1" applyBorder="1" applyAlignment="1">
      <alignment horizontal="center" vertical="center"/>
    </xf>
    <xf numFmtId="166" fontId="20" fillId="0" borderId="0" xfId="13" applyNumberFormat="1" applyFont="1" applyFill="1" applyBorder="1" applyAlignment="1">
      <alignment horizontal="center" vertical="center"/>
    </xf>
    <xf numFmtId="44" fontId="20" fillId="0" borderId="0" xfId="13" applyFont="1" applyFill="1" applyBorder="1" applyAlignment="1">
      <alignment horizontal="center" vertical="center"/>
    </xf>
    <xf numFmtId="168" fontId="20" fillId="0" borderId="0" xfId="13" applyNumberFormat="1" applyFont="1" applyFill="1" applyBorder="1" applyAlignment="1">
      <alignment horizontal="center" vertical="center"/>
    </xf>
    <xf numFmtId="44" fontId="20" fillId="0" borderId="0" xfId="13" applyNumberFormat="1"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166" fontId="20" fillId="0" borderId="19" xfId="0" applyNumberFormat="1" applyFont="1" applyFill="1" applyBorder="1" applyAlignment="1">
      <alignment horizontal="center" vertical="center"/>
    </xf>
    <xf numFmtId="1" fontId="20" fillId="0" borderId="19" xfId="0" applyNumberFormat="1" applyFont="1" applyFill="1" applyBorder="1" applyAlignment="1">
      <alignment horizontal="center" vertical="center"/>
    </xf>
    <xf numFmtId="167" fontId="20" fillId="0" borderId="19" xfId="13" applyNumberFormat="1" applyFont="1" applyFill="1" applyBorder="1" applyAlignment="1">
      <alignment horizontal="center" vertical="center"/>
    </xf>
    <xf numFmtId="166" fontId="20" fillId="0" borderId="19" xfId="13" applyNumberFormat="1" applyFont="1" applyFill="1" applyBorder="1" applyAlignment="1">
      <alignment horizontal="center" vertical="center"/>
    </xf>
    <xf numFmtId="44" fontId="20" fillId="0" borderId="19" xfId="13"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3" xfId="0" applyFont="1" applyFill="1" applyBorder="1" applyAlignment="1">
      <alignment horizontal="center" vertical="center"/>
    </xf>
    <xf numFmtId="166" fontId="20" fillId="0" borderId="3" xfId="0" applyNumberFormat="1" applyFont="1" applyFill="1" applyBorder="1" applyAlignment="1">
      <alignment horizontal="center" vertical="center"/>
    </xf>
    <xf numFmtId="1" fontId="20" fillId="0" borderId="3" xfId="0" applyNumberFormat="1" applyFont="1" applyFill="1" applyBorder="1" applyAlignment="1">
      <alignment horizontal="center" vertical="center"/>
    </xf>
    <xf numFmtId="167" fontId="20" fillId="0" borderId="3" xfId="13" applyNumberFormat="1" applyFont="1" applyFill="1" applyBorder="1" applyAlignment="1">
      <alignment horizontal="center" vertical="center"/>
    </xf>
    <xf numFmtId="166" fontId="20" fillId="0" borderId="3" xfId="13" applyNumberFormat="1" applyFont="1" applyFill="1" applyBorder="1" applyAlignment="1">
      <alignment horizontal="center" vertical="center"/>
    </xf>
    <xf numFmtId="44" fontId="20" fillId="0" borderId="3" xfId="13" applyFont="1" applyFill="1" applyBorder="1" applyAlignment="1">
      <alignment horizontal="center" vertical="center"/>
    </xf>
    <xf numFmtId="0" fontId="25" fillId="0" borderId="22" xfId="0" applyFont="1" applyFill="1" applyBorder="1" applyAlignment="1">
      <alignment horizontal="center" vertical="top" wrapText="1"/>
    </xf>
    <xf numFmtId="0" fontId="27" fillId="0" borderId="4" xfId="0" applyFont="1" applyFill="1" applyBorder="1" applyAlignment="1">
      <alignment horizontal="center" vertical="center"/>
    </xf>
    <xf numFmtId="166" fontId="27" fillId="0" borderId="4" xfId="0" applyNumberFormat="1" applyFont="1" applyFill="1" applyBorder="1" applyAlignment="1">
      <alignment horizontal="center" vertical="center"/>
    </xf>
    <xf numFmtId="44" fontId="27" fillId="0" borderId="4" xfId="13" applyFont="1" applyFill="1" applyBorder="1" applyAlignment="1">
      <alignment horizontal="center" vertical="center"/>
    </xf>
    <xf numFmtId="0" fontId="27" fillId="0" borderId="23" xfId="0" applyFont="1" applyFill="1" applyBorder="1" applyAlignment="1">
      <alignment horizontal="center" vertical="center"/>
    </xf>
    <xf numFmtId="166" fontId="27" fillId="0" borderId="24" xfId="0" applyNumberFormat="1" applyFont="1" applyFill="1" applyBorder="1" applyAlignment="1">
      <alignment horizontal="center" vertical="center"/>
    </xf>
    <xf numFmtId="0" fontId="27" fillId="0" borderId="25" xfId="0" applyFont="1" applyFill="1" applyBorder="1" applyAlignment="1">
      <alignment horizontal="center" vertical="center"/>
    </xf>
    <xf numFmtId="0" fontId="27" fillId="0" borderId="5" xfId="0" applyFont="1" applyFill="1" applyBorder="1" applyAlignment="1">
      <alignment horizontal="center" vertical="center"/>
    </xf>
    <xf numFmtId="166" fontId="27" fillId="0" borderId="5" xfId="0" applyNumberFormat="1" applyFont="1" applyFill="1" applyBorder="1" applyAlignment="1">
      <alignment horizontal="center" vertical="center"/>
    </xf>
    <xf numFmtId="44" fontId="27" fillId="0" borderId="5" xfId="13" applyFont="1" applyFill="1" applyBorder="1" applyAlignment="1">
      <alignment horizontal="center" vertical="center"/>
    </xf>
    <xf numFmtId="166" fontId="27" fillId="0" borderId="26" xfId="0" applyNumberFormat="1" applyFont="1" applyFill="1" applyBorder="1" applyAlignment="1">
      <alignment horizontal="center" vertical="center"/>
    </xf>
    <xf numFmtId="0" fontId="27" fillId="0" borderId="27" xfId="0" applyFont="1" applyFill="1" applyBorder="1" applyAlignment="1">
      <alignment horizontal="center" vertical="center"/>
    </xf>
    <xf numFmtId="0" fontId="27" fillId="0" borderId="7" xfId="0" applyFont="1" applyFill="1" applyBorder="1" applyAlignment="1">
      <alignment horizontal="center" vertical="center"/>
    </xf>
    <xf numFmtId="166" fontId="27" fillId="0" borderId="7" xfId="0" applyNumberFormat="1" applyFont="1" applyFill="1" applyBorder="1" applyAlignment="1">
      <alignment horizontal="center" vertical="center"/>
    </xf>
    <xf numFmtId="44" fontId="27" fillId="0" borderId="7" xfId="13" applyFont="1" applyFill="1" applyBorder="1" applyAlignment="1">
      <alignment horizontal="center" vertical="center"/>
    </xf>
    <xf numFmtId="166" fontId="27" fillId="0" borderId="28" xfId="0" applyNumberFormat="1"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Fill="1" applyBorder="1" applyAlignment="1">
      <alignment horizontal="center" vertical="center"/>
    </xf>
    <xf numFmtId="166" fontId="27" fillId="0" borderId="35" xfId="0" applyNumberFormat="1" applyFont="1" applyFill="1" applyBorder="1" applyAlignment="1">
      <alignment horizontal="center" vertical="center"/>
    </xf>
    <xf numFmtId="44" fontId="27" fillId="0" borderId="35" xfId="13" applyFont="1" applyFill="1" applyBorder="1" applyAlignment="1">
      <alignment horizontal="center" vertical="center"/>
    </xf>
    <xf numFmtId="166" fontId="27" fillId="0" borderId="36" xfId="0" applyNumberFormat="1" applyFont="1" applyFill="1" applyBorder="1" applyAlignment="1">
      <alignment horizontal="center" vertical="center"/>
    </xf>
    <xf numFmtId="0" fontId="27" fillId="0" borderId="37" xfId="0" applyFont="1" applyFill="1" applyBorder="1" applyAlignment="1">
      <alignment horizontal="center" vertical="center"/>
    </xf>
    <xf numFmtId="166" fontId="27" fillId="0" borderId="38" xfId="0" applyNumberFormat="1" applyFont="1" applyFill="1" applyBorder="1" applyAlignment="1">
      <alignment horizontal="center" vertical="center"/>
    </xf>
    <xf numFmtId="167" fontId="27" fillId="0" borderId="35" xfId="13" applyNumberFormat="1" applyFont="1" applyFill="1" applyBorder="1" applyAlignment="1">
      <alignment horizontal="center" vertical="center"/>
    </xf>
    <xf numFmtId="167" fontId="27" fillId="0" borderId="4" xfId="13" applyNumberFormat="1" applyFont="1" applyFill="1" applyBorder="1" applyAlignment="1">
      <alignment horizontal="center" vertical="center"/>
    </xf>
    <xf numFmtId="0" fontId="28" fillId="0" borderId="0" xfId="0" applyFont="1"/>
    <xf numFmtId="0" fontId="24" fillId="0" borderId="29" xfId="0" applyFont="1" applyFill="1" applyBorder="1" applyAlignment="1">
      <alignment horizontal="center" vertical="top" wrapText="1"/>
    </xf>
    <xf numFmtId="0" fontId="24" fillId="0" borderId="30" xfId="0" applyFont="1" applyFill="1" applyBorder="1" applyAlignment="1">
      <alignment horizontal="center" vertical="top" wrapText="1"/>
    </xf>
    <xf numFmtId="0" fontId="24" fillId="0" borderId="31" xfId="0" applyFont="1" applyFill="1" applyBorder="1" applyAlignment="1">
      <alignment horizontal="center" vertical="top" wrapText="1"/>
    </xf>
    <xf numFmtId="0" fontId="24" fillId="0" borderId="32" xfId="0" applyFont="1" applyFill="1" applyBorder="1" applyAlignment="1">
      <alignment horizontal="center" vertical="top" wrapText="1"/>
    </xf>
    <xf numFmtId="0" fontId="24" fillId="0" borderId="33" xfId="0" applyFont="1" applyFill="1" applyBorder="1" applyAlignment="1">
      <alignment horizontal="center" vertical="top" wrapText="1"/>
    </xf>
    <xf numFmtId="0" fontId="17" fillId="0" borderId="0" xfId="0" applyFont="1" applyAlignment="1"/>
    <xf numFmtId="0" fontId="17" fillId="8" borderId="0" xfId="0" applyFont="1" applyFill="1" applyAlignment="1"/>
    <xf numFmtId="0" fontId="17" fillId="7" borderId="0" xfId="0" applyFont="1" applyFill="1" applyAlignment="1"/>
    <xf numFmtId="0" fontId="5" fillId="0" borderId="0" xfId="0" applyFont="1" applyAlignment="1">
      <alignment horizontal="left"/>
    </xf>
    <xf numFmtId="0" fontId="5" fillId="0" borderId="0" xfId="0" applyFont="1" applyAlignment="1">
      <alignment horizontal="left" wrapText="1"/>
    </xf>
    <xf numFmtId="0" fontId="5" fillId="0" borderId="0" xfId="0" applyFont="1" applyBorder="1" applyAlignment="1">
      <alignment horizontal="left"/>
    </xf>
    <xf numFmtId="0" fontId="16" fillId="0" borderId="1" xfId="0" applyFont="1" applyBorder="1" applyAlignment="1" applyProtection="1">
      <protection locked="0"/>
    </xf>
    <xf numFmtId="0" fontId="5" fillId="0" borderId="1" xfId="0" applyFont="1" applyBorder="1" applyAlignment="1" applyProtection="1">
      <protection locked="0"/>
    </xf>
    <xf numFmtId="0" fontId="8" fillId="0" borderId="6" xfId="0" applyFont="1" applyBorder="1" applyAlignment="1" applyProtection="1">
      <protection locked="0"/>
    </xf>
    <xf numFmtId="0" fontId="16" fillId="0" borderId="0" xfId="0" applyFont="1" applyBorder="1" applyAlignment="1" applyProtection="1">
      <protection locked="0"/>
    </xf>
    <xf numFmtId="0" fontId="5" fillId="0" borderId="0" xfId="0" applyFont="1" applyBorder="1" applyAlignment="1" applyProtection="1">
      <protection locked="0"/>
    </xf>
    <xf numFmtId="0" fontId="8" fillId="0" borderId="0" xfId="0" applyFont="1" applyBorder="1" applyAlignment="1" applyProtection="1">
      <protection locked="0"/>
    </xf>
    <xf numFmtId="0" fontId="5" fillId="0" borderId="0" xfId="0" applyFont="1" applyBorder="1" applyAlignment="1">
      <alignment horizontal="center" wrapText="1"/>
    </xf>
    <xf numFmtId="0" fontId="5" fillId="0" borderId="0" xfId="0" applyFont="1" applyBorder="1"/>
    <xf numFmtId="14" fontId="5" fillId="0" borderId="1" xfId="0" applyNumberFormat="1" applyFont="1" applyBorder="1" applyAlignment="1" applyProtection="1">
      <alignment horizontal="left" wrapText="1"/>
      <protection locked="0"/>
    </xf>
    <xf numFmtId="0" fontId="15" fillId="4" borderId="42" xfId="0" applyFont="1" applyFill="1" applyBorder="1" applyAlignment="1">
      <alignment horizontal="center" vertical="top" wrapText="1"/>
    </xf>
    <xf numFmtId="17" fontId="15" fillId="4" borderId="43" xfId="0" applyNumberFormat="1" applyFont="1" applyFill="1" applyBorder="1" applyAlignment="1">
      <alignment horizontal="center"/>
    </xf>
    <xf numFmtId="0" fontId="15" fillId="4" borderId="44" xfId="0" applyFont="1" applyFill="1" applyBorder="1" applyAlignment="1">
      <alignment horizontal="center" vertical="top" wrapText="1"/>
    </xf>
    <xf numFmtId="0" fontId="12" fillId="0" borderId="42" xfId="0" applyFont="1" applyBorder="1" applyAlignment="1">
      <alignment wrapText="1"/>
    </xf>
    <xf numFmtId="4" fontId="12" fillId="0" borderId="42" xfId="0" applyNumberFormat="1" applyFont="1" applyBorder="1"/>
    <xf numFmtId="10" fontId="12" fillId="0" borderId="42" xfId="1" applyNumberFormat="1" applyFont="1" applyBorder="1" applyAlignment="1">
      <alignment horizontal="center"/>
    </xf>
    <xf numFmtId="167" fontId="12" fillId="0" borderId="42" xfId="13" applyNumberFormat="1" applyFont="1" applyBorder="1" applyAlignment="1">
      <alignment horizontal="center"/>
    </xf>
    <xf numFmtId="44" fontId="12" fillId="0" borderId="42" xfId="13" applyNumberFormat="1" applyFont="1" applyBorder="1" applyAlignment="1">
      <alignment horizontal="center"/>
    </xf>
    <xf numFmtId="44" fontId="12" fillId="0" borderId="42" xfId="13" applyNumberFormat="1" applyFont="1" applyBorder="1" applyAlignment="1">
      <alignment horizontal="center" vertical="center" wrapText="1"/>
    </xf>
    <xf numFmtId="165" fontId="12" fillId="0" borderId="42" xfId="2" applyNumberFormat="1" applyFont="1" applyBorder="1" applyAlignment="1">
      <alignment horizontal="center" vertical="center" wrapText="1"/>
    </xf>
    <xf numFmtId="4" fontId="12" fillId="0" borderId="42" xfId="0" applyNumberFormat="1" applyFont="1" applyBorder="1" applyAlignment="1">
      <alignment wrapText="1"/>
    </xf>
    <xf numFmtId="4" fontId="12" fillId="0" borderId="44" xfId="0" applyNumberFormat="1" applyFont="1" applyBorder="1" applyAlignment="1">
      <alignment wrapText="1"/>
    </xf>
    <xf numFmtId="0" fontId="12" fillId="0" borderId="42" xfId="2" applyNumberFormat="1" applyFont="1" applyBorder="1" applyAlignment="1">
      <alignment vertical="center"/>
    </xf>
    <xf numFmtId="4" fontId="8" fillId="0" borderId="42" xfId="11" applyNumberFormat="1" applyFont="1" applyBorder="1" applyAlignment="1">
      <alignment vertical="center" wrapText="1"/>
    </xf>
    <xf numFmtId="167" fontId="12" fillId="0" borderId="42" xfId="13" applyNumberFormat="1" applyFont="1" applyBorder="1" applyAlignment="1">
      <alignment horizontal="center" vertical="center" wrapText="1"/>
    </xf>
    <xf numFmtId="167" fontId="12" fillId="0" borderId="42" xfId="1" applyNumberFormat="1" applyFont="1" applyBorder="1" applyAlignment="1">
      <alignment horizontal="center"/>
    </xf>
    <xf numFmtId="10" fontId="20" fillId="0" borderId="0" xfId="1" applyNumberFormat="1" applyFont="1" applyAlignment="1">
      <alignment horizontal="center" vertical="center"/>
    </xf>
    <xf numFmtId="44" fontId="12" fillId="5" borderId="42" xfId="13" applyNumberFormat="1" applyFont="1" applyFill="1" applyBorder="1" applyAlignment="1">
      <alignment horizontal="center" vertical="center" wrapText="1"/>
    </xf>
    <xf numFmtId="0" fontId="20" fillId="0" borderId="0" xfId="0" applyFont="1" applyFill="1" applyAlignment="1">
      <alignment horizontal="center" vertical="center"/>
    </xf>
    <xf numFmtId="167" fontId="20" fillId="0" borderId="0" xfId="0" applyNumberFormat="1" applyFont="1" applyFill="1" applyBorder="1" applyAlignment="1">
      <alignment horizontal="center" vertical="center"/>
    </xf>
    <xf numFmtId="44" fontId="2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44" fontId="1" fillId="0" borderId="40" xfId="0" applyNumberFormat="1" applyFont="1" applyFill="1" applyBorder="1" applyAlignment="1">
      <alignment horizontal="center" vertical="center"/>
    </xf>
    <xf numFmtId="166" fontId="1" fillId="0" borderId="40" xfId="0" applyNumberFormat="1" applyFont="1" applyFill="1" applyBorder="1" applyAlignment="1">
      <alignment horizontal="center" vertical="center"/>
    </xf>
    <xf numFmtId="167" fontId="1" fillId="0" borderId="40" xfId="0" applyNumberFormat="1" applyFont="1" applyFill="1" applyBorder="1" applyAlignment="1">
      <alignment horizontal="center" vertical="center"/>
    </xf>
    <xf numFmtId="44" fontId="1" fillId="0" borderId="41" xfId="0" applyNumberFormat="1" applyFont="1" applyFill="1" applyBorder="1" applyAlignment="1">
      <alignment horizontal="center" vertical="center"/>
    </xf>
    <xf numFmtId="167" fontId="27" fillId="0" borderId="5" xfId="13" applyNumberFormat="1" applyFont="1" applyFill="1" applyBorder="1" applyAlignment="1">
      <alignment horizontal="center" vertical="center"/>
    </xf>
    <xf numFmtId="16" fontId="20" fillId="0" borderId="0" xfId="0" applyNumberFormat="1" applyFont="1" applyFill="1" applyBorder="1" applyAlignment="1">
      <alignment horizontal="center" vertical="center"/>
    </xf>
    <xf numFmtId="0" fontId="15" fillId="4" borderId="46" xfId="0" applyFont="1" applyFill="1" applyBorder="1" applyAlignment="1">
      <alignment horizontal="center" vertical="top" wrapText="1"/>
    </xf>
    <xf numFmtId="0" fontId="12" fillId="0" borderId="46" xfId="0" applyFont="1" applyBorder="1" applyAlignment="1">
      <alignment horizontal="left"/>
    </xf>
    <xf numFmtId="0" fontId="15" fillId="4" borderId="0" xfId="0" applyFont="1" applyFill="1" applyBorder="1" applyAlignment="1">
      <alignment horizontal="left"/>
    </xf>
    <xf numFmtId="0" fontId="12" fillId="10" borderId="47" xfId="0" applyFont="1" applyFill="1" applyBorder="1"/>
    <xf numFmtId="0" fontId="12" fillId="9" borderId="47" xfId="0" applyFont="1" applyFill="1" applyBorder="1"/>
    <xf numFmtId="4" fontId="0" fillId="0" borderId="42" xfId="0" applyNumberFormat="1" applyFont="1" applyBorder="1" applyAlignment="1">
      <alignment wrapText="1"/>
    </xf>
    <xf numFmtId="14" fontId="12" fillId="9" borderId="47" xfId="0" applyNumberFormat="1" applyFont="1" applyFill="1" applyBorder="1" applyAlignment="1">
      <alignment horizontal="left"/>
    </xf>
    <xf numFmtId="44" fontId="12" fillId="9" borderId="47" xfId="13" applyNumberFormat="1" applyFont="1" applyFill="1" applyBorder="1"/>
    <xf numFmtId="1" fontId="12" fillId="9" borderId="47" xfId="13" applyNumberFormat="1" applyFont="1" applyFill="1" applyBorder="1" applyAlignment="1">
      <alignment horizontal="center"/>
    </xf>
    <xf numFmtId="166" fontId="12" fillId="9" borderId="47" xfId="0" applyNumberFormat="1" applyFont="1" applyFill="1" applyBorder="1" applyAlignment="1">
      <alignment horizontal="center"/>
    </xf>
    <xf numFmtId="14" fontId="12" fillId="10" borderId="47" xfId="0" applyNumberFormat="1" applyFont="1" applyFill="1" applyBorder="1" applyAlignment="1">
      <alignment horizontal="left"/>
    </xf>
    <xf numFmtId="44" fontId="12" fillId="10" borderId="47" xfId="13" applyNumberFormat="1" applyFont="1" applyFill="1" applyBorder="1"/>
    <xf numFmtId="1" fontId="12" fillId="10" borderId="47" xfId="13" applyNumberFormat="1" applyFont="1" applyFill="1" applyBorder="1" applyAlignment="1">
      <alignment horizontal="center"/>
    </xf>
    <xf numFmtId="166" fontId="12" fillId="10" borderId="47" xfId="0" applyNumberFormat="1" applyFont="1" applyFill="1" applyBorder="1" applyAlignment="1">
      <alignment horizontal="center"/>
    </xf>
    <xf numFmtId="0" fontId="12" fillId="10" borderId="47" xfId="0" applyFont="1" applyFill="1" applyBorder="1" applyAlignment="1">
      <alignment vertical="top"/>
    </xf>
    <xf numFmtId="16" fontId="12" fillId="9" borderId="47" xfId="0" applyNumberFormat="1" applyFont="1" applyFill="1" applyBorder="1" applyAlignment="1">
      <alignment horizontal="center"/>
    </xf>
    <xf numFmtId="16" fontId="12" fillId="10" borderId="47" xfId="0" applyNumberFormat="1" applyFont="1" applyFill="1" applyBorder="1" applyAlignment="1">
      <alignment horizontal="left"/>
    </xf>
    <xf numFmtId="16" fontId="12" fillId="10" borderId="47" xfId="0" applyNumberFormat="1" applyFont="1" applyFill="1" applyBorder="1" applyAlignment="1">
      <alignment horizontal="center"/>
    </xf>
    <xf numFmtId="16" fontId="12" fillId="9" borderId="47" xfId="0" applyNumberFormat="1" applyFont="1" applyFill="1" applyBorder="1" applyAlignment="1">
      <alignment horizontal="left"/>
    </xf>
    <xf numFmtId="44" fontId="12" fillId="9" borderId="47" xfId="13" applyNumberFormat="1" applyFont="1" applyFill="1" applyBorder="1" applyAlignment="1">
      <alignment vertical="center" wrapText="1"/>
    </xf>
    <xf numFmtId="44" fontId="12" fillId="10" borderId="47" xfId="13" applyNumberFormat="1" applyFont="1" applyFill="1" applyBorder="1" applyAlignment="1">
      <alignment vertical="center" wrapText="1"/>
    </xf>
    <xf numFmtId="44" fontId="12" fillId="9" borderId="47" xfId="13" applyNumberFormat="1" applyFont="1" applyFill="1" applyBorder="1" applyAlignment="1">
      <alignment horizontal="center" vertical="center" wrapText="1"/>
    </xf>
    <xf numFmtId="0" fontId="12" fillId="9" borderId="8" xfId="0" applyFont="1" applyFill="1" applyBorder="1" applyAlignment="1">
      <alignment horizontal="left"/>
    </xf>
    <xf numFmtId="0" fontId="12" fillId="10" borderId="8" xfId="0" applyFont="1" applyFill="1" applyBorder="1" applyAlignment="1">
      <alignment horizontal="left"/>
    </xf>
    <xf numFmtId="0" fontId="15" fillId="4" borderId="45" xfId="0" applyFont="1" applyFill="1" applyBorder="1" applyAlignment="1">
      <alignment horizontal="left"/>
    </xf>
    <xf numFmtId="0" fontId="15" fillId="4" borderId="45" xfId="0" applyFont="1" applyFill="1" applyBorder="1"/>
    <xf numFmtId="44" fontId="15" fillId="4" borderId="45" xfId="13" applyNumberFormat="1" applyFont="1" applyFill="1" applyBorder="1"/>
    <xf numFmtId="0" fontId="15" fillId="4" borderId="45" xfId="0" applyFont="1" applyFill="1" applyBorder="1" applyAlignment="1">
      <alignment horizontal="center"/>
    </xf>
    <xf numFmtId="1" fontId="12" fillId="9" borderId="47" xfId="13" applyNumberFormat="1" applyFont="1" applyFill="1" applyBorder="1" applyAlignment="1">
      <alignment horizontal="center" vertical="center" wrapText="1"/>
    </xf>
    <xf numFmtId="1" fontId="12" fillId="10" borderId="47" xfId="13" applyNumberFormat="1" applyFont="1" applyFill="1" applyBorder="1" applyAlignment="1">
      <alignment horizontal="center" vertical="center" wrapText="1"/>
    </xf>
    <xf numFmtId="44" fontId="8" fillId="0" borderId="0" xfId="0" applyNumberFormat="1" applyFont="1"/>
    <xf numFmtId="4" fontId="13" fillId="5" borderId="42" xfId="11" applyNumberFormat="1" applyFont="1" applyFill="1" applyBorder="1" applyAlignment="1">
      <alignment vertical="center" wrapText="1"/>
    </xf>
    <xf numFmtId="44" fontId="13" fillId="5" borderId="42" xfId="13" applyNumberFormat="1" applyFont="1" applyFill="1" applyBorder="1" applyAlignment="1">
      <alignment horizontal="center" vertical="center" wrapText="1"/>
    </xf>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0" applyNumberFormat="1" applyFont="1" applyBorder="1" applyProtection="1"/>
    <xf numFmtId="0" fontId="11" fillId="6" borderId="2" xfId="1" applyNumberFormat="1" applyFont="1" applyFill="1" applyBorder="1" applyAlignment="1" applyProtection="1">
      <alignment horizontal="center"/>
    </xf>
    <xf numFmtId="10" fontId="13" fillId="0" borderId="42" xfId="1" applyNumberFormat="1" applyFont="1" applyBorder="1" applyAlignment="1">
      <alignment horizontal="center"/>
    </xf>
    <xf numFmtId="0" fontId="8" fillId="0" borderId="1" xfId="0" applyFont="1" applyBorder="1" applyAlignment="1" applyProtection="1">
      <alignment horizontal="center"/>
    </xf>
    <xf numFmtId="10" fontId="8" fillId="0" borderId="1" xfId="1" applyNumberFormat="1" applyFont="1" applyBorder="1" applyAlignment="1" applyProtection="1">
      <alignment horizontal="center"/>
    </xf>
    <xf numFmtId="10" fontId="8" fillId="0" borderId="0" xfId="0" applyNumberFormat="1" applyFont="1" applyBorder="1" applyProtection="1"/>
    <xf numFmtId="0" fontId="8" fillId="0" borderId="2" xfId="0" applyFont="1" applyBorder="1" applyAlignment="1" applyProtection="1">
      <alignment horizontal="left" wrapText="1"/>
    </xf>
    <xf numFmtId="0" fontId="11" fillId="0" borderId="2" xfId="0" applyFont="1" applyBorder="1" applyAlignment="1" applyProtection="1">
      <alignment horizontal="left" wrapText="1"/>
    </xf>
    <xf numFmtId="164" fontId="13" fillId="0" borderId="1"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0" fontId="8" fillId="0" borderId="0" xfId="0" applyFont="1" applyAlignment="1" applyProtection="1">
      <alignment horizontal="left"/>
    </xf>
    <xf numFmtId="0" fontId="16"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145">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ck">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indexed="64"/>
        </left>
        <right style="thin">
          <color indexed="64"/>
        </right>
        <top style="thick">
          <color indexed="64"/>
        </top>
        <bottom style="thick">
          <color indexed="64"/>
        </bottom>
      </border>
    </dxf>
    <dxf>
      <border>
        <top style="thick">
          <color indexed="64"/>
        </top>
      </border>
    </dxf>
    <dxf>
      <font>
        <b val="0"/>
        <strike val="0"/>
        <outline val="0"/>
        <shadow val="0"/>
        <u val="none"/>
        <vertAlign val="baseline"/>
        <sz val="11"/>
        <color theme="1"/>
        <name val="Calibri"/>
        <scheme val="minor"/>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border>
        <bottom style="thick">
          <color indexed="64"/>
        </bottom>
      </border>
    </dxf>
    <dxf>
      <font>
        <b val="0"/>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font>
      <fill>
        <patternFill patternType="none">
          <bgColor auto="1"/>
        </patternFill>
      </fill>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top/>
        <bottom/>
        <vertical/>
        <horizontal/>
      </border>
    </dxf>
    <dxf>
      <font>
        <b val="0"/>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Calibri"/>
        <scheme val="minor"/>
      </font>
      <fill>
        <patternFill patternType="none">
          <fgColor theme="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21" formatCode="d\-mmm"/>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1"/>
        </top>
        <bottom/>
        <vertical/>
        <horizontal/>
      </border>
    </dxf>
    <dxf>
      <numFmt numFmtId="1" formatCode="0"/>
      <alignment horizontal="center" textRotation="0" indent="0" justifyLastLine="0" shrinkToFit="0" readingOrder="0"/>
    </dxf>
    <dxf>
      <border outline="0">
        <right style="thin">
          <color theme="0"/>
        </right>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1"/>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1"/>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165" formatCode="m/d/yy;@"/>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67" formatCode="_(&quot;$&quot;* #,##0_);_(&quot;$&quot;* \(#,##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Arial"/>
        <scheme val="none"/>
      </font>
      <numFmt numFmtId="4" formatCode="#,##0.00"/>
      <alignment horizontal="general"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0" formatCode="General"/>
      <alignment horizontal="general" vertical="center"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left/>
        <right style="thin">
          <color theme="0"/>
        </right>
        <top style="thin">
          <color theme="1"/>
        </top>
        <bottom/>
        <vertical/>
        <horizontal/>
      </border>
    </dxf>
    <dxf>
      <border outline="0">
        <left style="thin">
          <color theme="1"/>
        </left>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theme="0"/>
        <name val="Arial"/>
        <scheme val="none"/>
      </font>
      <fill>
        <patternFill patternType="solid">
          <fgColor theme="1"/>
          <bgColor theme="1"/>
        </patternFill>
      </fill>
      <alignment horizontal="center" vertical="top" textRotation="0" wrapText="1" indent="0" justifyLastLine="0" shrinkToFit="0" readingOrder="0"/>
      <border diagonalUp="0" diagonalDown="0" outline="0">
        <left style="thin">
          <color theme="0"/>
        </left>
        <right style="thin">
          <color theme="0"/>
        </right>
        <top/>
        <bottom/>
      </border>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externalLink" Target="externalLinks/externalLink1.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AccrualSummary" displayName="AccrualSummary" ref="A9:Z99" headerRowDxfId="132" dataDxfId="131" tableBorderDxfId="130">
  <autoFilter ref="A9:Z99"/>
  <tableColumns count="26">
    <tableColumn id="1" name="PO Line #" totalsRowLabel="Total" dataDxfId="129" totalsRowDxfId="128"/>
    <tableColumn id="2" name="Description" dataDxfId="127" totalsRowDxfId="126" dataCellStyle="Normal 4"/>
    <tableColumn id="3" name="line" dataDxfId="125" totalsRowDxfId="124"/>
    <tableColumn id="5" name="PO Line Beg Bal" dataDxfId="123" totalsRowDxfId="122" dataCellStyle="Currency 5"/>
    <tableColumn id="6" name="Prior % Complete" dataDxfId="121" totalsRowDxfId="120" dataCellStyle="Percent"/>
    <tableColumn id="7" name="Nov-16" dataDxfId="119" totalsRowDxfId="118" dataCellStyle="Percent"/>
    <tableColumn id="8" name="Dec-16" dataDxfId="117" totalsRowDxfId="116" dataCellStyle="Currency"/>
    <tableColumn id="9" name="Jan-17" dataDxfId="115" totalsRowDxfId="114" dataCellStyle="Currency"/>
    <tableColumn id="10" name="Feb-17" dataDxfId="113" totalsRowDxfId="112" dataCellStyle="Currency"/>
    <tableColumn id="11" name="Mar-17" dataDxfId="111" totalsRowDxfId="110" dataCellStyle="Currency"/>
    <tableColumn id="12" name="Apr-17" dataDxfId="109" totalsRowDxfId="108" dataCellStyle="Currency"/>
    <tableColumn id="13" name="May-17" dataDxfId="107" totalsRowDxfId="106" dataCellStyle="Currency"/>
    <tableColumn id="14" name="Jun-17" dataDxfId="105" totalsRowDxfId="104" dataCellStyle="Currency"/>
    <tableColumn id="15" name="Jul-17" dataDxfId="103" totalsRowDxfId="102" dataCellStyle="Currency"/>
    <tableColumn id="16" name="Aug-17" dataDxfId="101" totalsRowDxfId="100" dataCellStyle="Currency"/>
    <tableColumn id="17" name="Sep-17" dataDxfId="99" totalsRowDxfId="98" dataCellStyle="Currency"/>
    <tableColumn id="18" name="Oct-17" dataDxfId="97" totalsRowDxfId="96" dataCellStyle="Currency">
      <calculatedColumnFormula>AccrualSummary[[#This Row],[PO Line Beg Bal]]-AccrualSummary[[#This Row],[Prev Vouchered Amount]]</calculatedColumnFormula>
    </tableColumn>
    <tableColumn id="19" name="Nov-17" dataDxfId="95" totalsRowDxfId="94" dataCellStyle="Currency"/>
    <tableColumn id="20" name="Dec-17" dataDxfId="93" totalsRowDxfId="92" dataCellStyle="Currency"/>
    <tableColumn id="21" name="Est Complete Date" dataDxfId="91" totalsRowDxfId="90" dataCellStyle="Normal 4"/>
    <tableColumn id="22" name="Percent Complete" dataDxfId="89" totalsRowDxfId="88" dataCellStyle="Percent"/>
    <tableColumn id="23" name="Completed Work Amt" dataDxfId="87" totalsRowDxfId="86"/>
    <tableColumn id="24" name="Eligible for Voucher Amt" dataDxfId="85" totalsRowDxfId="84"/>
    <tableColumn id="25" name="Prev Vouchered Amount" dataDxfId="83" totalsRowDxfId="82"/>
    <tableColumn id="26" name="Completed  Work Retention Amt" dataDxfId="81" totalsRowDxfId="80"/>
    <tableColumn id="27" name="Note" totalsRowFunction="count" dataDxfId="79" totalsRowDxfId="78"/>
  </tableColumns>
  <tableStyleInfo name="TableStyleMedium9" showFirstColumn="0" showLastColumn="0" showRowStripes="1" showColumnStripes="0"/>
</table>
</file>

<file path=xl/tables/table2.xml><?xml version="1.0" encoding="utf-8"?>
<table xmlns="http://schemas.openxmlformats.org/spreadsheetml/2006/main" id="7" name="InvoiceDetail" displayName="InvoiceDetail" ref="B1:H83" totalsRowShown="0" tableBorderDxfId="65">
  <autoFilter ref="B1:H83"/>
  <sortState ref="B2:H83">
    <sortCondition ref="B1:B83"/>
  </sortState>
  <tableColumns count="7">
    <tableColumn id="1" name="Invoice #" dataDxfId="64"/>
    <tableColumn id="2" name="Date" dataDxfId="63"/>
    <tableColumn id="3" name="Milestone/ Line" dataDxfId="62"/>
    <tableColumn id="4" name="Invoice Amount" dataDxfId="61"/>
    <tableColumn id="5" name="Line" dataDxfId="60">
      <calculatedColumnFormula>IFERROR(MATCH($D$2:$D$83,' Accting USE Data Entry Form'!$B$10:$B$99,0),0)</calculatedColumnFormula>
    </tableColumn>
    <tableColumn id="7" name="Approval Date" dataDxfId="59"/>
    <tableColumn id="8" name="Notes" dataDxfId="58"/>
  </tableColumns>
  <tableStyleInfo name="TableStyleMedium9" showFirstColumn="0" showLastColumn="0" showRowStripes="1" showColumnStripes="0"/>
</table>
</file>

<file path=xl/tables/table3.xml><?xml version="1.0" encoding="utf-8"?>
<table xmlns="http://schemas.openxmlformats.org/spreadsheetml/2006/main" id="1" name="CavityStatus" displayName="CavityStatus" ref="A3:Q228" totalsRowCount="1" headerRowDxfId="57" dataDxfId="56" totalsRowDxfId="54" tableBorderDxfId="55">
  <autoFilter ref="A3:Q227"/>
  <tableColumns count="17">
    <tableColumn id="7" name="Unit #" totalsRowFunction="count" dataDxfId="53" totalsRowDxfId="52"/>
    <tableColumn id="20" name="Serial #" totalsRowFunction="count" dataDxfId="51" totalsRowDxfId="50"/>
    <tableColumn id="5" name="Description" dataDxfId="49" totalsRowDxfId="48"/>
    <tableColumn id="23" name="Incentivized Ship Date" dataDxfId="47" totalsRowDxfId="46"/>
    <tableColumn id="14" name="Actual Ship Date" dataDxfId="45" totalsRowDxfId="44"/>
    <tableColumn id="3" name="Ship#" dataDxfId="43" totalsRowDxfId="42"/>
    <tableColumn id="32" name="Wks +/- Incentive Date" dataDxfId="41" totalsRowDxfId="40">
      <calculatedColumnFormula>IF(CavityStatus[[#This Row],[Actual Ship Date]]&lt;&gt;0,($E4-$D4)/7,0)</calculatedColumnFormula>
    </tableColumn>
    <tableColumn id="24" name="FA Incentive Avail" totalsRowFunction="sum" dataDxfId="39" totalsRowDxfId="38" dataCellStyle="Currency"/>
    <tableColumn id="6" name="FA Incentive" dataDxfId="37" totalsRowDxfId="36" dataCellStyle="Currency"/>
    <tableColumn id="9" name="Prod Incentive Avail" totalsRowFunction="sum" dataDxfId="35" totalsRowDxfId="34" dataCellStyle="Currency"/>
    <tableColumn id="33" name="Incentive Earned" totalsRowFunction="sum" dataDxfId="33" totalsRowDxfId="32" dataCellStyle="Currency">
      <calculatedColumnFormula>IF($G4&gt;0,$H4-($G4*200),$H4)</calculatedColumnFormula>
    </tableColumn>
    <tableColumn id="27" name="Receipt Date" dataDxfId="31" totalsRowDxfId="30" dataCellStyle="Currency"/>
    <tableColumn id="1" name="Recipe Modification (Mod 9)" totalsRowFunction="sum" dataDxfId="29" totalsRowDxfId="28" dataCellStyle="Currency"/>
    <tableColumn id="2" name="Caps            _x000a_ (Mod 10)" totalsRowFunction="sum" dataDxfId="27" totalsRowDxfId="26" dataCellStyle="Currency">
      <calculatedColumnFormula>57800/113</calculatedColumnFormula>
    </tableColumn>
    <tableColumn id="31" name="Delivery &amp; Acceptance" totalsRowFunction="sum" dataDxfId="25" totalsRowDxfId="24" dataCellStyle="Currency">
      <calculatedColumnFormula>RICavMilestoneVal</calculatedColumnFormula>
    </tableColumn>
    <tableColumn id="16" name="Total" totalsRowFunction="sum" dataDxfId="23" totalsRowDxfId="22" dataCellStyle="Currency">
      <calculatedColumnFormula>RICavMilestoneVal+CavityStatus[[#This Row],[Incentive Earned]]+CavityStatus[[#This Row],[Recipe Modification (Mod 9)]]+N4</calculatedColumnFormula>
    </tableColumn>
    <tableColumn id="19" name="Accept Date" dataDxfId="21" totalsRowDxfId="20" dataCellStyle="Currency"/>
  </tableColumns>
  <tableStyleInfo name="TableStyleMedium1" showFirstColumn="0" showLastColumn="0" showRowStripes="1" showColumnStripes="0"/>
</table>
</file>

<file path=xl/tables/table4.xml><?xml version="1.0" encoding="utf-8"?>
<table xmlns="http://schemas.openxmlformats.org/spreadsheetml/2006/main" id="4" name="CavityStatus5" displayName="CavityStatus5" ref="B3:K228" totalsRowCount="1" headerRowDxfId="19" dataDxfId="17" totalsRowDxfId="15" headerRowBorderDxfId="18" tableBorderDxfId="16" totalsRowBorderDxfId="14">
  <autoFilter ref="B3:K227"/>
  <sortState ref="B4:K227">
    <sortCondition ref="C3:C227"/>
  </sortState>
  <tableColumns count="10">
    <tableColumn id="7" name="Unit #" totalsRowLabel="Total" totalsRowDxfId="13">
      <calculatedColumnFormula>IF(CavityStatus[[#This Row],[Unit '#]]&lt;&gt;0,CavityStatus[[#This Row],[Unit '#]],"")</calculatedColumnFormula>
    </tableColumn>
    <tableColumn id="20" name="Serial #" totalsRowFunction="count" totalsRowDxfId="12">
      <calculatedColumnFormula>CavityStatus[[#This Row],[Serial '#]]</calculatedColumnFormula>
    </tableColumn>
    <tableColumn id="14" name="Actual Ship Date" totalsRowDxfId="11">
      <calculatedColumnFormula>IF(CavityStatus[[#This Row],[Actual Ship Date]]&lt;&gt;0,CavityStatus[[#This Row],[Actual Ship Date]],"")</calculatedColumnFormula>
    </tableColumn>
    <tableColumn id="33" name="Incentive Earned" totalsRowFunction="sum" totalsRowDxfId="10" dataCellStyle="Currency">
      <calculatedColumnFormula>CavityStatus[[#This Row],[Incentive Earned]]</calculatedColumnFormula>
    </tableColumn>
    <tableColumn id="27" name="Receipt Date" totalsRowDxfId="9" dataCellStyle="Currency">
      <calculatedColumnFormula>IF(CavityStatus[[#This Row],[Receipt Date]]&lt;&gt;0,CavityStatus[[#This Row],[Receipt Date]],"")</calculatedColumnFormula>
    </tableColumn>
    <tableColumn id="1" name="Recipe Mod (Mod 9)" totalsRowFunction="sum" totalsRowDxfId="8" dataCellStyle="Currency">
      <calculatedColumnFormula>CavityStatus[[#This Row],[Recipe Modification (Mod 9)]]</calculatedColumnFormula>
    </tableColumn>
    <tableColumn id="2" name="Caps            _x000a_ (Mod 10)" totalsRowFunction="sum" totalsRowDxfId="7" dataCellStyle="Currency">
      <calculatedColumnFormula>CavityStatus[[#This Row],[Caps            
 (Mod 10)]]</calculatedColumnFormula>
    </tableColumn>
    <tableColumn id="31" name="Delivery &amp; Acceptance" totalsRowFunction="sum" totalsRowDxfId="6" dataCellStyle="Currency">
      <calculatedColumnFormula>CavityStatus[[#This Row],[Delivery &amp; Acceptance]]</calculatedColumnFormula>
    </tableColumn>
    <tableColumn id="16" name="Total" totalsRowFunction="sum" totalsRowDxfId="5" dataCellStyle="Currency">
      <calculatedColumnFormula>CavityStatus[[#This Row],[Total]]</calculatedColumnFormula>
    </tableColumn>
    <tableColumn id="19" name="Accept Date" totalsRowDxfId="4" dataCellStyle="Currency">
      <calculatedColumnFormula>IF(CavityStatus[[#This Row],[Accept Date]]&lt;&gt;0,CavityStatus[[#This Row],[Accept Date]],"")</calculatedColumnFormula>
    </tableColumn>
  </tableColumns>
  <tableStyleInfo name="TableStyleMedium1" showFirstColumn="0" showLastColumn="0" showRowStripes="1" showColumnStripes="0"/>
</table>
</file>

<file path=xl/tables/table5.xml><?xml version="1.0" encoding="utf-8"?>
<table xmlns="http://schemas.openxmlformats.org/spreadsheetml/2006/main" id="3" name="IncentiveTable" displayName="IncentiveTable" ref="A1:C135" totalsRowCount="1" headerRowDxfId="3">
  <autoFilter ref="A1:C134"/>
  <sortState ref="A2:C134">
    <sortCondition ref="A1:A134"/>
  </sortState>
  <tableColumns count="3">
    <tableColumn id="1" name="Cavity" totalsRowLabel="Total"/>
    <tableColumn id="2" name="Incentive Date" dataDxfId="2"/>
    <tableColumn id="3" name="Incentive" totalsRowFunction="sum" dataDxfId="1" totalsRowDxfId="0"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H117" sqref="H117:J117"/>
    </sheetView>
  </sheetViews>
  <sheetFormatPr defaultColWidth="9.140625" defaultRowHeight="12.75" x14ac:dyDescent="0.2"/>
  <cols>
    <col min="1" max="1" width="8.7109375" style="4" customWidth="1"/>
    <col min="2" max="2" width="3.7109375" style="4" customWidth="1"/>
    <col min="3" max="3" width="9.85546875" style="9" customWidth="1"/>
    <col min="4" max="4" width="3.28515625" style="4" customWidth="1"/>
    <col min="5" max="5" width="7.85546875" style="9" customWidth="1"/>
    <col min="6" max="6" width="3.7109375" style="4" customWidth="1"/>
    <col min="7" max="7" width="9.140625" style="4" customWidth="1"/>
    <col min="8" max="8" width="10.42578125" style="4" customWidth="1"/>
    <col min="9" max="9" width="3.7109375" style="4" customWidth="1"/>
    <col min="10" max="10" width="14.5703125" style="4" customWidth="1"/>
    <col min="11" max="11" width="10.140625" style="4" bestFit="1" customWidth="1"/>
    <col min="12" max="12" width="13" style="4" customWidth="1"/>
    <col min="13" max="15" width="9.140625" style="4"/>
    <col min="16" max="16" width="11" style="4" bestFit="1" customWidth="1"/>
    <col min="17" max="16384" width="9.140625" style="4"/>
  </cols>
  <sheetData>
    <row r="1" spans="1:12" ht="15.75" x14ac:dyDescent="0.25">
      <c r="A1" s="247" t="s">
        <v>4</v>
      </c>
      <c r="B1" s="247"/>
      <c r="C1" s="247"/>
      <c r="D1" s="247"/>
      <c r="E1" s="247"/>
      <c r="F1" s="247"/>
      <c r="G1" s="247"/>
      <c r="H1" s="247"/>
      <c r="I1" s="247"/>
      <c r="J1" s="247"/>
      <c r="K1" s="247"/>
      <c r="L1" s="247"/>
    </row>
    <row r="2" spans="1:12" ht="15.75" x14ac:dyDescent="0.25">
      <c r="A2" s="247" t="s">
        <v>22</v>
      </c>
      <c r="B2" s="247"/>
      <c r="C2" s="247"/>
      <c r="D2" s="247"/>
      <c r="E2" s="247"/>
      <c r="F2" s="247"/>
      <c r="G2" s="247"/>
      <c r="H2" s="247"/>
      <c r="I2" s="247"/>
      <c r="J2" s="247"/>
      <c r="K2" s="247"/>
      <c r="L2" s="247"/>
    </row>
    <row r="3" spans="1:12" ht="15.75" x14ac:dyDescent="0.25">
      <c r="A3" s="247" t="s">
        <v>10</v>
      </c>
      <c r="B3" s="247"/>
      <c r="C3" s="247"/>
      <c r="D3" s="247"/>
      <c r="E3" s="247"/>
      <c r="F3" s="247"/>
      <c r="G3" s="247"/>
      <c r="H3" s="247"/>
      <c r="I3" s="247"/>
      <c r="J3" s="247"/>
      <c r="K3" s="247"/>
      <c r="L3" s="247"/>
    </row>
    <row r="4" spans="1:12" ht="23.25" customHeight="1" x14ac:dyDescent="0.25">
      <c r="A4" s="243" t="s">
        <v>0</v>
      </c>
      <c r="B4" s="243"/>
      <c r="C4" s="244" t="str">
        <f>IF(' Accting USE Data Entry Form'!B1&gt;0,' Accting USE Data Entry Form'!B1,"")</f>
        <v>RI Research Instruments</v>
      </c>
      <c r="D4" s="244"/>
      <c r="E4" s="244"/>
      <c r="F4" s="244"/>
      <c r="G4" s="244"/>
      <c r="H4" s="244"/>
      <c r="I4" s="5"/>
      <c r="J4" s="6"/>
      <c r="K4" s="7" t="s">
        <v>16</v>
      </c>
      <c r="L4" s="42"/>
    </row>
    <row r="5" spans="1:12" ht="20.45" customHeight="1" x14ac:dyDescent="0.2">
      <c r="A5" s="4" t="s">
        <v>2</v>
      </c>
      <c r="B5" s="5"/>
      <c r="C5" s="242" t="str">
        <f>IF(' Accting USE Data Entry Form'!B2&gt;0,' Accting USE Data Entry Form'!B2,"")</f>
        <v>15-C0587</v>
      </c>
      <c r="D5" s="242"/>
      <c r="E5" s="242"/>
      <c r="F5" s="17"/>
      <c r="G5" s="35" t="s">
        <v>29</v>
      </c>
      <c r="H5" s="1" t="s">
        <v>492</v>
      </c>
      <c r="I5" s="36"/>
      <c r="J5" s="8" t="s">
        <v>33</v>
      </c>
      <c r="K5" s="241">
        <v>43100</v>
      </c>
      <c r="L5" s="241"/>
    </row>
    <row r="6" spans="1:12" x14ac:dyDescent="0.2">
      <c r="K6" s="9" t="s">
        <v>12</v>
      </c>
    </row>
    <row r="7" spans="1:12" s="11" customFormat="1" ht="34.5" customHeight="1" x14ac:dyDescent="0.2">
      <c r="A7" s="10" t="s">
        <v>1</v>
      </c>
      <c r="C7" s="33" t="s">
        <v>5</v>
      </c>
      <c r="D7" s="37"/>
      <c r="E7" s="38" t="s">
        <v>30</v>
      </c>
      <c r="G7" s="30" t="s">
        <v>21</v>
      </c>
      <c r="H7" s="12"/>
      <c r="I7" s="13"/>
      <c r="J7" s="13"/>
      <c r="K7" s="13"/>
      <c r="L7" s="13"/>
    </row>
    <row r="8" spans="1:12" ht="13.15" customHeight="1" x14ac:dyDescent="0.2">
      <c r="A8" s="84">
        <v>1</v>
      </c>
      <c r="C8" s="85">
        <f>IF(' Accting USE Data Entry Form'!U10&gt;0,' Accting USE Data Entry Form'!U10,0)</f>
        <v>1</v>
      </c>
      <c r="D8" s="43"/>
      <c r="E8" s="77" t="str">
        <f>IF($L$4="yes","X"," ")</f>
        <v xml:space="preserve"> </v>
      </c>
      <c r="G8" s="239" t="str">
        <f>IF(' Accting USE Data Entry Form'!B10&gt;0,' Accting USE Data Entry Form'!B10,"")</f>
        <v>Proof of equipment order furnace uprade</v>
      </c>
      <c r="H8" s="239"/>
      <c r="I8" s="239"/>
      <c r="J8" s="239"/>
      <c r="K8" s="239"/>
      <c r="L8" s="239"/>
    </row>
    <row r="9" spans="1:12" ht="13.15" customHeight="1" x14ac:dyDescent="0.2">
      <c r="A9" s="84">
        <v>2</v>
      </c>
      <c r="C9" s="85">
        <f>IF(' Accting USE Data Entry Form'!U11&gt;0,' Accting USE Data Entry Form'!U11,0)</f>
        <v>1</v>
      </c>
      <c r="D9" s="44"/>
      <c r="E9" s="77" t="str">
        <f>IF($L$4="yes","X"," ")</f>
        <v xml:space="preserve"> </v>
      </c>
      <c r="G9" s="239" t="str">
        <f>IF(' Accting USE Data Entry Form'!B11&gt;0,' Accting USE Data Entry Form'!B11,"")</f>
        <v>Proof of completed furnace uprade</v>
      </c>
      <c r="H9" s="239"/>
      <c r="I9" s="239"/>
      <c r="J9" s="239"/>
      <c r="K9" s="239"/>
      <c r="L9" s="239"/>
    </row>
    <row r="10" spans="1:12" ht="13.15" customHeight="1" x14ac:dyDescent="0.2">
      <c r="A10" s="84">
        <v>3</v>
      </c>
      <c r="C10" s="85">
        <f>IF(' Accting USE Data Entry Form'!U12&gt;0,' Accting USE Data Entry Form'!U12,0)</f>
        <v>1</v>
      </c>
      <c r="D10" s="44"/>
      <c r="E10" s="77" t="str">
        <f>IF($L$4="yes","X"," ")</f>
        <v xml:space="preserve"> </v>
      </c>
      <c r="G10" s="239" t="str">
        <f>IF(' Accting USE Data Entry Form'!B12&gt;0,' Accting USE Data Entry Form'!B12,"")</f>
        <v>Acceptance of Ni doping process - Cav 1 (of 2)</v>
      </c>
      <c r="H10" s="239"/>
      <c r="I10" s="239"/>
      <c r="J10" s="239"/>
      <c r="K10" s="239"/>
      <c r="L10" s="239"/>
    </row>
    <row r="11" spans="1:12" ht="13.15" customHeight="1" x14ac:dyDescent="0.2">
      <c r="A11" s="84">
        <v>4</v>
      </c>
      <c r="C11" s="85">
        <f>IF(' Accting USE Data Entry Form'!U13&gt;0,' Accting USE Data Entry Form'!U13,0)</f>
        <v>1</v>
      </c>
      <c r="D11" s="44"/>
      <c r="E11" s="77"/>
      <c r="G11" s="239" t="str">
        <f>IF(' Accting USE Data Entry Form'!B13&gt;0,' Accting USE Data Entry Form'!B13,"")</f>
        <v>Acceptance of Ni doping process - Cav 2 (of 2)</v>
      </c>
      <c r="H11" s="239"/>
      <c r="I11" s="239"/>
      <c r="J11" s="239"/>
      <c r="K11" s="239"/>
      <c r="L11" s="239"/>
    </row>
    <row r="12" spans="1:12" ht="13.15" customHeight="1" x14ac:dyDescent="0.2">
      <c r="A12" s="84">
        <v>5</v>
      </c>
      <c r="C12" s="85">
        <f>IF(' Accting USE Data Entry Form'!U14&gt;0,' Accting USE Data Entry Form'!U14,0)</f>
        <v>1</v>
      </c>
      <c r="D12" s="44"/>
      <c r="E12" s="77"/>
      <c r="G12" s="239" t="str">
        <f>IF(' Accting USE Data Entry Form'!B14&gt;0,' Accting USE Data Entry Form'!B14,"")</f>
        <v>PH II: Mfg Drawings Accepted by JLab</v>
      </c>
      <c r="H12" s="239"/>
      <c r="I12" s="239"/>
      <c r="J12" s="239"/>
      <c r="K12" s="239"/>
      <c r="L12" s="239"/>
    </row>
    <row r="13" spans="1:12" ht="13.15" customHeight="1" x14ac:dyDescent="0.2">
      <c r="A13" s="84">
        <v>6</v>
      </c>
      <c r="C13" s="85">
        <f>IF(' Accting USE Data Entry Form'!U15&gt;0,' Accting USE Data Entry Form'!U15,0)</f>
        <v>1</v>
      </c>
      <c r="D13" s="44"/>
      <c r="E13" s="77"/>
      <c r="G13" s="239" t="str">
        <f>IF(' Accting USE Data Entry Form'!B15&gt;0,' Accting USE Data Entry Form'!B15,"")</f>
        <v>PH II: FAs Mech Pre-fab (Deep Draw)</v>
      </c>
      <c r="H13" s="239"/>
      <c r="I13" s="239"/>
      <c r="J13" s="239"/>
      <c r="K13" s="239"/>
      <c r="L13" s="239"/>
    </row>
    <row r="14" spans="1:12" ht="13.15" customHeight="1" x14ac:dyDescent="0.2">
      <c r="A14" s="84">
        <v>7</v>
      </c>
      <c r="C14" s="85">
        <f>IF(' Accting USE Data Entry Form'!U16&gt;0,' Accting USE Data Entry Form'!U16,0)</f>
        <v>1</v>
      </c>
      <c r="D14" s="44"/>
      <c r="E14" s="77"/>
      <c r="G14" s="239" t="str">
        <f>IF(' Accting USE Data Entry Form'!B16&gt;0,' Accting USE Data Entry Form'!B16,"")</f>
        <v xml:space="preserve">PH III: Mech Pre-Fab Cavities (9-72) </v>
      </c>
      <c r="H14" s="239"/>
      <c r="I14" s="239"/>
      <c r="J14" s="239"/>
      <c r="K14" s="239"/>
      <c r="L14" s="239"/>
    </row>
    <row r="15" spans="1:12" ht="13.15" customHeight="1" x14ac:dyDescent="0.2">
      <c r="A15" s="84">
        <v>8</v>
      </c>
      <c r="C15" s="85">
        <f>IF(' Accting USE Data Entry Form'!U17&gt;0,' Accting USE Data Entry Form'!U17,0)</f>
        <v>1</v>
      </c>
      <c r="D15" s="44"/>
      <c r="E15" s="77"/>
      <c r="G15" s="239" t="str">
        <f>IF(' Accting USE Data Entry Form'!B17&gt;0,' Accting USE Data Entry Form'!B17,"")</f>
        <v xml:space="preserve">PH III: Mech Pre-Fab Cavities (73-133) </v>
      </c>
      <c r="H15" s="239"/>
      <c r="I15" s="239"/>
      <c r="J15" s="239"/>
      <c r="K15" s="239"/>
      <c r="L15" s="239"/>
    </row>
    <row r="16" spans="1:12" ht="13.15" customHeight="1" x14ac:dyDescent="0.2">
      <c r="A16" s="84">
        <v>9</v>
      </c>
      <c r="C16" s="85">
        <f>IF(' Accting USE Data Entry Form'!U18&gt;0,' Accting USE Data Entry Form'!U18,0)</f>
        <v>1</v>
      </c>
      <c r="D16" s="44"/>
      <c r="E16" s="77"/>
      <c r="G16" s="239" t="str">
        <f>IF(' Accting USE Data Entry Form'!B18&gt;0,' Accting USE Data Entry Form'!B18,"")</f>
        <v xml:space="preserve">PH II: First Articles Deliver &amp; Accept (1-8) </v>
      </c>
      <c r="H16" s="239"/>
      <c r="I16" s="239"/>
      <c r="J16" s="239"/>
      <c r="K16" s="239"/>
      <c r="L16" s="239"/>
    </row>
    <row r="17" spans="1:12" ht="13.15" customHeight="1" x14ac:dyDescent="0.2">
      <c r="A17" s="84">
        <v>10</v>
      </c>
      <c r="C17" s="85">
        <f>IF(' Accting USE Data Entry Form'!U19&gt;0,' Accting USE Data Entry Form'!U19,0)</f>
        <v>1</v>
      </c>
      <c r="D17" s="44"/>
      <c r="E17" s="77"/>
      <c r="G17" s="239" t="str">
        <f>IF(' Accting USE Data Entry Form'!B19&gt;0,' Accting USE Data Entry Form'!B19,"")</f>
        <v>PH III:  Deliver &amp; Accept  Cavities (9-12)</v>
      </c>
      <c r="H17" s="239"/>
      <c r="I17" s="239"/>
      <c r="J17" s="239"/>
      <c r="K17" s="239"/>
      <c r="L17" s="239"/>
    </row>
    <row r="18" spans="1:12" ht="13.15" customHeight="1" x14ac:dyDescent="0.2">
      <c r="A18" s="84">
        <v>11</v>
      </c>
      <c r="C18" s="85">
        <f>IF(' Accting USE Data Entry Form'!U20&gt;0,' Accting USE Data Entry Form'!U20,0)</f>
        <v>1</v>
      </c>
      <c r="D18" s="44"/>
      <c r="E18" s="77"/>
      <c r="G18" s="239" t="str">
        <f>IF(' Accting USE Data Entry Form'!B20&gt;0,' Accting USE Data Entry Form'!B20,"")</f>
        <v>PH III:  Deliver &amp; Accept  Cavities (13-16)</v>
      </c>
      <c r="H18" s="239"/>
      <c r="I18" s="239"/>
      <c r="J18" s="239"/>
      <c r="K18" s="239"/>
      <c r="L18" s="239"/>
    </row>
    <row r="19" spans="1:12" ht="13.15" customHeight="1" x14ac:dyDescent="0.2">
      <c r="A19" s="84">
        <v>12</v>
      </c>
      <c r="C19" s="85">
        <f>IF(' Accting USE Data Entry Form'!U21&gt;0,' Accting USE Data Entry Form'!U21,0)</f>
        <v>1</v>
      </c>
      <c r="D19" s="44"/>
      <c r="E19" s="77"/>
      <c r="G19" s="239" t="str">
        <f>IF(' Accting USE Data Entry Form'!B21&gt;0,' Accting USE Data Entry Form'!B21,"")</f>
        <v>PH III:  Deliver &amp; Accept  Cavities (17-20)</v>
      </c>
      <c r="H19" s="239"/>
      <c r="I19" s="239"/>
      <c r="J19" s="239"/>
      <c r="K19" s="239"/>
      <c r="L19" s="239"/>
    </row>
    <row r="20" spans="1:12" ht="13.15" customHeight="1" x14ac:dyDescent="0.2">
      <c r="A20" s="84">
        <v>13</v>
      </c>
      <c r="C20" s="85">
        <f>IF(' Accting USE Data Entry Form'!U22&gt;0,' Accting USE Data Entry Form'!U22,0)</f>
        <v>1</v>
      </c>
      <c r="D20" s="44"/>
      <c r="E20" s="77"/>
      <c r="G20" s="239" t="str">
        <f>IF(' Accting USE Data Entry Form'!B22&gt;0,' Accting USE Data Entry Form'!B22,"")</f>
        <v>PH III:  Deliver &amp; Accept  Cavities (21-24)</v>
      </c>
      <c r="H20" s="239"/>
      <c r="I20" s="239"/>
      <c r="J20" s="239"/>
      <c r="K20" s="239"/>
      <c r="L20" s="239"/>
    </row>
    <row r="21" spans="1:12" ht="13.15" customHeight="1" x14ac:dyDescent="0.2">
      <c r="A21" s="84">
        <v>14</v>
      </c>
      <c r="C21" s="85">
        <f>IF(' Accting USE Data Entry Form'!U23&gt;0,' Accting USE Data Entry Form'!U23,0)</f>
        <v>1</v>
      </c>
      <c r="D21" s="44"/>
      <c r="E21" s="77"/>
      <c r="G21" s="239" t="str">
        <f>IF(' Accting USE Data Entry Form'!B23&gt;0,' Accting USE Data Entry Form'!B23,"")</f>
        <v>PH III:  Deliver &amp; Accept  Cavities (25-28)</v>
      </c>
      <c r="H21" s="239"/>
      <c r="I21" s="239"/>
      <c r="J21" s="239"/>
      <c r="K21" s="239"/>
      <c r="L21" s="239"/>
    </row>
    <row r="22" spans="1:12" ht="13.15" customHeight="1" x14ac:dyDescent="0.2">
      <c r="A22" s="84">
        <v>15</v>
      </c>
      <c r="C22" s="85">
        <f>IF(' Accting USE Data Entry Form'!U24&gt;0,' Accting USE Data Entry Form'!U24,0)</f>
        <v>1</v>
      </c>
      <c r="D22" s="44"/>
      <c r="E22" s="77"/>
      <c r="G22" s="239" t="str">
        <f>IF(' Accting USE Data Entry Form'!B24&gt;0,' Accting USE Data Entry Form'!B24,"")</f>
        <v>PH III:  Deliver &amp; Accept  Cavities (29-32)</v>
      </c>
      <c r="H22" s="239"/>
      <c r="I22" s="239"/>
      <c r="J22" s="239"/>
      <c r="K22" s="239"/>
      <c r="L22" s="239"/>
    </row>
    <row r="23" spans="1:12" ht="13.15" customHeight="1" x14ac:dyDescent="0.2">
      <c r="A23" s="84">
        <v>16</v>
      </c>
      <c r="C23" s="85">
        <f>IF(' Accting USE Data Entry Form'!U25&gt;0,' Accting USE Data Entry Form'!U25,0)</f>
        <v>1</v>
      </c>
      <c r="D23" s="44"/>
      <c r="E23" s="77"/>
      <c r="G23" s="239" t="str">
        <f>IF(' Accting USE Data Entry Form'!B25&gt;0,' Accting USE Data Entry Form'!B25,"")</f>
        <v>PH III:  Deliver &amp; Accept  Cavities (33-36)</v>
      </c>
      <c r="H23" s="239"/>
      <c r="I23" s="239"/>
      <c r="J23" s="239"/>
      <c r="K23" s="239"/>
      <c r="L23" s="239"/>
    </row>
    <row r="24" spans="1:12" ht="13.15" customHeight="1" x14ac:dyDescent="0.2">
      <c r="A24" s="84">
        <v>17</v>
      </c>
      <c r="C24" s="85">
        <f>IF(' Accting USE Data Entry Form'!U26&gt;0,' Accting USE Data Entry Form'!U26,0)</f>
        <v>1</v>
      </c>
      <c r="D24" s="44"/>
      <c r="E24" s="77"/>
      <c r="G24" s="239" t="str">
        <f>IF(' Accting USE Data Entry Form'!B26&gt;0,' Accting USE Data Entry Form'!B26,"")</f>
        <v>PH III:  Deliver &amp; Accept  Cavities (37-40)</v>
      </c>
      <c r="H24" s="239"/>
      <c r="I24" s="239"/>
      <c r="J24" s="239"/>
      <c r="K24" s="239"/>
      <c r="L24" s="239"/>
    </row>
    <row r="25" spans="1:12" ht="13.15" customHeight="1" x14ac:dyDescent="0.2">
      <c r="A25" s="84">
        <v>18</v>
      </c>
      <c r="C25" s="85">
        <f>IF(' Accting USE Data Entry Form'!U27&gt;0,' Accting USE Data Entry Form'!U27,0)</f>
        <v>1</v>
      </c>
      <c r="D25" s="44"/>
      <c r="E25" s="77"/>
      <c r="G25" s="239" t="str">
        <f>IF(' Accting USE Data Entry Form'!B27&gt;0,' Accting USE Data Entry Form'!B27,"")</f>
        <v>PH III:  Deliver &amp; Accept  Cavities (41-44)</v>
      </c>
      <c r="H25" s="239"/>
      <c r="I25" s="239"/>
      <c r="J25" s="239"/>
      <c r="K25" s="239"/>
      <c r="L25" s="239"/>
    </row>
    <row r="26" spans="1:12" ht="13.15" customHeight="1" x14ac:dyDescent="0.2">
      <c r="A26" s="84">
        <v>19</v>
      </c>
      <c r="C26" s="85">
        <f>IF(' Accting USE Data Entry Form'!U28&gt;0,' Accting USE Data Entry Form'!U28,0)</f>
        <v>1</v>
      </c>
      <c r="D26" s="44"/>
      <c r="E26" s="77"/>
      <c r="G26" s="239" t="str">
        <f>IF(' Accting USE Data Entry Form'!B28&gt;0,' Accting USE Data Entry Form'!B28,"")</f>
        <v>PH III:  Deliver &amp; Accept  Cavities (45-48)</v>
      </c>
      <c r="H26" s="239"/>
      <c r="I26" s="239"/>
      <c r="J26" s="239"/>
      <c r="K26" s="239"/>
      <c r="L26" s="239"/>
    </row>
    <row r="27" spans="1:12" ht="13.15" customHeight="1" x14ac:dyDescent="0.2">
      <c r="A27" s="84">
        <v>20</v>
      </c>
      <c r="C27" s="85">
        <f>IF(' Accting USE Data Entry Form'!U29&gt;0,' Accting USE Data Entry Form'!U29,0)</f>
        <v>1</v>
      </c>
      <c r="D27" s="44"/>
      <c r="E27" s="77"/>
      <c r="G27" s="239" t="str">
        <f>IF(' Accting USE Data Entry Form'!B29&gt;0,' Accting USE Data Entry Form'!B29,"")</f>
        <v>PH III:  Deliver &amp; Accept  Cavities (49-52)</v>
      </c>
      <c r="H27" s="239"/>
      <c r="I27" s="239"/>
      <c r="J27" s="239"/>
      <c r="K27" s="239"/>
      <c r="L27" s="239"/>
    </row>
    <row r="28" spans="1:12" ht="13.15" customHeight="1" x14ac:dyDescent="0.2">
      <c r="A28" s="84">
        <v>21</v>
      </c>
      <c r="C28" s="85">
        <f>IF(' Accting USE Data Entry Form'!U30&gt;0,' Accting USE Data Entry Form'!U30,0)</f>
        <v>1</v>
      </c>
      <c r="D28" s="44"/>
      <c r="E28" s="77"/>
      <c r="G28" s="239" t="str">
        <f>IF(' Accting USE Data Entry Form'!B30&gt;0,' Accting USE Data Entry Form'!B30,"")</f>
        <v>MOD 002: DESY Equip Refurbishment</v>
      </c>
      <c r="H28" s="239"/>
      <c r="I28" s="239"/>
      <c r="J28" s="239"/>
      <c r="K28" s="239"/>
      <c r="L28" s="239"/>
    </row>
    <row r="29" spans="1:12" ht="13.15" customHeight="1" x14ac:dyDescent="0.2">
      <c r="A29" s="84">
        <v>22</v>
      </c>
      <c r="C29" s="85">
        <f>IF(' Accting USE Data Entry Form'!U31&gt;0,' Accting USE Data Entry Form'!U31,0)</f>
        <v>0.55300000000000005</v>
      </c>
      <c r="D29" s="44"/>
      <c r="E29" s="77"/>
      <c r="G29" s="239" t="str">
        <f>IF(' Accting USE Data Entry Form'!B31&gt;0,' Accting USE Data Entry Form'!B31,"")</f>
        <v xml:space="preserve">MOD 002: DESY Equip Service &amp; Support Costs  </v>
      </c>
      <c r="H29" s="239"/>
      <c r="I29" s="239"/>
      <c r="J29" s="239"/>
      <c r="K29" s="239"/>
      <c r="L29" s="239"/>
    </row>
    <row r="30" spans="1:12" ht="13.15" customHeight="1" x14ac:dyDescent="0.2">
      <c r="A30" s="84">
        <v>23</v>
      </c>
      <c r="C30" s="85">
        <f>IF(' Accting USE Data Entry Form'!U32&gt;0,' Accting USE Data Entry Form'!U32,0)</f>
        <v>1</v>
      </c>
      <c r="D30" s="44"/>
      <c r="E30" s="77"/>
      <c r="G30" s="239" t="str">
        <f>IF(' Accting USE Data Entry Form'!B32&gt;0,' Accting USE Data Entry Form'!B32,"")</f>
        <v>MOD 003: Accel Shipment (1-16) Incentives (Max of $323,136)</v>
      </c>
      <c r="H30" s="239"/>
      <c r="I30" s="239"/>
      <c r="J30" s="239"/>
      <c r="K30" s="239"/>
      <c r="L30" s="239"/>
    </row>
    <row r="31" spans="1:12" ht="13.15" customHeight="1" x14ac:dyDescent="0.2">
      <c r="A31" s="84">
        <v>24</v>
      </c>
      <c r="C31" s="85">
        <f>IF(' Accting USE Data Entry Form'!U33&gt;0,' Accting USE Data Entry Form'!U33,0)</f>
        <v>0.996</v>
      </c>
      <c r="D31" s="44"/>
      <c r="E31" s="77"/>
      <c r="G31" s="239" t="str">
        <f>IF(' Accting USE Data Entry Form'!B33&gt;0,' Accting USE Data Entry Form'!B33,"")</f>
        <v>MOD 004: Incentives for Accelerated Production Deliveries</v>
      </c>
      <c r="H31" s="239"/>
      <c r="I31" s="239"/>
      <c r="J31" s="239"/>
      <c r="K31" s="239"/>
      <c r="L31" s="239"/>
    </row>
    <row r="32" spans="1:12" ht="13.15" customHeight="1" x14ac:dyDescent="0.2">
      <c r="A32" s="84">
        <v>25</v>
      </c>
      <c r="C32" s="85">
        <f>IF(' Accting USE Data Entry Form'!U34&gt;0,' Accting USE Data Entry Form'!U34,0)</f>
        <v>1</v>
      </c>
      <c r="D32" s="44"/>
      <c r="E32" s="77"/>
      <c r="G32" s="239" t="str">
        <f>IF(' Accting USE Data Entry Form'!B34&gt;0,' Accting USE Data Entry Form'!B34,"")</f>
        <v>MOD 005: DESY Equipment Lease ($9,200/ month)</v>
      </c>
      <c r="H32" s="239"/>
      <c r="I32" s="239"/>
      <c r="J32" s="239"/>
      <c r="K32" s="239"/>
      <c r="L32" s="239"/>
    </row>
    <row r="33" spans="1:12" ht="13.15" customHeight="1" x14ac:dyDescent="0.2">
      <c r="A33" s="84">
        <v>26</v>
      </c>
      <c r="C33" s="85">
        <f>IF(' Accting USE Data Entry Form'!U35&gt;0,' Accting USE Data Entry Form'!U35,0)</f>
        <v>1</v>
      </c>
      <c r="D33" s="44"/>
      <c r="E33" s="77"/>
      <c r="G33" s="239" t="str">
        <f>IF(' Accting USE Data Entry Form'!B35&gt;0,' Accting USE Data Entry Form'!B35,"")</f>
        <v>PH III:  Deliver &amp; Accept  Cavities (53-56)</v>
      </c>
      <c r="H33" s="239"/>
      <c r="I33" s="239"/>
      <c r="J33" s="239"/>
      <c r="K33" s="239"/>
      <c r="L33" s="239"/>
    </row>
    <row r="34" spans="1:12" ht="13.15" customHeight="1" x14ac:dyDescent="0.2">
      <c r="A34" s="84">
        <v>27</v>
      </c>
      <c r="C34" s="85">
        <f>IF(' Accting USE Data Entry Form'!U36&gt;0,' Accting USE Data Entry Form'!U36,0)</f>
        <v>1</v>
      </c>
      <c r="D34" s="44"/>
      <c r="E34" s="77"/>
      <c r="G34" s="239" t="str">
        <f>IF(' Accting USE Data Entry Form'!B36&gt;0,' Accting USE Data Entry Form'!B36,"")</f>
        <v>PH III:  Deliver &amp; Accept  Cavities (57-60)</v>
      </c>
      <c r="H34" s="239"/>
      <c r="I34" s="239"/>
      <c r="J34" s="239"/>
      <c r="K34" s="239"/>
      <c r="L34" s="239"/>
    </row>
    <row r="35" spans="1:12" ht="13.15" customHeight="1" x14ac:dyDescent="0.2">
      <c r="A35" s="84">
        <v>28</v>
      </c>
      <c r="C35" s="85">
        <f>IF(' Accting USE Data Entry Form'!U37&gt;0,' Accting USE Data Entry Form'!U37,0)</f>
        <v>1</v>
      </c>
      <c r="D35" s="44"/>
      <c r="E35" s="77"/>
      <c r="G35" s="239" t="str">
        <f>IF(' Accting USE Data Entry Form'!B37&gt;0,' Accting USE Data Entry Form'!B37,"")</f>
        <v>PH III:  Deliver &amp; Accept  Cavities (61-64)</v>
      </c>
      <c r="H35" s="239"/>
      <c r="I35" s="239"/>
      <c r="J35" s="239"/>
      <c r="K35" s="239"/>
      <c r="L35" s="239"/>
    </row>
    <row r="36" spans="1:12" ht="13.15" customHeight="1" x14ac:dyDescent="0.2">
      <c r="A36" s="84">
        <v>29</v>
      </c>
      <c r="C36" s="85">
        <f>IF(' Accting USE Data Entry Form'!U38&gt;0,' Accting USE Data Entry Form'!U38,0)</f>
        <v>1</v>
      </c>
      <c r="D36" s="44"/>
      <c r="E36" s="77"/>
      <c r="G36" s="239" t="str">
        <f>IF(' Accting USE Data Entry Form'!B38&gt;0,' Accting USE Data Entry Form'!B38,"")</f>
        <v>PH III:  Deliver &amp; Accept  Cavities (65-68)</v>
      </c>
      <c r="H36" s="239"/>
      <c r="I36" s="239"/>
      <c r="J36" s="239"/>
      <c r="K36" s="239"/>
      <c r="L36" s="239"/>
    </row>
    <row r="37" spans="1:12" ht="13.15" customHeight="1" x14ac:dyDescent="0.2">
      <c r="A37" s="84">
        <v>30</v>
      </c>
      <c r="C37" s="85">
        <f>IF(' Accting USE Data Entry Form'!U39&gt;0,' Accting USE Data Entry Form'!U39,0)</f>
        <v>1</v>
      </c>
      <c r="D37" s="44"/>
      <c r="E37" s="77" t="str">
        <f>IF($L$4="yes","X"," ")</f>
        <v xml:space="preserve"> </v>
      </c>
      <c r="G37" s="239" t="str">
        <f>IF(' Accting USE Data Entry Form'!B39&gt;0,' Accting USE Data Entry Form'!B39,"")</f>
        <v>PH III:  Deliver &amp; Accept  Cavities (69-72)</v>
      </c>
      <c r="H37" s="239"/>
      <c r="I37" s="239"/>
      <c r="J37" s="239"/>
      <c r="K37" s="239"/>
      <c r="L37" s="239"/>
    </row>
    <row r="38" spans="1:12" ht="13.15" customHeight="1" x14ac:dyDescent="0.2">
      <c r="A38" s="84">
        <v>31</v>
      </c>
      <c r="C38" s="85">
        <f>IF(' Accting USE Data Entry Form'!U40&gt;0,' Accting USE Data Entry Form'!U40,0)</f>
        <v>1</v>
      </c>
      <c r="D38" s="44"/>
      <c r="E38" s="77"/>
      <c r="G38" s="239" t="str">
        <f>IF(' Accting USE Data Entry Form'!B40&gt;0,' Accting USE Data Entry Form'!B40,"")</f>
        <v>PH III:  Deliver &amp; Accept  Cavities (73-76)</v>
      </c>
      <c r="H38" s="239"/>
      <c r="I38" s="239"/>
      <c r="J38" s="239"/>
      <c r="K38" s="239"/>
      <c r="L38" s="239"/>
    </row>
    <row r="39" spans="1:12" ht="13.15" customHeight="1" x14ac:dyDescent="0.2">
      <c r="A39" s="84">
        <v>32</v>
      </c>
      <c r="C39" s="85">
        <f>IF(' Accting USE Data Entry Form'!U41&gt;0,' Accting USE Data Entry Form'!U41,0)</f>
        <v>1</v>
      </c>
      <c r="D39" s="44"/>
      <c r="E39" s="77"/>
      <c r="G39" s="239" t="str">
        <f>IF(' Accting USE Data Entry Form'!B41&gt;0,' Accting USE Data Entry Form'!B41,"")</f>
        <v>PH III:  Deliver &amp; Accept  Cavities (77-80)</v>
      </c>
      <c r="H39" s="239"/>
      <c r="I39" s="239"/>
      <c r="J39" s="239"/>
      <c r="K39" s="239"/>
      <c r="L39" s="239"/>
    </row>
    <row r="40" spans="1:12" ht="13.15" customHeight="1" x14ac:dyDescent="0.2">
      <c r="A40" s="84">
        <v>33</v>
      </c>
      <c r="C40" s="85">
        <f>IF(' Accting USE Data Entry Form'!U42&gt;0,' Accting USE Data Entry Form'!U42,0)</f>
        <v>1</v>
      </c>
      <c r="D40" s="44"/>
      <c r="E40" s="77"/>
      <c r="G40" s="239" t="str">
        <f>IF(' Accting USE Data Entry Form'!B42&gt;0,' Accting USE Data Entry Form'!B42,"")</f>
        <v>PH III:  Deliver &amp; Accept  Cavities (81-84)</v>
      </c>
      <c r="H40" s="239"/>
      <c r="I40" s="239"/>
      <c r="J40" s="239"/>
      <c r="K40" s="239"/>
      <c r="L40" s="239"/>
    </row>
    <row r="41" spans="1:12" ht="13.15" customHeight="1" x14ac:dyDescent="0.2">
      <c r="A41" s="84">
        <v>34</v>
      </c>
      <c r="C41" s="85">
        <f>IF(' Accting USE Data Entry Form'!U43&gt;0,' Accting USE Data Entry Form'!U43,0)</f>
        <v>1</v>
      </c>
      <c r="D41" s="44"/>
      <c r="E41" s="77"/>
      <c r="G41" s="239" t="str">
        <f>IF(' Accting USE Data Entry Form'!B43&gt;0,' Accting USE Data Entry Form'!B43,"")</f>
        <v>PH III:  Deliver &amp; Accept  Cavities (85-88)</v>
      </c>
      <c r="H41" s="239"/>
      <c r="I41" s="239"/>
      <c r="J41" s="239"/>
      <c r="K41" s="239"/>
      <c r="L41" s="239"/>
    </row>
    <row r="42" spans="1:12" ht="13.15" customHeight="1" x14ac:dyDescent="0.2">
      <c r="A42" s="84">
        <v>35</v>
      </c>
      <c r="C42" s="85">
        <f>IF(' Accting USE Data Entry Form'!U44&gt;0,' Accting USE Data Entry Form'!U44,0)</f>
        <v>1</v>
      </c>
      <c r="D42" s="44"/>
      <c r="E42" s="77"/>
      <c r="G42" s="239" t="str">
        <f>IF(' Accting USE Data Entry Form'!B44&gt;0,' Accting USE Data Entry Form'!B44,"")</f>
        <v>PH III:  Deliver &amp; Accept  Cavities (89-92)</v>
      </c>
      <c r="H42" s="239"/>
      <c r="I42" s="239"/>
      <c r="J42" s="239"/>
      <c r="K42" s="239"/>
      <c r="L42" s="239"/>
    </row>
    <row r="43" spans="1:12" ht="13.15" customHeight="1" x14ac:dyDescent="0.2">
      <c r="A43" s="84">
        <v>36</v>
      </c>
      <c r="C43" s="85">
        <f>IF(' Accting USE Data Entry Form'!U45&gt;0,' Accting USE Data Entry Form'!U45,0)</f>
        <v>1</v>
      </c>
      <c r="D43" s="44"/>
      <c r="E43" s="77"/>
      <c r="G43" s="239" t="str">
        <f>IF(' Accting USE Data Entry Form'!B45&gt;0,' Accting USE Data Entry Form'!B45,"")</f>
        <v>PH III:  Deliver &amp; Accept  Cavities (93-96)</v>
      </c>
      <c r="H43" s="239"/>
      <c r="I43" s="239"/>
      <c r="J43" s="239"/>
      <c r="K43" s="239"/>
      <c r="L43" s="239"/>
    </row>
    <row r="44" spans="1:12" ht="13.15" customHeight="1" x14ac:dyDescent="0.2">
      <c r="A44" s="84">
        <v>37</v>
      </c>
      <c r="C44" s="85">
        <f>IF(' Accting USE Data Entry Form'!U46&gt;0,' Accting USE Data Entry Form'!U46,0)</f>
        <v>1</v>
      </c>
      <c r="D44" s="44"/>
      <c r="E44" s="77"/>
      <c r="G44" s="239" t="str">
        <f>IF(' Accting USE Data Entry Form'!B46&gt;0,' Accting USE Data Entry Form'!B46,"")</f>
        <v>PH III:  Deliver &amp; Accept  Cavities (97-100)</v>
      </c>
      <c r="H44" s="239"/>
      <c r="I44" s="239"/>
      <c r="J44" s="239"/>
      <c r="K44" s="239"/>
      <c r="L44" s="239"/>
    </row>
    <row r="45" spans="1:12" ht="13.15" customHeight="1" x14ac:dyDescent="0.2">
      <c r="A45" s="84">
        <v>38</v>
      </c>
      <c r="C45" s="85">
        <f>IF(' Accting USE Data Entry Form'!U47&gt;0,' Accting USE Data Entry Form'!U47,0)</f>
        <v>1</v>
      </c>
      <c r="D45" s="44"/>
      <c r="E45" s="77"/>
      <c r="G45" s="239" t="str">
        <f>IF(' Accting USE Data Entry Form'!B47&gt;0,' Accting USE Data Entry Form'!B47,"")</f>
        <v>PH III:  Deliver &amp; Accept  Cavities (101-104)</v>
      </c>
      <c r="H45" s="239"/>
      <c r="I45" s="239"/>
      <c r="J45" s="239"/>
      <c r="K45" s="239"/>
      <c r="L45" s="239"/>
    </row>
    <row r="46" spans="1:12" ht="13.15" customHeight="1" x14ac:dyDescent="0.2">
      <c r="A46" s="84">
        <v>39</v>
      </c>
      <c r="C46" s="85">
        <f>IF(' Accting USE Data Entry Form'!U48&gt;0,' Accting USE Data Entry Form'!U48,0)</f>
        <v>1</v>
      </c>
      <c r="D46" s="44"/>
      <c r="E46" s="77"/>
      <c r="G46" s="239" t="str">
        <f>IF(' Accting USE Data Entry Form'!B48&gt;0,' Accting USE Data Entry Form'!B48,"")</f>
        <v>PH III:  Deliver &amp; Accept  Cavities (105-108)</v>
      </c>
      <c r="H46" s="239"/>
      <c r="I46" s="239"/>
      <c r="J46" s="239"/>
      <c r="K46" s="239"/>
      <c r="L46" s="239"/>
    </row>
    <row r="47" spans="1:12" ht="13.15" customHeight="1" x14ac:dyDescent="0.2">
      <c r="A47" s="84">
        <v>40</v>
      </c>
      <c r="C47" s="85">
        <f>IF(' Accting USE Data Entry Form'!U49&gt;0,' Accting USE Data Entry Form'!U49,0)</f>
        <v>1</v>
      </c>
      <c r="D47" s="44"/>
      <c r="E47" s="77"/>
      <c r="G47" s="239" t="str">
        <f>IF(' Accting USE Data Entry Form'!B49&gt;0,' Accting USE Data Entry Form'!B49,"")</f>
        <v>PH III:  Deliver &amp; Accept  Cavities (109-112)</v>
      </c>
      <c r="H47" s="239"/>
      <c r="I47" s="239"/>
      <c r="J47" s="239"/>
      <c r="K47" s="239"/>
      <c r="L47" s="239"/>
    </row>
    <row r="48" spans="1:12" ht="13.15" customHeight="1" x14ac:dyDescent="0.2">
      <c r="A48" s="84">
        <v>41</v>
      </c>
      <c r="C48" s="85">
        <f>IF(' Accting USE Data Entry Form'!U50&gt;0,' Accting USE Data Entry Form'!U50,0)</f>
        <v>1</v>
      </c>
      <c r="D48" s="44"/>
      <c r="E48" s="77"/>
      <c r="G48" s="239" t="str">
        <f>IF(' Accting USE Data Entry Form'!B50&gt;0,' Accting USE Data Entry Form'!B50,"")</f>
        <v>PH III:  Deliver &amp; Accept  Cavities (113-116)</v>
      </c>
      <c r="H48" s="239"/>
      <c r="I48" s="239"/>
      <c r="J48" s="239"/>
      <c r="K48" s="239"/>
      <c r="L48" s="239"/>
    </row>
    <row r="49" spans="1:12" ht="13.15" customHeight="1" x14ac:dyDescent="0.2">
      <c r="A49" s="84">
        <v>42</v>
      </c>
      <c r="C49" s="85">
        <f>IF(' Accting USE Data Entry Form'!U51&gt;0,' Accting USE Data Entry Form'!U51,0)</f>
        <v>1</v>
      </c>
      <c r="D49" s="44"/>
      <c r="E49" s="77"/>
      <c r="G49" s="239" t="str">
        <f>IF(' Accting USE Data Entry Form'!B51&gt;0,' Accting USE Data Entry Form'!B51,"")</f>
        <v>PH III:  Deliver &amp; Accept  Cavities (117-120)</v>
      </c>
      <c r="H49" s="239"/>
      <c r="I49" s="239"/>
      <c r="J49" s="239"/>
      <c r="K49" s="239"/>
      <c r="L49" s="239"/>
    </row>
    <row r="50" spans="1:12" ht="13.15" customHeight="1" x14ac:dyDescent="0.2">
      <c r="A50" s="84">
        <v>43</v>
      </c>
      <c r="C50" s="85">
        <f>IF(' Accting USE Data Entry Form'!U52&gt;0,' Accting USE Data Entry Form'!U52,0)</f>
        <v>1</v>
      </c>
      <c r="D50" s="44"/>
      <c r="E50" s="77"/>
      <c r="G50" s="239" t="str">
        <f>IF(' Accting USE Data Entry Form'!B52&gt;0,' Accting USE Data Entry Form'!B52,"")</f>
        <v>PH III:  Deliver &amp; Accept  Cavities (121-124)</v>
      </c>
      <c r="H50" s="239"/>
      <c r="I50" s="239"/>
      <c r="J50" s="239"/>
      <c r="K50" s="239"/>
      <c r="L50" s="239"/>
    </row>
    <row r="51" spans="1:12" ht="13.15" customHeight="1" x14ac:dyDescent="0.2">
      <c r="A51" s="84">
        <v>44</v>
      </c>
      <c r="C51" s="85">
        <f>IF(' Accting USE Data Entry Form'!U53&gt;0,' Accting USE Data Entry Form'!U53,0)</f>
        <v>1</v>
      </c>
      <c r="D51" s="44"/>
      <c r="E51" s="77" t="str">
        <f t="shared" ref="E51:E113" si="0">IF($L$4="yes","X"," ")</f>
        <v xml:space="preserve"> </v>
      </c>
      <c r="G51" s="239" t="str">
        <f>IF(' Accting USE Data Entry Form'!B53&gt;0,' Accting USE Data Entry Form'!B53,"")</f>
        <v>PH III:  Deliver &amp; Accept  Cavities (125-128)</v>
      </c>
      <c r="H51" s="239"/>
      <c r="I51" s="239"/>
      <c r="J51" s="239"/>
      <c r="K51" s="239"/>
      <c r="L51" s="239"/>
    </row>
    <row r="52" spans="1:12" s="3" customFormat="1" x14ac:dyDescent="0.2">
      <c r="A52" s="236">
        <v>45</v>
      </c>
      <c r="C52" s="237">
        <f>IF(' Accting USE Data Entry Form'!U54&gt;0,' Accting USE Data Entry Form'!U54,0)</f>
        <v>1</v>
      </c>
      <c r="D52" s="238"/>
      <c r="E52" s="77" t="str">
        <f t="shared" si="0"/>
        <v xml:space="preserve"> </v>
      </c>
      <c r="G52" s="239" t="str">
        <f>IF(' Accting USE Data Entry Form'!B54&gt;0,' Accting USE Data Entry Form'!B54,"")</f>
        <v>PH III:  Deliver &amp; Accept  Cavities (129-133)</v>
      </c>
      <c r="H52" s="239"/>
      <c r="I52" s="239"/>
      <c r="J52" s="239"/>
      <c r="K52" s="239"/>
      <c r="L52" s="239"/>
    </row>
    <row r="53" spans="1:12" x14ac:dyDescent="0.2">
      <c r="A53" s="84">
        <v>46</v>
      </c>
      <c r="C53" s="85">
        <f>IF(' Accting USE Data Entry Form'!U55&gt;0,' Accting USE Data Entry Form'!U55,0)</f>
        <v>1</v>
      </c>
      <c r="D53" s="44"/>
      <c r="E53" s="77" t="str">
        <f t="shared" si="0"/>
        <v xml:space="preserve"> </v>
      </c>
      <c r="G53" s="239" t="str">
        <f>IF(' Accting USE Data Entry Form'!B55&gt;0,' Accting USE Data Entry Form'!B55,"")</f>
        <v>MOD 007: LCLS-II R&amp;D Cavities (4)</v>
      </c>
      <c r="H53" s="239"/>
      <c r="I53" s="239"/>
      <c r="J53" s="239"/>
      <c r="K53" s="239"/>
      <c r="L53" s="239"/>
    </row>
    <row r="54" spans="1:12" x14ac:dyDescent="0.2">
      <c r="A54" s="84">
        <v>47</v>
      </c>
      <c r="C54" s="85">
        <f>IF(' Accting USE Data Entry Form'!U56&gt;0,' Accting USE Data Entry Form'!U56,0)</f>
        <v>1</v>
      </c>
      <c r="D54" s="44"/>
      <c r="E54" s="77" t="str">
        <f t="shared" si="0"/>
        <v xml:space="preserve"> </v>
      </c>
      <c r="G54" s="239" t="str">
        <f>IF(' Accting USE Data Entry Form'!B56&gt;0,' Accting USE Data Entry Form'!B56,"")</f>
        <v>MOD 008: CTM Spare Parts</v>
      </c>
      <c r="H54" s="239"/>
      <c r="I54" s="239"/>
      <c r="J54" s="239"/>
      <c r="K54" s="239"/>
      <c r="L54" s="239"/>
    </row>
    <row r="55" spans="1:12" x14ac:dyDescent="0.2">
      <c r="A55" s="84">
        <v>48</v>
      </c>
      <c r="C55" s="85">
        <f>IF(' Accting USE Data Entry Form'!U57&gt;0,' Accting USE Data Entry Form'!U57,0)</f>
        <v>0.99119999999999997</v>
      </c>
      <c r="D55" s="44"/>
      <c r="E55" s="77" t="str">
        <f t="shared" si="0"/>
        <v xml:space="preserve"> </v>
      </c>
      <c r="G55" s="239" t="str">
        <f>IF(' Accting USE Data Entry Form'!B57&gt;0,' Accting USE Data Entry Form'!B57,"")</f>
        <v>MOD 009: Recipe Modification (21-133) ($4283.18/cavity)</v>
      </c>
      <c r="H55" s="239"/>
      <c r="I55" s="239"/>
      <c r="J55" s="239"/>
      <c r="K55" s="239"/>
      <c r="L55" s="239"/>
    </row>
    <row r="56" spans="1:12" x14ac:dyDescent="0.2">
      <c r="A56" s="84">
        <v>49</v>
      </c>
      <c r="C56" s="85">
        <f>IF(' Accting USE Data Entry Form'!U58&gt;0,' Accting USE Data Entry Form'!U58,0)</f>
        <v>0.98540000000000005</v>
      </c>
      <c r="D56" s="44"/>
      <c r="E56" s="77" t="str">
        <f t="shared" si="0"/>
        <v xml:space="preserve"> </v>
      </c>
      <c r="G56" s="239" t="str">
        <f>IF(' Accting USE Data Entry Form'!B58&gt;0,' Accting USE Data Entry Form'!B58,"")</f>
        <v xml:space="preserve">MOD 010: Niobium Caps $490.00/ea (Cavs 17-133)  </v>
      </c>
      <c r="H56" s="239"/>
      <c r="I56" s="239"/>
      <c r="J56" s="239"/>
      <c r="K56" s="239"/>
      <c r="L56" s="239"/>
    </row>
    <row r="57" spans="1:12" x14ac:dyDescent="0.2">
      <c r="A57" s="84">
        <v>50</v>
      </c>
      <c r="C57" s="85">
        <f>IF(' Accting USE Data Entry Form'!U59&gt;0,' Accting USE Data Entry Form'!U59,0)</f>
        <v>1</v>
      </c>
      <c r="D57" s="44"/>
      <c r="E57" s="77" t="str">
        <f t="shared" si="0"/>
        <v xml:space="preserve"> </v>
      </c>
      <c r="G57" s="239" t="str">
        <f>IF(' Accting USE Data Entry Form'!B59&gt;0,' Accting USE Data Entry Form'!B59,"")</f>
        <v>MOD 010: Ningxia Material Sorting</v>
      </c>
      <c r="H57" s="239"/>
      <c r="I57" s="239"/>
      <c r="J57" s="239"/>
      <c r="K57" s="239"/>
      <c r="L57" s="239"/>
    </row>
    <row r="58" spans="1:12" x14ac:dyDescent="0.2">
      <c r="A58" s="84">
        <v>51</v>
      </c>
      <c r="C58" s="85">
        <f>IF(' Accting USE Data Entry Form'!U60&gt;0,' Accting USE Data Entry Form'!U60,0)</f>
        <v>0</v>
      </c>
      <c r="D58" s="44"/>
      <c r="E58" s="77" t="str">
        <f t="shared" si="0"/>
        <v xml:space="preserve"> </v>
      </c>
      <c r="G58" s="239" t="str">
        <f>IF(' Accting USE Data Entry Form'!B60&gt;0,' Accting USE Data Entry Form'!B60,"")</f>
        <v>MOD 011: Optional Cavities 1-8</v>
      </c>
      <c r="H58" s="239"/>
      <c r="I58" s="239"/>
      <c r="J58" s="239"/>
      <c r="K58" s="239"/>
      <c r="L58" s="239"/>
    </row>
    <row r="59" spans="1:12" x14ac:dyDescent="0.2">
      <c r="A59" s="84">
        <v>52</v>
      </c>
      <c r="C59" s="85">
        <f>IF(' Accting USE Data Entry Form'!U61&gt;0,' Accting USE Data Entry Form'!U61,0)</f>
        <v>1</v>
      </c>
      <c r="D59" s="44"/>
      <c r="E59" s="77" t="str">
        <f t="shared" si="0"/>
        <v xml:space="preserve"> </v>
      </c>
      <c r="G59" s="239" t="str">
        <f>IF(' Accting USE Data Entry Form'!B61&gt;0,' Accting USE Data Entry Form'!B61,"")</f>
        <v>MOD 012: DESY Testing 4X RF Tests</v>
      </c>
      <c r="H59" s="239"/>
      <c r="I59" s="239"/>
      <c r="J59" s="239"/>
      <c r="K59" s="239"/>
      <c r="L59" s="239"/>
    </row>
    <row r="60" spans="1:12" ht="12" customHeight="1" x14ac:dyDescent="0.2">
      <c r="A60" s="84">
        <v>53</v>
      </c>
      <c r="C60" s="85">
        <f>IF(' Accting USE Data Entry Form'!U62&gt;0,' Accting USE Data Entry Form'!U62,0)</f>
        <v>0.26837225274725274</v>
      </c>
      <c r="D60" s="44"/>
      <c r="E60" s="77" t="str">
        <f t="shared" si="0"/>
        <v xml:space="preserve"> </v>
      </c>
      <c r="G60" s="239" t="str">
        <f>IF(' Accting USE Data Entry Form'!B62&gt;0,' Accting USE Data Entry Form'!B62,"")</f>
        <v>MOD 012: Add DESY Testing Costs (Not to Exceed)</v>
      </c>
      <c r="H60" s="239"/>
      <c r="I60" s="239"/>
      <c r="J60" s="239"/>
      <c r="K60" s="239"/>
      <c r="L60" s="239"/>
    </row>
    <row r="61" spans="1:12" x14ac:dyDescent="0.2">
      <c r="A61" s="84">
        <v>54</v>
      </c>
      <c r="C61" s="85">
        <f>IF(' Accting USE Data Entry Form'!U63&gt;0,' Accting USE Data Entry Form'!U63,0)</f>
        <v>1</v>
      </c>
      <c r="D61" s="44"/>
      <c r="E61" s="77" t="str">
        <f t="shared" si="0"/>
        <v xml:space="preserve"> </v>
      </c>
      <c r="G61" s="239" t="str">
        <f>IF(' Accting USE Data Entry Form'!B63&gt;0,' Accting USE Data Entry Form'!B63,"")</f>
        <v>MOD013-32+3: Material Supply, 1st lot</v>
      </c>
      <c r="H61" s="239"/>
      <c r="I61" s="239"/>
      <c r="J61" s="239"/>
      <c r="K61" s="239"/>
      <c r="L61" s="239"/>
    </row>
    <row r="62" spans="1:12" x14ac:dyDescent="0.2">
      <c r="A62" s="84">
        <v>55</v>
      </c>
      <c r="C62" s="85">
        <f>IF(' Accting USE Data Entry Form'!U64&gt;0,' Accting USE Data Entry Form'!U64,0)</f>
        <v>1</v>
      </c>
      <c r="D62" s="44"/>
      <c r="E62" s="77" t="str">
        <f t="shared" si="0"/>
        <v xml:space="preserve"> </v>
      </c>
      <c r="G62" s="239" t="str">
        <f>IF(' Accting USE Data Entry Form'!B64&gt;0,' Accting USE Data Entry Form'!B64,"")</f>
        <v>MOD013-32+3: Material Supply, 2nd lot</v>
      </c>
      <c r="H62" s="239"/>
      <c r="I62" s="239"/>
      <c r="J62" s="239"/>
      <c r="K62" s="239"/>
      <c r="L62" s="239"/>
    </row>
    <row r="63" spans="1:12" x14ac:dyDescent="0.2">
      <c r="A63" s="84">
        <v>56</v>
      </c>
      <c r="C63" s="85">
        <f>IF(' Accting USE Data Entry Form'!U65&gt;0,' Accting USE Data Entry Form'!U65,0)</f>
        <v>1</v>
      </c>
      <c r="D63" s="44"/>
      <c r="E63" s="77" t="str">
        <f t="shared" si="0"/>
        <v xml:space="preserve"> </v>
      </c>
      <c r="G63" s="239" t="str">
        <f>IF(' Accting USE Data Entry Form'!B65&gt;0,' Accting USE Data Entry Form'!B65,"")</f>
        <v>MOD013-32+3: DESY QA of 1st material lot</v>
      </c>
      <c r="H63" s="239"/>
      <c r="I63" s="239"/>
      <c r="J63" s="239"/>
      <c r="K63" s="239"/>
      <c r="L63" s="239"/>
    </row>
    <row r="64" spans="1:12" x14ac:dyDescent="0.2">
      <c r="A64" s="84">
        <v>57</v>
      </c>
      <c r="C64" s="85">
        <f>IF(' Accting USE Data Entry Form'!U66&gt;0,' Accting USE Data Entry Form'!U66,0)</f>
        <v>1</v>
      </c>
      <c r="D64" s="44"/>
      <c r="E64" s="77" t="str">
        <f t="shared" si="0"/>
        <v xml:space="preserve"> </v>
      </c>
      <c r="G64" s="239" t="str">
        <f>IF(' Accting USE Data Entry Form'!B66&gt;0,' Accting USE Data Entry Form'!B66,"")</f>
        <v>MOD013-32+3: DESY Q of 2nd material lot</v>
      </c>
      <c r="H64" s="239"/>
      <c r="I64" s="239"/>
      <c r="J64" s="239"/>
      <c r="K64" s="239"/>
      <c r="L64" s="239"/>
    </row>
    <row r="65" spans="1:12" x14ac:dyDescent="0.2">
      <c r="A65" s="84">
        <v>58</v>
      </c>
      <c r="C65" s="85">
        <f>IF(' Accting USE Data Entry Form'!U67&gt;0,' Accting USE Data Entry Form'!U67,0)</f>
        <v>0</v>
      </c>
      <c r="D65" s="44"/>
      <c r="E65" s="77" t="str">
        <f t="shared" si="0"/>
        <v xml:space="preserve"> </v>
      </c>
      <c r="G65" s="239" t="str">
        <f>IF(' Accting USE Data Entry Form'!B67&gt;0,' Accting USE Data Entry Form'!B67,"")</f>
        <v>MOD013-32+3: Deliver &amp; Accept 4 Cavities</v>
      </c>
      <c r="H65" s="239"/>
      <c r="I65" s="239"/>
      <c r="J65" s="239"/>
      <c r="K65" s="239"/>
      <c r="L65" s="239"/>
    </row>
    <row r="66" spans="1:12" x14ac:dyDescent="0.2">
      <c r="A66" s="84">
        <v>59</v>
      </c>
      <c r="C66" s="85">
        <f>IF(' Accting USE Data Entry Form'!U68&gt;0,' Accting USE Data Entry Form'!U68,0)</f>
        <v>0</v>
      </c>
      <c r="D66" s="44"/>
      <c r="E66" s="77" t="str">
        <f t="shared" si="0"/>
        <v xml:space="preserve"> </v>
      </c>
      <c r="G66" s="239" t="str">
        <f>IF(' Accting USE Data Entry Form'!B68&gt;0,' Accting USE Data Entry Form'!B68,"")</f>
        <v>MOD013-32+3: Deliver &amp; Accept 4 Cavities</v>
      </c>
      <c r="H66" s="239"/>
      <c r="I66" s="239"/>
      <c r="J66" s="239"/>
      <c r="K66" s="239"/>
      <c r="L66" s="239"/>
    </row>
    <row r="67" spans="1:12" x14ac:dyDescent="0.2">
      <c r="A67" s="84">
        <v>60</v>
      </c>
      <c r="C67" s="85">
        <f>IF(' Accting USE Data Entry Form'!U69&gt;0,' Accting USE Data Entry Form'!U69,0)</f>
        <v>0</v>
      </c>
      <c r="D67" s="44"/>
      <c r="E67" s="77" t="str">
        <f t="shared" si="0"/>
        <v xml:space="preserve"> </v>
      </c>
      <c r="G67" s="239" t="str">
        <f>IF(' Accting USE Data Entry Form'!B69&gt;0,' Accting USE Data Entry Form'!B69,"")</f>
        <v>MOD013-32+3: Deliver &amp; Accept 4 Cavities</v>
      </c>
      <c r="H67" s="239"/>
      <c r="I67" s="239"/>
      <c r="J67" s="239"/>
      <c r="K67" s="239"/>
      <c r="L67" s="239"/>
    </row>
    <row r="68" spans="1:12" x14ac:dyDescent="0.2">
      <c r="A68" s="84">
        <v>61</v>
      </c>
      <c r="C68" s="85">
        <f>IF(' Accting USE Data Entry Form'!U70&gt;0,' Accting USE Data Entry Form'!U70,0)</f>
        <v>0</v>
      </c>
      <c r="D68" s="44"/>
      <c r="E68" s="77" t="str">
        <f t="shared" si="0"/>
        <v xml:space="preserve"> </v>
      </c>
      <c r="G68" s="239" t="str">
        <f>IF(' Accting USE Data Entry Form'!B70&gt;0,' Accting USE Data Entry Form'!B70,"")</f>
        <v>MOD013-32+3: Deliver &amp; Accept 4 Cavities</v>
      </c>
      <c r="H68" s="239"/>
      <c r="I68" s="239"/>
      <c r="J68" s="239"/>
      <c r="K68" s="239"/>
      <c r="L68" s="239"/>
    </row>
    <row r="69" spans="1:12" ht="13.15" customHeight="1" x14ac:dyDescent="0.2">
      <c r="A69" s="84">
        <v>62</v>
      </c>
      <c r="C69" s="85">
        <f>IF(' Accting USE Data Entry Form'!U71&gt;0,' Accting USE Data Entry Form'!U71,0)</f>
        <v>0</v>
      </c>
      <c r="D69" s="44"/>
      <c r="E69" s="77" t="str">
        <f t="shared" si="0"/>
        <v xml:space="preserve"> </v>
      </c>
      <c r="G69" s="239" t="str">
        <f>IF(' Accting USE Data Entry Form'!B71&gt;0,' Accting USE Data Entry Form'!B71,"")</f>
        <v>MOD013-32+3: Deliver &amp; Accept 4 Cavities</v>
      </c>
      <c r="H69" s="239"/>
      <c r="I69" s="239"/>
      <c r="J69" s="239"/>
      <c r="K69" s="239"/>
      <c r="L69" s="239"/>
    </row>
    <row r="70" spans="1:12" x14ac:dyDescent="0.2">
      <c r="A70" s="84">
        <v>63</v>
      </c>
      <c r="C70" s="85">
        <f>IF(' Accting USE Data Entry Form'!U72&gt;0,' Accting USE Data Entry Form'!U72,0)</f>
        <v>0</v>
      </c>
      <c r="D70" s="44"/>
      <c r="E70" s="77" t="str">
        <f t="shared" si="0"/>
        <v xml:space="preserve"> </v>
      </c>
      <c r="G70" s="239" t="str">
        <f>IF(' Accting USE Data Entry Form'!B72&gt;0,' Accting USE Data Entry Form'!B72,"")</f>
        <v>MOD013-32+3: Deliver &amp; Accept 4 Cavities</v>
      </c>
      <c r="H70" s="239"/>
      <c r="I70" s="239"/>
      <c r="J70" s="239"/>
      <c r="K70" s="239"/>
      <c r="L70" s="239"/>
    </row>
    <row r="71" spans="1:12" x14ac:dyDescent="0.2">
      <c r="A71" s="84">
        <v>64</v>
      </c>
      <c r="C71" s="85">
        <f>IF(' Accting USE Data Entry Form'!U73&gt;0,' Accting USE Data Entry Form'!U73,0)</f>
        <v>0</v>
      </c>
      <c r="D71" s="44"/>
      <c r="E71" s="77" t="str">
        <f t="shared" si="0"/>
        <v xml:space="preserve"> </v>
      </c>
      <c r="G71" s="239" t="str">
        <f>IF(' Accting USE Data Entry Form'!B73&gt;0,' Accting USE Data Entry Form'!B73,"")</f>
        <v>MOD013-32+3: Deliver &amp; Accept 4 Cavities</v>
      </c>
      <c r="H71" s="239"/>
      <c r="I71" s="239"/>
      <c r="J71" s="239"/>
      <c r="K71" s="239"/>
      <c r="L71" s="239"/>
    </row>
    <row r="72" spans="1:12" x14ac:dyDescent="0.2">
      <c r="A72" s="84">
        <v>65</v>
      </c>
      <c r="C72" s="85">
        <f>IF(' Accting USE Data Entry Form'!U74&gt;0,' Accting USE Data Entry Form'!U74,0)</f>
        <v>0</v>
      </c>
      <c r="D72" s="44"/>
      <c r="E72" s="77" t="str">
        <f t="shared" si="0"/>
        <v xml:space="preserve"> </v>
      </c>
      <c r="G72" s="239" t="str">
        <f>IF(' Accting USE Data Entry Form'!B74&gt;0,' Accting USE Data Entry Form'!B74,"")</f>
        <v>MOD013-32+3: Deliver &amp; Accept 4 Cavities</v>
      </c>
      <c r="H72" s="239"/>
      <c r="I72" s="239"/>
      <c r="J72" s="239"/>
      <c r="K72" s="239"/>
      <c r="L72" s="239"/>
    </row>
    <row r="73" spans="1:12" x14ac:dyDescent="0.2">
      <c r="A73" s="84">
        <v>66</v>
      </c>
      <c r="C73" s="85">
        <f>IF(' Accting USE Data Entry Form'!U75&gt;0,' Accting USE Data Entry Form'!U75,0)</f>
        <v>0</v>
      </c>
      <c r="D73" s="44"/>
      <c r="E73" s="77" t="str">
        <f t="shared" si="0"/>
        <v xml:space="preserve"> </v>
      </c>
      <c r="G73" s="239" t="str">
        <f>IF(' Accting USE Data Entry Form'!B75&gt;0,' Accting USE Data Entry Form'!B75,"")</f>
        <v>MOD013-32+3: Deliver &amp; Accept 2 Single Cell Cavities</v>
      </c>
      <c r="H73" s="239"/>
      <c r="I73" s="239"/>
      <c r="J73" s="239"/>
      <c r="K73" s="239"/>
      <c r="L73" s="239"/>
    </row>
    <row r="74" spans="1:12" s="3" customFormat="1" x14ac:dyDescent="0.2">
      <c r="A74" s="236">
        <v>67</v>
      </c>
      <c r="C74" s="237">
        <f>IF(' Accting USE Data Entry Form'!U76&gt;0,' Accting USE Data Entry Form'!U76,0)</f>
        <v>0.3</v>
      </c>
      <c r="D74" s="238"/>
      <c r="E74" s="77" t="str">
        <f t="shared" si="0"/>
        <v xml:space="preserve"> </v>
      </c>
      <c r="G74" s="239" t="str">
        <f>IF(' Accting USE Data Entry Form'!B76&gt;0,' Accting USE Data Entry Form'!B76,"")</f>
        <v>MOD013-32+3: Lease/Maintenance DESY Equipment</v>
      </c>
      <c r="H74" s="239"/>
      <c r="I74" s="239"/>
      <c r="J74" s="239"/>
      <c r="K74" s="239"/>
      <c r="L74" s="239"/>
    </row>
    <row r="75" spans="1:12" s="3" customFormat="1" x14ac:dyDescent="0.2">
      <c r="A75" s="236">
        <v>68</v>
      </c>
      <c r="C75" s="237">
        <f>IF(' Accting USE Data Entry Form'!U77&gt;0,' Accting USE Data Entry Form'!U77,0)</f>
        <v>1</v>
      </c>
      <c r="D75" s="238"/>
      <c r="E75" s="77" t="str">
        <f t="shared" si="0"/>
        <v xml:space="preserve"> </v>
      </c>
      <c r="G75" s="239" t="str">
        <f>IF(' Accting USE Data Entry Form'!B77&gt;0,' Accting USE Data Entry Form'!B77,"")</f>
        <v>MOD013-Add Mat'l: Material Supply, 1st lot</v>
      </c>
      <c r="H75" s="239"/>
      <c r="I75" s="239"/>
      <c r="J75" s="239"/>
      <c r="K75" s="239"/>
      <c r="L75" s="239"/>
    </row>
    <row r="76" spans="1:12" s="3" customFormat="1" x14ac:dyDescent="0.2">
      <c r="A76" s="236">
        <v>69</v>
      </c>
      <c r="C76" s="237">
        <f>IF(' Accting USE Data Entry Form'!U78&gt;0,' Accting USE Data Entry Form'!U78,0)</f>
        <v>1</v>
      </c>
      <c r="D76" s="238"/>
      <c r="E76" s="77" t="str">
        <f t="shared" si="0"/>
        <v xml:space="preserve"> </v>
      </c>
      <c r="G76" s="239" t="str">
        <f>IF(' Accting USE Data Entry Form'!B78&gt;0,' Accting USE Data Entry Form'!B78,"")</f>
        <v>MOD013-Add Mat'l: DESY QA of 1st material lot</v>
      </c>
      <c r="H76" s="239"/>
      <c r="I76" s="239"/>
      <c r="J76" s="239"/>
      <c r="K76" s="239"/>
      <c r="L76" s="239"/>
    </row>
    <row r="77" spans="1:12" x14ac:dyDescent="0.2">
      <c r="A77" s="84">
        <v>70</v>
      </c>
      <c r="C77" s="85">
        <f>IF(' Accting USE Data Entry Form'!U79&gt;0,' Accting USE Data Entry Form'!U79,0)</f>
        <v>0</v>
      </c>
      <c r="D77" s="44"/>
      <c r="E77" s="77"/>
      <c r="G77" s="239" t="str">
        <f>IF(' Accting USE Data Entry Form'!B79&gt;0,' Accting USE Data Entry Form'!B79,"")</f>
        <v>MOD013-Add Mat'l: Material Supply, 2nd lot</v>
      </c>
      <c r="H77" s="239"/>
      <c r="I77" s="239"/>
      <c r="J77" s="239"/>
      <c r="K77" s="239"/>
      <c r="L77" s="239"/>
    </row>
    <row r="78" spans="1:12" x14ac:dyDescent="0.2">
      <c r="A78" s="84">
        <v>71</v>
      </c>
      <c r="C78" s="85">
        <f>IF(' Accting USE Data Entry Form'!U80&gt;0,' Accting USE Data Entry Form'!U80,0)</f>
        <v>0</v>
      </c>
      <c r="D78" s="44"/>
      <c r="E78" s="77"/>
      <c r="G78" s="239" t="str">
        <f>IF(' Accting USE Data Entry Form'!B80&gt;0,' Accting USE Data Entry Form'!B80,"")</f>
        <v>MOD013-Add Mat'l: DESY QA of 2nd material lot</v>
      </c>
      <c r="H78" s="239"/>
      <c r="I78" s="239"/>
      <c r="J78" s="239"/>
      <c r="K78" s="239"/>
      <c r="L78" s="239"/>
    </row>
    <row r="79" spans="1:12" x14ac:dyDescent="0.2">
      <c r="A79" s="84">
        <v>72</v>
      </c>
      <c r="C79" s="85">
        <f>IF(' Accting USE Data Entry Form'!U81&gt;0,' Accting USE Data Entry Form'!U81,0)</f>
        <v>0</v>
      </c>
      <c r="D79" s="44"/>
      <c r="E79" s="77"/>
      <c r="G79" s="239" t="str">
        <f>IF(' Accting USE Data Entry Form'!B81&gt;0,' Accting USE Data Entry Form'!B81,"")</f>
        <v>MOD013-Add Mat'l: Material Supply, 3rd lot</v>
      </c>
      <c r="H79" s="239"/>
      <c r="I79" s="239"/>
      <c r="J79" s="239"/>
      <c r="K79" s="239"/>
      <c r="L79" s="239"/>
    </row>
    <row r="80" spans="1:12" x14ac:dyDescent="0.2">
      <c r="A80" s="84">
        <v>73</v>
      </c>
      <c r="C80" s="85">
        <f>IF(' Accting USE Data Entry Form'!U82&gt;0,' Accting USE Data Entry Form'!U82,0)</f>
        <v>0</v>
      </c>
      <c r="D80" s="44"/>
      <c r="E80" s="77"/>
      <c r="G80" s="239" t="str">
        <f>IF(' Accting USE Data Entry Form'!B82&gt;0,' Accting USE Data Entry Form'!B82,"")</f>
        <v>MOD013-Add Mat'l: DESY QA of 3rd material lot</v>
      </c>
      <c r="H80" s="239"/>
      <c r="I80" s="239"/>
      <c r="J80" s="239"/>
      <c r="K80" s="239"/>
      <c r="L80" s="239"/>
    </row>
    <row r="81" spans="1:12" x14ac:dyDescent="0.2">
      <c r="A81" s="84">
        <v>74</v>
      </c>
      <c r="C81" s="85">
        <f>IF(' Accting USE Data Entry Form'!U83&gt;0,' Accting USE Data Entry Form'!U83,0)</f>
        <v>0</v>
      </c>
      <c r="D81" s="44"/>
      <c r="E81" s="77"/>
      <c r="G81" s="239" t="str">
        <f>IF(' Accting USE Data Entry Form'!B83&gt;0,' Accting USE Data Entry Form'!B83,"")</f>
        <v>MOD013-Add Mat'l: Material Supply, 4th lot</v>
      </c>
      <c r="H81" s="239"/>
      <c r="I81" s="239"/>
      <c r="J81" s="239"/>
      <c r="K81" s="239"/>
      <c r="L81" s="239"/>
    </row>
    <row r="82" spans="1:12" x14ac:dyDescent="0.2">
      <c r="A82" s="84">
        <v>75</v>
      </c>
      <c r="C82" s="85">
        <f>IF(' Accting USE Data Entry Form'!U84&gt;0,' Accting USE Data Entry Form'!U84,0)</f>
        <v>0</v>
      </c>
      <c r="D82" s="44"/>
      <c r="E82" s="77"/>
      <c r="G82" s="239" t="str">
        <f>IF(' Accting USE Data Entry Form'!B84&gt;0,' Accting USE Data Entry Form'!B84,"")</f>
        <v>MOD013-Add Mat'l: DESY QA of 4th material lot</v>
      </c>
      <c r="H82" s="239"/>
      <c r="I82" s="239"/>
      <c r="J82" s="239"/>
      <c r="K82" s="239"/>
      <c r="L82" s="239"/>
    </row>
    <row r="83" spans="1:12" x14ac:dyDescent="0.2">
      <c r="A83" s="84">
        <v>76</v>
      </c>
      <c r="C83" s="85">
        <f>IF(' Accting USE Data Entry Form'!U85&gt;0,' Accting USE Data Entry Form'!U85,0)</f>
        <v>0</v>
      </c>
      <c r="D83" s="44"/>
      <c r="E83" s="77"/>
      <c r="G83" s="239" t="str">
        <f>IF(' Accting USE Data Entry Form'!B85&gt;0,' Accting USE Data Entry Form'!B85,"")</f>
        <v xml:space="preserve">MOD013-Add Mat'l: Storage of material for up to 6 months </v>
      </c>
      <c r="H83" s="239"/>
      <c r="I83" s="239"/>
      <c r="J83" s="239"/>
      <c r="K83" s="239"/>
      <c r="L83" s="239"/>
    </row>
    <row r="84" spans="1:12" x14ac:dyDescent="0.2">
      <c r="A84" s="84">
        <v>77</v>
      </c>
      <c r="C84" s="85">
        <f>IF(' Accting USE Data Entry Form'!U86&gt;0,' Accting USE Data Entry Form'!U86,0)</f>
        <v>0</v>
      </c>
      <c r="D84" s="44"/>
      <c r="E84" s="77"/>
      <c r="G84" s="239" t="str">
        <f>IF(' Accting USE Data Entry Form'!B86&gt;0,' Accting USE Data Entry Form'!B86,"")</f>
        <v>MOD013-Add Mat'l: Package and air shipment of material</v>
      </c>
      <c r="H84" s="239"/>
      <c r="I84" s="239"/>
      <c r="J84" s="239"/>
      <c r="K84" s="239"/>
      <c r="L84" s="239"/>
    </row>
    <row r="85" spans="1:12" x14ac:dyDescent="0.2">
      <c r="A85" s="84">
        <v>78</v>
      </c>
      <c r="C85" s="85">
        <f>IF(' Accting USE Data Entry Form'!U87&gt;0,' Accting USE Data Entry Form'!U87,0)</f>
        <v>0</v>
      </c>
      <c r="D85" s="44"/>
      <c r="E85" s="77"/>
      <c r="G85" s="239" t="str">
        <f>IF(' Accting USE Data Entry Form'!B87&gt;0,' Accting USE Data Entry Form'!B87,"")</f>
        <v>MOD013-Add Mat'l: Deliver &amp; Accept 1-Cell Cavites (Lot 1)</v>
      </c>
      <c r="H85" s="239"/>
      <c r="I85" s="239"/>
      <c r="J85" s="239"/>
      <c r="K85" s="239"/>
      <c r="L85" s="239"/>
    </row>
    <row r="86" spans="1:12" x14ac:dyDescent="0.2">
      <c r="A86" s="84">
        <v>79</v>
      </c>
      <c r="C86" s="85">
        <f>IF(' Accting USE Data Entry Form'!U88&gt;0,' Accting USE Data Entry Form'!U88,0)</f>
        <v>0</v>
      </c>
      <c r="D86" s="44"/>
      <c r="E86" s="77"/>
      <c r="G86" s="239" t="str">
        <f>IF(' Accting USE Data Entry Form'!B88&gt;0,' Accting USE Data Entry Form'!B88,"")</f>
        <v>MOD013-Add Mat'l: Deliver &amp; Accept  1-Cell Cavites (Lot 2)</v>
      </c>
      <c r="H86" s="239"/>
      <c r="I86" s="239"/>
      <c r="J86" s="239"/>
      <c r="K86" s="239"/>
      <c r="L86" s="239"/>
    </row>
    <row r="87" spans="1:12" x14ac:dyDescent="0.2">
      <c r="A87" s="84">
        <v>80</v>
      </c>
      <c r="C87" s="85">
        <f>IF(' Accting USE Data Entry Form'!U89&gt;0,' Accting USE Data Entry Form'!U89,0)</f>
        <v>0</v>
      </c>
      <c r="D87" s="44"/>
      <c r="E87" s="77"/>
      <c r="G87" s="239" t="str">
        <f>IF(' Accting USE Data Entry Form'!B89&gt;0,' Accting USE Data Entry Form'!B89,"")</f>
        <v>MOD013-Add Mat'l: Deliver &amp; Accept  1-Cell Cavites (Lot 3)</v>
      </c>
      <c r="H87" s="239"/>
      <c r="I87" s="239"/>
      <c r="J87" s="239"/>
      <c r="K87" s="239"/>
      <c r="L87" s="239"/>
    </row>
    <row r="88" spans="1:12" x14ac:dyDescent="0.2">
      <c r="A88" s="84">
        <v>81</v>
      </c>
      <c r="C88" s="85">
        <f>IF(' Accting USE Data Entry Form'!U90&gt;0,' Accting USE Data Entry Form'!U90,0)</f>
        <v>0</v>
      </c>
      <c r="D88" s="44"/>
      <c r="E88" s="77"/>
      <c r="G88" s="239" t="str">
        <f>IF(' Accting USE Data Entry Form'!B90&gt;0,' Accting USE Data Entry Form'!B90,"")</f>
        <v>MOD013-Add Mat'l: Deliver &amp; Accept  1-Cell Cavites (Lot 4)</v>
      </c>
      <c r="H88" s="239"/>
      <c r="I88" s="239"/>
      <c r="J88" s="239"/>
      <c r="K88" s="239"/>
      <c r="L88" s="239"/>
    </row>
    <row r="89" spans="1:12" x14ac:dyDescent="0.2">
      <c r="A89" s="84">
        <v>82</v>
      </c>
      <c r="C89" s="85">
        <f>IF(' Accting USE Data Entry Form'!U91&gt;0,' Accting USE Data Entry Form'!U91,0)</f>
        <v>1</v>
      </c>
      <c r="D89" s="44"/>
      <c r="E89" s="77"/>
      <c r="G89" s="239" t="str">
        <f>IF(' Accting USE Data Entry Form'!B91&gt;0,' Accting USE Data Entry Form'!B91,"")</f>
        <v>MOD014: Supply &amp; QC of 320 TD Sheets</v>
      </c>
      <c r="H89" s="239"/>
      <c r="I89" s="239"/>
      <c r="J89" s="239"/>
      <c r="K89" s="239"/>
      <c r="L89" s="239"/>
    </row>
    <row r="90" spans="1:12" s="3" customFormat="1" x14ac:dyDescent="0.2">
      <c r="A90" s="236">
        <v>83</v>
      </c>
      <c r="C90" s="237">
        <f>IF(' Accting USE Data Entry Form'!U92&gt;0,' Accting USE Data Entry Form'!U92,0)</f>
        <v>1</v>
      </c>
      <c r="D90" s="238"/>
      <c r="E90" s="77"/>
      <c r="G90" s="239" t="str">
        <f>IF(' Accting USE Data Entry Form'!B92&gt;0,' Accting USE Data Entry Form'!B92,"")</f>
        <v>MOD015: Acceptance of Optional Cavities (9-16)</v>
      </c>
      <c r="H90" s="239"/>
      <c r="I90" s="239"/>
      <c r="J90" s="239"/>
      <c r="K90" s="239"/>
      <c r="L90" s="239"/>
    </row>
    <row r="91" spans="1:12" x14ac:dyDescent="0.2">
      <c r="A91" s="84">
        <v>84</v>
      </c>
      <c r="C91" s="85">
        <f>IF(' Accting USE Data Entry Form'!U93&gt;0,' Accting USE Data Entry Form'!U93,0)</f>
        <v>0</v>
      </c>
      <c r="D91" s="44"/>
      <c r="E91" s="77"/>
      <c r="G91" s="239" t="str">
        <f>IF(' Accting USE Data Entry Form'!B93&gt;0,' Accting USE Data Entry Form'!B93,"")</f>
        <v>MOD015: Incentive- Accelerated Delivery $5K/ cavities (9-16)</v>
      </c>
      <c r="H91" s="239"/>
      <c r="I91" s="239"/>
      <c r="J91" s="239"/>
      <c r="K91" s="239"/>
      <c r="L91" s="239"/>
    </row>
    <row r="92" spans="1:12" x14ac:dyDescent="0.2">
      <c r="A92" s="84">
        <v>85</v>
      </c>
      <c r="C92" s="85">
        <f>IF(' Accting USE Data Entry Form'!U94&gt;0,' Accting USE Data Entry Form'!U94,0)</f>
        <v>1</v>
      </c>
      <c r="D92" s="44"/>
      <c r="E92" s="77"/>
      <c r="G92" s="239" t="str">
        <f>IF(' Accting USE Data Entry Form'!B94&gt;0,' Accting USE Data Entry Form'!B94,"")</f>
        <v>MOD016: Transport Excess Zanon Cavity Materials to RI</v>
      </c>
      <c r="H92" s="239"/>
      <c r="I92" s="239"/>
      <c r="J92" s="239"/>
      <c r="K92" s="239"/>
      <c r="L92" s="239"/>
    </row>
    <row r="93" spans="1:12" s="231" customFormat="1" x14ac:dyDescent="0.2">
      <c r="A93" s="230">
        <v>86</v>
      </c>
      <c r="C93" s="232">
        <f>IF(' Accting USE Data Entry Form'!U95&gt;0,' Accting USE Data Entry Form'!U95,0)</f>
        <v>1</v>
      </c>
      <c r="D93" s="233"/>
      <c r="E93" s="234"/>
      <c r="G93" s="240" t="str">
        <f>IF(' Accting USE Data Entry Form'!B95&gt;0,' Accting USE Data Entry Form'!B95,"")</f>
        <v>MOD016: Delivery &amp; Accept TD Cavities (Zanon Material 1-4 of 18)</v>
      </c>
      <c r="H93" s="240"/>
      <c r="I93" s="240"/>
      <c r="J93" s="240"/>
      <c r="K93" s="240"/>
      <c r="L93" s="240"/>
    </row>
    <row r="94" spans="1:12" s="231" customFormat="1" x14ac:dyDescent="0.2">
      <c r="A94" s="230">
        <v>87</v>
      </c>
      <c r="C94" s="232">
        <f>IF(' Accting USE Data Entry Form'!U96&gt;0,' Accting USE Data Entry Form'!U96,0)</f>
        <v>1</v>
      </c>
      <c r="D94" s="233"/>
      <c r="E94" s="234"/>
      <c r="G94" s="240" t="str">
        <f>IF(' Accting USE Data Entry Form'!B96&gt;0,' Accting USE Data Entry Form'!B96,"")</f>
        <v>MOD016: Delivery &amp; Accept 4 TD Cavities  (Zanon Material 5-8 of 18)</v>
      </c>
      <c r="H94" s="240"/>
      <c r="I94" s="240"/>
      <c r="J94" s="240"/>
      <c r="K94" s="240"/>
      <c r="L94" s="240"/>
    </row>
    <row r="95" spans="1:12" s="231" customFormat="1" x14ac:dyDescent="0.2">
      <c r="A95" s="230">
        <v>88</v>
      </c>
      <c r="C95" s="232">
        <f>IF(' Accting USE Data Entry Form'!U97&gt;0,' Accting USE Data Entry Form'!U97,0)</f>
        <v>1</v>
      </c>
      <c r="D95" s="233"/>
      <c r="E95" s="234"/>
      <c r="G95" s="240" t="str">
        <f>IF(' Accting USE Data Entry Form'!B97&gt;0,' Accting USE Data Entry Form'!B97,"")</f>
        <v>MOD016: Delivery &amp; Accept 4 TD Cavities (Zanon Material 9-12 of 18)</v>
      </c>
      <c r="H95" s="240"/>
      <c r="I95" s="240"/>
      <c r="J95" s="240"/>
      <c r="K95" s="240"/>
      <c r="L95" s="240"/>
    </row>
    <row r="96" spans="1:12" s="231" customFormat="1" x14ac:dyDescent="0.2">
      <c r="A96" s="230">
        <v>89</v>
      </c>
      <c r="C96" s="232">
        <f>IF(' Accting USE Data Entry Form'!U98&gt;0,' Accting USE Data Entry Form'!U98,0)</f>
        <v>0.5</v>
      </c>
      <c r="D96" s="233"/>
      <c r="E96" s="234"/>
      <c r="G96" s="240" t="str">
        <f>IF(' Accting USE Data Entry Form'!B98&gt;0,' Accting USE Data Entry Form'!B98,"")</f>
        <v>MOD016: Delivery &amp; Accept 4 TD Cavities (Zanon Material 13-16 of 18)</v>
      </c>
      <c r="H96" s="240"/>
      <c r="I96" s="240"/>
      <c r="J96" s="240"/>
      <c r="K96" s="240"/>
      <c r="L96" s="240"/>
    </row>
    <row r="97" spans="1:12" x14ac:dyDescent="0.2">
      <c r="A97" s="84">
        <v>90</v>
      </c>
      <c r="C97" s="85">
        <f>IF(' Accting USE Data Entry Form'!U99&gt;0,' Accting USE Data Entry Form'!U99,0)</f>
        <v>0</v>
      </c>
      <c r="D97" s="44"/>
      <c r="E97" s="77"/>
      <c r="G97" s="239" t="str">
        <f>IF(' Accting USE Data Entry Form'!B99&gt;0,' Accting USE Data Entry Form'!B99,"")</f>
        <v>MOD016: Delivery &amp; Accept 2 TD Cavities (Zanon Material 17-18 of 18)</v>
      </c>
      <c r="H97" s="239"/>
      <c r="I97" s="239"/>
      <c r="J97" s="239"/>
      <c r="K97" s="239"/>
      <c r="L97" s="239"/>
    </row>
    <row r="98" spans="1:12" x14ac:dyDescent="0.2">
      <c r="A98" s="84">
        <v>91</v>
      </c>
      <c r="C98" s="85">
        <f>IF(' Accting USE Data Entry Form'!U100&gt;0,' Accting USE Data Entry Form'!U100,0)</f>
        <v>0</v>
      </c>
      <c r="D98" s="44"/>
      <c r="E98" s="77"/>
      <c r="G98" s="239" t="str">
        <f>IF(' Accting USE Data Entry Form'!B100&gt;0,' Accting USE Data Entry Form'!B100,"")</f>
        <v>MOD019: Delivery &amp; Accept Optional 3</v>
      </c>
      <c r="H98" s="239"/>
      <c r="I98" s="239"/>
      <c r="J98" s="239"/>
      <c r="K98" s="239"/>
      <c r="L98" s="239"/>
    </row>
    <row r="99" spans="1:12" x14ac:dyDescent="0.2">
      <c r="A99" s="84">
        <v>92</v>
      </c>
      <c r="C99" s="85">
        <f>IF(' Accting USE Data Entry Form'!U101&gt;0,' Accting USE Data Entry Form'!U101,0)</f>
        <v>0</v>
      </c>
      <c r="D99" s="44"/>
      <c r="E99" s="77"/>
      <c r="G99" s="239" t="str">
        <f>IF(' Accting USE Data Entry Form'!B101&gt;0,' Accting USE Data Entry Form'!B101,"")</f>
        <v>MOD020: Heat Treatment of Lot B</v>
      </c>
      <c r="H99" s="239"/>
      <c r="I99" s="239"/>
      <c r="J99" s="239"/>
      <c r="K99" s="239"/>
      <c r="L99" s="239"/>
    </row>
    <row r="100" spans="1:12" x14ac:dyDescent="0.2">
      <c r="A100" s="84">
        <v>93</v>
      </c>
      <c r="C100" s="85">
        <f>IF(' Accting USE Data Entry Form'!U102&gt;0,' Accting USE Data Entry Form'!U102,0)</f>
        <v>0</v>
      </c>
      <c r="D100" s="44"/>
      <c r="E100" s="77"/>
      <c r="G100" s="239" t="str">
        <f>IF(' Accting USE Data Entry Form'!B102&gt;0,' Accting USE Data Entry Form'!B102,"")</f>
        <v>MOD020: Bellow Tank Replacement</v>
      </c>
      <c r="H100" s="239"/>
      <c r="I100" s="239"/>
      <c r="J100" s="239"/>
      <c r="K100" s="239"/>
      <c r="L100" s="239"/>
    </row>
    <row r="101" spans="1:12" x14ac:dyDescent="0.2">
      <c r="A101" s="84">
        <v>94</v>
      </c>
      <c r="C101" s="85">
        <f>IF(' Accting USE Data Entry Form'!U103&gt;0,' Accting USE Data Entry Form'!U103,0)</f>
        <v>0</v>
      </c>
      <c r="D101" s="44"/>
      <c r="E101" s="77"/>
      <c r="G101" s="239" t="str">
        <f>IF(' Accting USE Data Entry Form'!B103&gt;0,' Accting USE Data Entry Form'!B103,"")</f>
        <v/>
      </c>
      <c r="H101" s="239"/>
      <c r="I101" s="239"/>
      <c r="J101" s="239"/>
      <c r="K101" s="239"/>
      <c r="L101" s="239"/>
    </row>
    <row r="102" spans="1:12" x14ac:dyDescent="0.2">
      <c r="A102" s="84">
        <v>95</v>
      </c>
      <c r="C102" s="85">
        <f>IF(' Accting USE Data Entry Form'!U104&gt;0,' Accting USE Data Entry Form'!U104,0)</f>
        <v>0</v>
      </c>
      <c r="D102" s="44"/>
      <c r="E102" s="77"/>
      <c r="G102" s="239" t="str">
        <f>IF(' Accting USE Data Entry Form'!B104&gt;0,' Accting USE Data Entry Form'!B104,"")</f>
        <v/>
      </c>
      <c r="H102" s="239"/>
      <c r="I102" s="239"/>
      <c r="J102" s="239"/>
      <c r="K102" s="239"/>
      <c r="L102" s="239"/>
    </row>
    <row r="103" spans="1:12" x14ac:dyDescent="0.2">
      <c r="A103" s="84">
        <v>96</v>
      </c>
      <c r="C103" s="85">
        <f>IF(' Accting USE Data Entry Form'!U105&gt;0,' Accting USE Data Entry Form'!U105,0)</f>
        <v>0</v>
      </c>
      <c r="D103" s="44"/>
      <c r="E103" s="77"/>
      <c r="G103" s="239" t="str">
        <f>IF(' Accting USE Data Entry Form'!B105&gt;0,' Accting USE Data Entry Form'!B105,"")</f>
        <v/>
      </c>
      <c r="H103" s="239"/>
      <c r="I103" s="239"/>
      <c r="J103" s="239"/>
      <c r="K103" s="239"/>
      <c r="L103" s="239"/>
    </row>
    <row r="104" spans="1:12" x14ac:dyDescent="0.2">
      <c r="A104" s="84">
        <v>97</v>
      </c>
      <c r="C104" s="85">
        <f>IF(' Accting USE Data Entry Form'!U106&gt;0,' Accting USE Data Entry Form'!U106,0)</f>
        <v>0</v>
      </c>
      <c r="D104" s="44"/>
      <c r="E104" s="77"/>
      <c r="G104" s="239" t="str">
        <f>IF(' Accting USE Data Entry Form'!B106&gt;0,' Accting USE Data Entry Form'!B106,"")</f>
        <v/>
      </c>
      <c r="H104" s="239"/>
      <c r="I104" s="239"/>
      <c r="J104" s="239"/>
      <c r="K104" s="239"/>
      <c r="L104" s="239"/>
    </row>
    <row r="105" spans="1:12" x14ac:dyDescent="0.2">
      <c r="A105" s="84">
        <v>98</v>
      </c>
      <c r="C105" s="85">
        <f>IF(' Accting USE Data Entry Form'!U107&gt;0,' Accting USE Data Entry Form'!U107,0)</f>
        <v>0</v>
      </c>
      <c r="D105" s="44"/>
      <c r="E105" s="77"/>
      <c r="G105" s="239" t="str">
        <f>IF(' Accting USE Data Entry Form'!B107&gt;0,' Accting USE Data Entry Form'!B107,"")</f>
        <v/>
      </c>
      <c r="H105" s="239"/>
      <c r="I105" s="239"/>
      <c r="J105" s="239"/>
      <c r="K105" s="239"/>
      <c r="L105" s="239"/>
    </row>
    <row r="106" spans="1:12" x14ac:dyDescent="0.2">
      <c r="A106" s="84">
        <v>99</v>
      </c>
      <c r="C106" s="85">
        <f>IF(' Accting USE Data Entry Form'!U108&gt;0,' Accting USE Data Entry Form'!U108,0)</f>
        <v>0</v>
      </c>
      <c r="D106" s="44"/>
      <c r="E106" s="77"/>
      <c r="G106" s="239" t="str">
        <f>IF(' Accting USE Data Entry Form'!B108&gt;0,' Accting USE Data Entry Form'!B108,"")</f>
        <v/>
      </c>
      <c r="H106" s="239"/>
      <c r="I106" s="239"/>
      <c r="J106" s="239"/>
      <c r="K106" s="239"/>
      <c r="L106" s="239"/>
    </row>
    <row r="107" spans="1:12" x14ac:dyDescent="0.2">
      <c r="A107" s="84">
        <v>100</v>
      </c>
      <c r="C107" s="85">
        <f>IF(' Accting USE Data Entry Form'!U109&gt;0,' Accting USE Data Entry Form'!U109,0)</f>
        <v>0</v>
      </c>
      <c r="D107" s="44"/>
      <c r="E107" s="77"/>
      <c r="G107" s="239" t="str">
        <f>IF(' Accting USE Data Entry Form'!B109&gt;0,' Accting USE Data Entry Form'!B109,"")</f>
        <v/>
      </c>
      <c r="H107" s="239"/>
      <c r="I107" s="239"/>
      <c r="J107" s="239"/>
      <c r="K107" s="239"/>
      <c r="L107" s="239"/>
    </row>
    <row r="108" spans="1:12" x14ac:dyDescent="0.2">
      <c r="A108" s="84">
        <v>101</v>
      </c>
      <c r="C108" s="85">
        <f>IF(' Accting USE Data Entry Form'!U110&gt;0,' Accting USE Data Entry Form'!U110,0)</f>
        <v>0</v>
      </c>
      <c r="D108" s="44"/>
      <c r="E108" s="77"/>
      <c r="G108" s="239" t="str">
        <f>IF(' Accting USE Data Entry Form'!B110&gt;0,' Accting USE Data Entry Form'!B110,"")</f>
        <v/>
      </c>
      <c r="H108" s="239"/>
      <c r="I108" s="239"/>
      <c r="J108" s="239"/>
      <c r="K108" s="239"/>
      <c r="L108" s="239"/>
    </row>
    <row r="109" spans="1:12" x14ac:dyDescent="0.2">
      <c r="A109" s="84">
        <v>102</v>
      </c>
      <c r="C109" s="85">
        <f>IF(' Accting USE Data Entry Form'!U111&gt;0,' Accting USE Data Entry Form'!U111,0)</f>
        <v>0</v>
      </c>
      <c r="D109" s="44"/>
      <c r="E109" s="77"/>
      <c r="G109" s="239" t="str">
        <f>IF(' Accting USE Data Entry Form'!B111&gt;0,' Accting USE Data Entry Form'!B111,"")</f>
        <v/>
      </c>
      <c r="H109" s="239"/>
      <c r="I109" s="239"/>
      <c r="J109" s="239"/>
      <c r="K109" s="239"/>
      <c r="L109" s="239"/>
    </row>
    <row r="110" spans="1:12" x14ac:dyDescent="0.2">
      <c r="A110" s="84">
        <v>103</v>
      </c>
      <c r="C110" s="85">
        <f>IF(' Accting USE Data Entry Form'!U112&gt;0,' Accting USE Data Entry Form'!U112,0)</f>
        <v>0</v>
      </c>
      <c r="D110" s="44"/>
      <c r="E110" s="77"/>
      <c r="G110" s="239" t="str">
        <f>IF(' Accting USE Data Entry Form'!B112&gt;0,' Accting USE Data Entry Form'!B112,"")</f>
        <v/>
      </c>
      <c r="H110" s="239"/>
      <c r="I110" s="239"/>
      <c r="J110" s="239"/>
      <c r="K110" s="239"/>
      <c r="L110" s="239"/>
    </row>
    <row r="111" spans="1:12" x14ac:dyDescent="0.2">
      <c r="A111" s="84">
        <v>104</v>
      </c>
      <c r="C111" s="85">
        <f>IF(' Accting USE Data Entry Form'!U113&gt;0,' Accting USE Data Entry Form'!U113,0)</f>
        <v>0</v>
      </c>
      <c r="D111" s="44"/>
      <c r="E111" s="77"/>
      <c r="G111" s="239" t="str">
        <f>IF(' Accting USE Data Entry Form'!B113&gt;0,' Accting USE Data Entry Form'!B113,"")</f>
        <v/>
      </c>
      <c r="H111" s="239"/>
      <c r="I111" s="239"/>
      <c r="J111" s="239"/>
      <c r="K111" s="239"/>
      <c r="L111" s="239"/>
    </row>
    <row r="112" spans="1:12" x14ac:dyDescent="0.2">
      <c r="A112" s="84">
        <v>105</v>
      </c>
      <c r="C112" s="85">
        <f>IF(' Accting USE Data Entry Form'!U114&gt;0,' Accting USE Data Entry Form'!U114,0)</f>
        <v>0</v>
      </c>
      <c r="D112" s="44"/>
      <c r="E112" s="77" t="str">
        <f t="shared" si="0"/>
        <v xml:space="preserve"> </v>
      </c>
      <c r="G112" s="239" t="str">
        <f>IF(' Accting USE Data Entry Form'!B114&gt;0,' Accting USE Data Entry Form'!B114,"")</f>
        <v/>
      </c>
      <c r="H112" s="239"/>
      <c r="I112" s="239"/>
      <c r="J112" s="239"/>
      <c r="K112" s="239"/>
      <c r="L112" s="239"/>
    </row>
    <row r="113" spans="1:12" x14ac:dyDescent="0.2">
      <c r="A113" s="84">
        <v>106</v>
      </c>
      <c r="C113" s="85">
        <f>IF(' Accting USE Data Entry Form'!U115&gt;0,' Accting USE Data Entry Form'!U115,0)</f>
        <v>0</v>
      </c>
      <c r="D113" s="44"/>
      <c r="E113" s="77" t="str">
        <f t="shared" si="0"/>
        <v xml:space="preserve"> </v>
      </c>
      <c r="G113" s="239" t="str">
        <f>IF(' Accting USE Data Entry Form'!B115&gt;0,' Accting USE Data Entry Form'!B115,"")</f>
        <v/>
      </c>
      <c r="H113" s="239"/>
      <c r="I113" s="239"/>
      <c r="J113" s="239"/>
      <c r="K113" s="239"/>
      <c r="L113" s="239"/>
    </row>
    <row r="114" spans="1:12" ht="12" customHeight="1" x14ac:dyDescent="0.2">
      <c r="C114" s="4"/>
      <c r="E114" s="4"/>
      <c r="G114" s="239"/>
      <c r="H114" s="239"/>
      <c r="I114" s="239"/>
      <c r="J114" s="239"/>
      <c r="K114" s="239"/>
      <c r="L114" s="239"/>
    </row>
    <row r="115" spans="1:12" ht="12" customHeight="1" x14ac:dyDescent="0.2">
      <c r="A115" s="3" t="s">
        <v>18</v>
      </c>
      <c r="C115" s="39"/>
      <c r="D115" s="5"/>
      <c r="E115" s="39"/>
      <c r="F115" s="5"/>
      <c r="G115" s="5"/>
      <c r="H115" s="1"/>
      <c r="I115" s="1"/>
      <c r="J115" s="16"/>
      <c r="K115" s="1"/>
      <c r="L115" s="1"/>
    </row>
    <row r="116" spans="1:12" ht="23.25" customHeight="1" x14ac:dyDescent="0.2">
      <c r="F116" s="248" t="s">
        <v>19</v>
      </c>
      <c r="G116" s="249"/>
      <c r="H116" s="249"/>
      <c r="I116" s="249"/>
      <c r="J116" s="249"/>
      <c r="K116" s="14"/>
      <c r="L116" s="14" t="s">
        <v>3</v>
      </c>
    </row>
    <row r="117" spans="1:12" x14ac:dyDescent="0.2">
      <c r="A117" s="3" t="s">
        <v>17</v>
      </c>
      <c r="F117" s="5"/>
      <c r="G117" s="5"/>
      <c r="H117" s="245" t="s">
        <v>42</v>
      </c>
      <c r="I117" s="246"/>
      <c r="J117" s="246"/>
      <c r="K117" s="1"/>
      <c r="L117" s="46">
        <f>K5</f>
        <v>43100</v>
      </c>
    </row>
    <row r="118" spans="1:12" ht="23.25" customHeight="1" x14ac:dyDescent="0.2">
      <c r="F118" s="5"/>
      <c r="G118" s="5"/>
      <c r="H118" s="5"/>
      <c r="I118" s="5"/>
      <c r="J118" s="15" t="s">
        <v>20</v>
      </c>
      <c r="K118" s="14"/>
      <c r="L118" s="14" t="s">
        <v>3</v>
      </c>
    </row>
    <row r="119" spans="1:12" ht="15.75" customHeight="1" x14ac:dyDescent="0.2">
      <c r="A119" s="3"/>
      <c r="F119" s="5"/>
      <c r="G119" s="5"/>
      <c r="H119" s="5"/>
      <c r="I119" s="5"/>
      <c r="J119" s="15"/>
      <c r="K119" s="14"/>
      <c r="L119" s="14"/>
    </row>
    <row r="120" spans="1:12" ht="23.25" customHeight="1" x14ac:dyDescent="0.2">
      <c r="F120" s="5"/>
      <c r="G120" s="5"/>
      <c r="H120" s="5"/>
      <c r="I120" s="5"/>
      <c r="J120" s="15"/>
      <c r="K120" s="14"/>
    </row>
    <row r="121" spans="1:12" ht="15.75" customHeight="1" x14ac:dyDescent="0.2">
      <c r="A121" s="26" t="s">
        <v>15</v>
      </c>
      <c r="B121" s="26"/>
      <c r="C121" s="40"/>
      <c r="D121" s="26"/>
      <c r="E121" s="40"/>
      <c r="F121" s="27"/>
      <c r="G121" s="27"/>
      <c r="H121" s="27"/>
      <c r="I121" s="27"/>
      <c r="J121" s="28"/>
      <c r="K121" s="29"/>
      <c r="L121" s="26"/>
    </row>
    <row r="122" spans="1:12" ht="27.75" customHeight="1" x14ac:dyDescent="0.2">
      <c r="A122" s="18"/>
      <c r="B122" s="18"/>
      <c r="C122" s="41"/>
      <c r="D122" s="18"/>
      <c r="E122" s="41"/>
      <c r="F122" s="19"/>
      <c r="G122" s="19"/>
      <c r="H122" s="19"/>
      <c r="I122" s="19"/>
      <c r="J122" s="20"/>
      <c r="K122" s="21"/>
      <c r="L122" s="18"/>
    </row>
    <row r="123" spans="1:12" x14ac:dyDescent="0.2">
      <c r="A123" s="22" t="s">
        <v>14</v>
      </c>
      <c r="B123" s="18"/>
      <c r="C123" s="41"/>
      <c r="D123" s="18"/>
      <c r="E123" s="41"/>
      <c r="F123" s="19"/>
      <c r="G123" s="19"/>
      <c r="H123" s="19"/>
      <c r="I123" s="23"/>
      <c r="J123" s="24"/>
      <c r="K123" s="23"/>
      <c r="L123" s="23"/>
    </row>
    <row r="124" spans="1:12" ht="23.25" customHeight="1" x14ac:dyDescent="0.2">
      <c r="A124" s="18"/>
      <c r="B124" s="18"/>
      <c r="C124" s="41"/>
      <c r="D124" s="18"/>
      <c r="E124" s="41"/>
      <c r="F124" s="19"/>
      <c r="G124" s="19"/>
      <c r="H124" s="19"/>
      <c r="I124" s="19"/>
      <c r="J124" s="20"/>
      <c r="K124" s="21" t="s">
        <v>3</v>
      </c>
      <c r="L124" s="18"/>
    </row>
    <row r="125" spans="1:12" x14ac:dyDescent="0.2">
      <c r="A125" s="22" t="s">
        <v>13</v>
      </c>
      <c r="B125" s="18"/>
      <c r="C125" s="41"/>
      <c r="D125" s="18"/>
      <c r="E125" s="41"/>
      <c r="F125" s="19"/>
      <c r="G125" s="25"/>
      <c r="H125" s="23"/>
      <c r="I125" s="23"/>
      <c r="J125" s="24"/>
      <c r="K125" s="23"/>
      <c r="L125" s="23"/>
    </row>
    <row r="126" spans="1:12" ht="16.5" customHeight="1" x14ac:dyDescent="0.2">
      <c r="A126" s="18"/>
      <c r="B126" s="18"/>
      <c r="C126" s="41"/>
      <c r="D126" s="18"/>
      <c r="E126" s="41"/>
      <c r="F126" s="18"/>
      <c r="G126" s="18"/>
      <c r="H126" s="18"/>
      <c r="I126" s="18"/>
      <c r="J126" s="21"/>
      <c r="K126" s="21" t="s">
        <v>3</v>
      </c>
      <c r="L126" s="18"/>
    </row>
    <row r="127" spans="1:12" x14ac:dyDescent="0.2">
      <c r="A127" s="18"/>
      <c r="B127" s="18"/>
      <c r="C127" s="41"/>
      <c r="D127" s="18"/>
      <c r="E127" s="41"/>
      <c r="F127" s="18"/>
      <c r="G127" s="18"/>
      <c r="H127" s="18"/>
      <c r="I127" s="18"/>
      <c r="J127" s="18"/>
      <c r="K127" s="18"/>
      <c r="L127" s="18"/>
    </row>
  </sheetData>
  <sheetProtection selectLockedCells="1"/>
  <mergeCells count="116">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88:L88"/>
    <mergeCell ref="G89:L89"/>
    <mergeCell ref="G90:L90"/>
    <mergeCell ref="G91:L91"/>
    <mergeCell ref="G82:L82"/>
    <mergeCell ref="G83:L83"/>
    <mergeCell ref="G84:L84"/>
    <mergeCell ref="G85:L85"/>
    <mergeCell ref="G86:L86"/>
    <mergeCell ref="G97:L97"/>
    <mergeCell ref="G98:L98"/>
    <mergeCell ref="G99:L99"/>
    <mergeCell ref="G100:L100"/>
    <mergeCell ref="G101:L101"/>
    <mergeCell ref="G92:L92"/>
    <mergeCell ref="G93:L93"/>
    <mergeCell ref="G94:L94"/>
    <mergeCell ref="G95:L95"/>
    <mergeCell ref="G96:L96"/>
    <mergeCell ref="G114:L114"/>
    <mergeCell ref="G107:L107"/>
    <mergeCell ref="G108:L108"/>
    <mergeCell ref="G109:L109"/>
    <mergeCell ref="G110:L110"/>
    <mergeCell ref="G111:L111"/>
    <mergeCell ref="G102:L102"/>
    <mergeCell ref="G103:L103"/>
    <mergeCell ref="G104:L104"/>
    <mergeCell ref="G105:L105"/>
    <mergeCell ref="G106:L106"/>
  </mergeCells>
  <phoneticPr fontId="7" type="noConversion"/>
  <conditionalFormatting sqref="E8:E50 E52:E113">
    <cfRule type="expression" dxfId="144" priority="5">
      <formula>$L$4="no"</formula>
    </cfRule>
  </conditionalFormatting>
  <conditionalFormatting sqref="C8:C113">
    <cfRule type="expression" dxfId="143" priority="3">
      <formula>$L$4="yes"</formula>
    </cfRule>
  </conditionalFormatting>
  <conditionalFormatting sqref="E51">
    <cfRule type="expression" dxfId="142"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ignoredErrors>
    <ignoredError sqref="G8:L53 C4:C5 L117 C8 G54:L5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250"/>
      <c r="B1" s="250"/>
      <c r="C1" s="250"/>
      <c r="D1" s="250"/>
      <c r="E1" s="250"/>
      <c r="F1" s="250"/>
      <c r="G1" s="250"/>
      <c r="H1" s="250"/>
    </row>
    <row r="2" spans="1:11" ht="15.75" x14ac:dyDescent="0.25">
      <c r="A2" s="251" t="s">
        <v>4</v>
      </c>
      <c r="B2" s="251"/>
      <c r="C2" s="251"/>
      <c r="D2" s="251"/>
      <c r="E2" s="251"/>
      <c r="F2" s="251"/>
      <c r="G2" s="251"/>
      <c r="H2" s="251"/>
      <c r="I2" s="251"/>
      <c r="J2" s="251"/>
    </row>
    <row r="3" spans="1:11" ht="15.75" x14ac:dyDescent="0.25">
      <c r="A3" s="251" t="s">
        <v>22</v>
      </c>
      <c r="B3" s="251"/>
      <c r="C3" s="251"/>
      <c r="D3" s="251"/>
      <c r="E3" s="251"/>
      <c r="F3" s="251"/>
      <c r="G3" s="251"/>
      <c r="H3" s="251"/>
      <c r="I3" s="251"/>
      <c r="J3" s="251"/>
    </row>
    <row r="4" spans="1:11" ht="15.75" x14ac:dyDescent="0.25">
      <c r="A4" s="251" t="s">
        <v>32</v>
      </c>
      <c r="B4" s="251"/>
      <c r="C4" s="251"/>
      <c r="D4" s="251"/>
      <c r="E4" s="251"/>
      <c r="F4" s="251"/>
      <c r="G4" s="251"/>
      <c r="H4" s="251"/>
      <c r="I4" s="251"/>
      <c r="J4" s="251"/>
    </row>
    <row r="6" spans="1:11" ht="30.75" customHeight="1" x14ac:dyDescent="0.2">
      <c r="A6" s="252" t="s">
        <v>25</v>
      </c>
      <c r="B6" s="253"/>
      <c r="C6" s="253"/>
      <c r="D6" s="253"/>
      <c r="E6" s="253"/>
      <c r="F6" s="253"/>
      <c r="G6" s="253"/>
      <c r="H6" s="253"/>
      <c r="I6" s="253"/>
      <c r="J6" s="253"/>
    </row>
    <row r="7" spans="1:11" ht="19.5" customHeight="1" x14ac:dyDescent="0.2"/>
    <row r="8" spans="1:11" ht="16.5" customHeight="1" x14ac:dyDescent="0.2">
      <c r="A8" s="32" t="s">
        <v>23</v>
      </c>
      <c r="B8" s="31"/>
      <c r="C8" s="31"/>
      <c r="D8" s="31"/>
      <c r="E8" s="31"/>
      <c r="F8" s="31"/>
      <c r="G8" s="31"/>
      <c r="H8" s="31"/>
    </row>
    <row r="9" spans="1:11" ht="19.5" customHeight="1" x14ac:dyDescent="0.2"/>
    <row r="10" spans="1:11" ht="30.75" customHeight="1" x14ac:dyDescent="0.2">
      <c r="A10" s="252" t="s">
        <v>24</v>
      </c>
      <c r="B10" s="253"/>
      <c r="C10" s="253"/>
      <c r="D10" s="253"/>
      <c r="E10" s="253"/>
      <c r="F10" s="253"/>
      <c r="G10" s="253"/>
      <c r="H10" s="253"/>
      <c r="I10" s="253"/>
      <c r="J10" s="253"/>
    </row>
    <row r="11" spans="1:11" ht="65.25" customHeight="1" x14ac:dyDescent="0.2">
      <c r="B11" s="252" t="s">
        <v>34</v>
      </c>
      <c r="C11" s="253"/>
      <c r="D11" s="253"/>
      <c r="E11" s="253"/>
      <c r="F11" s="253"/>
      <c r="G11" s="253"/>
      <c r="H11" s="253"/>
      <c r="I11" s="253"/>
      <c r="J11" s="34"/>
      <c r="K11" s="34"/>
    </row>
    <row r="12" spans="1:11" ht="19.5" customHeight="1" x14ac:dyDescent="0.2">
      <c r="A12" s="2"/>
      <c r="B12" s="2"/>
      <c r="C12" s="2"/>
      <c r="D12" s="2"/>
      <c r="E12" s="2"/>
      <c r="F12" s="2"/>
      <c r="G12" s="2"/>
      <c r="H12" s="2"/>
    </row>
    <row r="13" spans="1:11" ht="43.5" customHeight="1" x14ac:dyDescent="0.2">
      <c r="A13" s="252" t="s">
        <v>31</v>
      </c>
      <c r="B13" s="252"/>
      <c r="C13" s="252"/>
      <c r="D13" s="252"/>
      <c r="E13" s="252"/>
      <c r="F13" s="252"/>
      <c r="G13" s="252"/>
      <c r="H13" s="252"/>
      <c r="I13" s="252"/>
      <c r="J13" s="252"/>
    </row>
    <row r="14" spans="1:11" ht="19.5" customHeight="1" x14ac:dyDescent="0.2">
      <c r="A14" s="2"/>
      <c r="B14" s="2"/>
      <c r="C14" s="2"/>
      <c r="D14" s="2"/>
      <c r="E14" s="2"/>
      <c r="F14" s="2"/>
      <c r="G14" s="2"/>
      <c r="H14" s="2"/>
    </row>
    <row r="15" spans="1:11" ht="54.75" customHeight="1" x14ac:dyDescent="0.2">
      <c r="A15" s="252" t="s">
        <v>26</v>
      </c>
      <c r="B15" s="255"/>
      <c r="C15" s="255"/>
      <c r="D15" s="255"/>
      <c r="E15" s="255"/>
      <c r="F15" s="255"/>
      <c r="G15" s="255"/>
      <c r="H15" s="255"/>
      <c r="I15" s="255"/>
      <c r="J15" s="255"/>
    </row>
    <row r="16" spans="1:11" ht="19.5" customHeight="1" x14ac:dyDescent="0.2"/>
    <row r="17" spans="1:10" ht="39" customHeight="1" x14ac:dyDescent="0.2">
      <c r="A17" s="254" t="s">
        <v>27</v>
      </c>
      <c r="B17" s="256"/>
      <c r="C17" s="256"/>
      <c r="D17" s="256"/>
      <c r="E17" s="256"/>
      <c r="F17" s="256"/>
      <c r="G17" s="256"/>
      <c r="H17" s="256"/>
      <c r="I17" s="256"/>
      <c r="J17" s="256"/>
    </row>
    <row r="18" spans="1:10" ht="19.5" customHeight="1" x14ac:dyDescent="0.2"/>
    <row r="19" spans="1:10" ht="56.25" customHeight="1" x14ac:dyDescent="0.2">
      <c r="A19" s="254" t="s">
        <v>28</v>
      </c>
      <c r="B19" s="256"/>
      <c r="C19" s="256"/>
      <c r="D19" s="256"/>
      <c r="E19" s="256"/>
      <c r="F19" s="256"/>
      <c r="G19" s="256"/>
      <c r="H19" s="256"/>
      <c r="I19" s="256"/>
      <c r="J19" s="256"/>
    </row>
    <row r="20" spans="1:10" ht="20.25" customHeight="1" x14ac:dyDescent="0.2"/>
    <row r="21" spans="1:10" ht="27.75" customHeight="1" x14ac:dyDescent="0.2">
      <c r="A21" s="254" t="s">
        <v>11</v>
      </c>
      <c r="B21" s="254"/>
      <c r="C21" s="254"/>
      <c r="D21" s="254"/>
      <c r="E21" s="254"/>
      <c r="F21" s="254"/>
      <c r="G21" s="254"/>
      <c r="H21" s="254"/>
      <c r="I21" s="254"/>
      <c r="J21" s="254"/>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fitToPage="1"/>
  </sheetPr>
  <dimension ref="A1:Z102"/>
  <sheetViews>
    <sheetView showGridLines="0" zoomScale="85" zoomScaleNormal="85" workbookViewId="0">
      <pane xSplit="2" ySplit="9" topLeftCell="J85" activePane="bottomRight" state="frozen"/>
      <selection activeCell="O5" sqref="O5"/>
      <selection pane="topRight" activeCell="O5" sqref="O5"/>
      <selection pane="bottomLeft" activeCell="O5" sqref="O5"/>
      <selection pane="bottomRight" activeCell="Y98" sqref="Y98"/>
    </sheetView>
  </sheetViews>
  <sheetFormatPr defaultColWidth="29.5703125" defaultRowHeight="12.75" outlineLevelCol="1" x14ac:dyDescent="0.2"/>
  <cols>
    <col min="1" max="1" width="14.42578125" style="56" customWidth="1"/>
    <col min="2" max="2" width="60.5703125" style="49" customWidth="1"/>
    <col min="3" max="3" width="4.85546875" style="49" customWidth="1"/>
    <col min="4" max="4" width="17.5703125" style="49" customWidth="1"/>
    <col min="5" max="5" width="13.5703125" style="49" customWidth="1"/>
    <col min="6" max="6" width="12.5703125" style="49" customWidth="1" outlineLevel="1"/>
    <col min="7" max="7" width="15.42578125" style="49" customWidth="1" outlineLevel="1"/>
    <col min="8" max="8" width="12.5703125" style="49" customWidth="1" outlineLevel="1"/>
    <col min="9" max="9" width="12.5703125" style="83" customWidth="1" outlineLevel="1"/>
    <col min="10" max="10" width="13.28515625" style="49" customWidth="1" outlineLevel="1"/>
    <col min="11" max="11" width="13.7109375" style="49" customWidth="1" outlineLevel="1"/>
    <col min="12" max="12" width="16.7109375" style="49" customWidth="1" outlineLevel="1"/>
    <col min="13" max="17" width="12.5703125" style="49" customWidth="1" outlineLevel="1"/>
    <col min="18" max="18" width="14" style="89" bestFit="1" customWidth="1" outlineLevel="1"/>
    <col min="19" max="19" width="13" style="89" customWidth="1" outlineLevel="1"/>
    <col min="20" max="20" width="14.5703125" style="49" customWidth="1"/>
    <col min="21" max="21" width="11.5703125" style="89" customWidth="1"/>
    <col min="22" max="25" width="11.5703125" style="87" customWidth="1"/>
    <col min="26" max="16384" width="29.5703125" style="49"/>
  </cols>
  <sheetData>
    <row r="1" spans="1:26" ht="20.25" x14ac:dyDescent="0.3">
      <c r="A1" s="155" t="s">
        <v>467</v>
      </c>
      <c r="B1" s="158" t="s">
        <v>43</v>
      </c>
      <c r="C1" s="152"/>
      <c r="D1" s="154"/>
      <c r="E1" s="153"/>
      <c r="F1" s="152"/>
      <c r="G1" s="152"/>
      <c r="H1" s="152"/>
      <c r="I1" s="152"/>
      <c r="J1" s="152"/>
      <c r="K1" s="152"/>
      <c r="L1" s="152"/>
      <c r="M1" s="152"/>
      <c r="N1" s="152"/>
      <c r="O1" s="152"/>
      <c r="P1" s="152"/>
      <c r="Q1" s="152"/>
      <c r="R1" s="152"/>
      <c r="S1" s="152"/>
      <c r="T1" s="152" t="s">
        <v>470</v>
      </c>
      <c r="U1" s="152"/>
      <c r="V1" s="152"/>
      <c r="X1" s="49"/>
      <c r="Y1" s="152"/>
    </row>
    <row r="2" spans="1:26" x14ac:dyDescent="0.2">
      <c r="A2" s="156" t="s">
        <v>468</v>
      </c>
      <c r="B2" s="159" t="s">
        <v>38</v>
      </c>
      <c r="C2" s="52"/>
      <c r="D2" s="52"/>
      <c r="E2" s="52"/>
      <c r="F2" s="52"/>
      <c r="G2" s="52"/>
      <c r="H2" s="52"/>
      <c r="I2" s="52"/>
      <c r="J2" s="52"/>
      <c r="K2" s="52"/>
      <c r="L2" s="52"/>
      <c r="M2" s="52"/>
      <c r="N2" s="52"/>
      <c r="O2" s="52"/>
      <c r="P2" s="52"/>
      <c r="Q2" s="52"/>
      <c r="R2" s="52"/>
      <c r="S2" s="52"/>
      <c r="T2" s="52"/>
      <c r="U2" s="52"/>
      <c r="V2" s="52"/>
      <c r="W2" s="52"/>
      <c r="X2" s="52"/>
      <c r="Y2" s="52"/>
    </row>
    <row r="3" spans="1:26" ht="15" x14ac:dyDescent="0.25">
      <c r="A3" s="157" t="s">
        <v>29</v>
      </c>
      <c r="B3" s="160" t="s">
        <v>44</v>
      </c>
      <c r="C3" s="158"/>
      <c r="D3" s="161"/>
      <c r="E3" s="161"/>
      <c r="F3" s="161"/>
      <c r="I3" s="49"/>
    </row>
    <row r="4" spans="1:26" ht="15" customHeight="1" x14ac:dyDescent="0.2">
      <c r="A4" s="165" t="s">
        <v>469</v>
      </c>
      <c r="B4" s="166">
        <v>43008</v>
      </c>
      <c r="C4" s="159"/>
      <c r="D4" s="162"/>
      <c r="E4" s="162"/>
      <c r="F4" s="51"/>
      <c r="G4" s="88"/>
      <c r="H4" s="88"/>
      <c r="I4" s="88"/>
      <c r="J4" s="88"/>
      <c r="K4" s="88"/>
      <c r="L4" s="88"/>
      <c r="M4" s="88"/>
      <c r="N4" s="88"/>
      <c r="O4" s="88"/>
      <c r="P4" s="88"/>
      <c r="Q4" s="88"/>
      <c r="R4" s="88"/>
      <c r="S4" s="88"/>
      <c r="T4" s="87"/>
    </row>
    <row r="5" spans="1:26" hidden="1" x14ac:dyDescent="0.2">
      <c r="A5" s="49"/>
      <c r="C5" s="160"/>
      <c r="D5" s="163"/>
      <c r="E5" s="54"/>
      <c r="F5" s="54"/>
      <c r="G5" s="87"/>
      <c r="H5" s="87"/>
      <c r="I5" s="87"/>
      <c r="J5" s="87"/>
      <c r="K5" s="87"/>
      <c r="L5" s="87"/>
      <c r="M5" s="87"/>
      <c r="N5" s="87"/>
      <c r="O5" s="87"/>
      <c r="P5" s="87"/>
      <c r="Q5" s="87"/>
      <c r="R5" s="55"/>
      <c r="S5" s="55"/>
      <c r="T5" s="87"/>
      <c r="V5" s="54"/>
      <c r="X5" s="55"/>
    </row>
    <row r="6" spans="1:26" ht="13.15" hidden="1" customHeight="1" x14ac:dyDescent="0.2">
      <c r="A6" s="49"/>
      <c r="C6" s="50"/>
      <c r="D6" s="164"/>
      <c r="E6" s="164"/>
      <c r="F6" s="54"/>
      <c r="G6" s="87"/>
      <c r="H6" s="87"/>
      <c r="I6" s="50"/>
      <c r="J6" s="50"/>
      <c r="K6" s="50"/>
      <c r="L6" s="50"/>
      <c r="M6" s="50"/>
      <c r="N6" s="50"/>
      <c r="O6" s="50"/>
      <c r="P6" s="50"/>
      <c r="Q6" s="50"/>
      <c r="R6" s="50"/>
      <c r="S6" s="50"/>
      <c r="T6" s="87"/>
      <c r="W6" s="45"/>
      <c r="X6" s="54"/>
    </row>
    <row r="7" spans="1:26" hidden="1" x14ac:dyDescent="0.2">
      <c r="C7" s="51"/>
      <c r="D7" s="51"/>
      <c r="E7" s="51"/>
      <c r="F7" s="87"/>
      <c r="G7" s="87"/>
      <c r="H7" s="87"/>
      <c r="I7" s="50"/>
      <c r="J7" s="50"/>
      <c r="K7" s="50"/>
      <c r="L7" s="50"/>
      <c r="M7" s="50"/>
      <c r="N7" s="50"/>
      <c r="O7" s="50"/>
      <c r="P7" s="50"/>
      <c r="Q7" s="50"/>
      <c r="R7" s="50"/>
      <c r="S7" s="50"/>
      <c r="T7" s="53"/>
      <c r="W7" s="54"/>
      <c r="X7" s="59"/>
    </row>
    <row r="8" spans="1:26" ht="2.4500000000000002" customHeight="1" x14ac:dyDescent="0.2">
      <c r="B8" s="51"/>
      <c r="C8" s="51"/>
      <c r="D8" s="51"/>
      <c r="E8" s="51"/>
      <c r="F8" s="87"/>
      <c r="G8" s="87"/>
      <c r="H8" s="87"/>
      <c r="I8" s="50"/>
      <c r="J8" s="50"/>
      <c r="K8" s="50"/>
      <c r="L8" s="50"/>
      <c r="M8" s="50"/>
      <c r="N8" s="50"/>
      <c r="O8" s="50"/>
      <c r="P8" s="50"/>
      <c r="Q8" s="50"/>
      <c r="R8" s="50"/>
      <c r="S8" s="50"/>
      <c r="T8" s="53"/>
      <c r="U8" s="75"/>
      <c r="X8" s="57"/>
    </row>
    <row r="9" spans="1:26" s="58" customFormat="1" ht="44.45" customHeight="1" x14ac:dyDescent="0.2">
      <c r="A9" s="197" t="s">
        <v>1</v>
      </c>
      <c r="B9" s="167" t="s">
        <v>36</v>
      </c>
      <c r="C9" s="167" t="s">
        <v>490</v>
      </c>
      <c r="D9" s="167" t="s">
        <v>471</v>
      </c>
      <c r="E9" s="167" t="s">
        <v>183</v>
      </c>
      <c r="F9" s="168" t="s">
        <v>482</v>
      </c>
      <c r="G9" s="168" t="s">
        <v>483</v>
      </c>
      <c r="H9" s="168" t="s">
        <v>484</v>
      </c>
      <c r="I9" s="168" t="s">
        <v>444</v>
      </c>
      <c r="J9" s="168" t="s">
        <v>445</v>
      </c>
      <c r="K9" s="168" t="s">
        <v>446</v>
      </c>
      <c r="L9" s="168" t="s">
        <v>447</v>
      </c>
      <c r="M9" s="168" t="s">
        <v>448</v>
      </c>
      <c r="N9" s="168" t="s">
        <v>449</v>
      </c>
      <c r="O9" s="168" t="s">
        <v>450</v>
      </c>
      <c r="P9" s="168" t="s">
        <v>451</v>
      </c>
      <c r="Q9" s="168" t="s">
        <v>452</v>
      </c>
      <c r="R9" s="168" t="s">
        <v>453</v>
      </c>
      <c r="S9" s="168" t="s">
        <v>454</v>
      </c>
      <c r="T9" s="167" t="s">
        <v>472</v>
      </c>
      <c r="U9" s="167" t="s">
        <v>5</v>
      </c>
      <c r="V9" s="167" t="s">
        <v>6</v>
      </c>
      <c r="W9" s="167" t="s">
        <v>9</v>
      </c>
      <c r="X9" s="167" t="s">
        <v>7</v>
      </c>
      <c r="Y9" s="167" t="s">
        <v>8</v>
      </c>
      <c r="Z9" s="169" t="s">
        <v>173</v>
      </c>
    </row>
    <row r="10" spans="1:26" ht="14.45" customHeight="1" x14ac:dyDescent="0.2">
      <c r="A10" s="198">
        <v>1</v>
      </c>
      <c r="B10" s="170" t="s">
        <v>37</v>
      </c>
      <c r="C10" s="170">
        <f>A10</f>
        <v>1</v>
      </c>
      <c r="D10" s="171">
        <v>157470</v>
      </c>
      <c r="E10" s="172">
        <v>1</v>
      </c>
      <c r="F10" s="173"/>
      <c r="G10" s="172"/>
      <c r="H10" s="174"/>
      <c r="I10" s="174"/>
      <c r="J10" s="174"/>
      <c r="K10" s="174"/>
      <c r="L10" s="175"/>
      <c r="M10" s="175"/>
      <c r="N10" s="175"/>
      <c r="O10" s="175"/>
      <c r="P10" s="175"/>
      <c r="Q10" s="175">
        <f>AccrualSummary[[#This Row],[PO Line Beg Bal]]-AccrualSummary[[#This Row],[Prev Vouchered Amount]]</f>
        <v>0</v>
      </c>
      <c r="R10" s="174"/>
      <c r="S10" s="174"/>
      <c r="T10" s="176">
        <v>42248</v>
      </c>
      <c r="U10" s="172">
        <f t="shared" ref="U10:U41" si="0">IF(E10&lt;1,SUM(F10:S10)/D10+E10,1)</f>
        <v>1</v>
      </c>
      <c r="V10" s="177">
        <f>U10*D10</f>
        <v>157470</v>
      </c>
      <c r="W10" s="177">
        <f>D10-X10</f>
        <v>0</v>
      </c>
      <c r="X10" s="177">
        <f>SUMIF(Invoices!$D$2:$D$83,$B10,Invoices!$E$2:$E$83)</f>
        <v>157470</v>
      </c>
      <c r="Y10" s="177">
        <f>D10-W10-X10</f>
        <v>0</v>
      </c>
      <c r="Z10" s="178"/>
    </row>
    <row r="11" spans="1:26" ht="14.45" customHeight="1" x14ac:dyDescent="0.2">
      <c r="A11" s="198">
        <v>2</v>
      </c>
      <c r="B11" s="170" t="s">
        <v>35</v>
      </c>
      <c r="C11" s="170">
        <f t="shared" ref="C11:C59" si="1">A11</f>
        <v>2</v>
      </c>
      <c r="D11" s="171">
        <v>157470</v>
      </c>
      <c r="E11" s="172">
        <v>1</v>
      </c>
      <c r="F11" s="173"/>
      <c r="G11" s="172"/>
      <c r="H11" s="174"/>
      <c r="I11" s="174"/>
      <c r="J11" s="174"/>
      <c r="K11" s="174"/>
      <c r="L11" s="175"/>
      <c r="M11" s="175"/>
      <c r="N11" s="175"/>
      <c r="O11" s="175"/>
      <c r="P11" s="175"/>
      <c r="Q11" s="175">
        <f>AccrualSummary[[#This Row],[PO Line Beg Bal]]-AccrualSummary[[#This Row],[Prev Vouchered Amount]]</f>
        <v>0</v>
      </c>
      <c r="R11" s="174"/>
      <c r="S11" s="174"/>
      <c r="T11" s="176">
        <v>42309</v>
      </c>
      <c r="U11" s="172">
        <f t="shared" si="0"/>
        <v>1</v>
      </c>
      <c r="V11" s="177">
        <f t="shared" ref="V11:V74" si="2">U11*D11</f>
        <v>157470</v>
      </c>
      <c r="W11" s="177">
        <f t="shared" ref="W11:W74" si="3">D11-X11</f>
        <v>0</v>
      </c>
      <c r="X11" s="177">
        <f>SUMIF(Invoices!$D$2:$D$83,$B11,Invoices!$E$2:$E$83)</f>
        <v>157470</v>
      </c>
      <c r="Y11" s="177">
        <f t="shared" ref="Y11:Y74" si="4">D11-W11-X11</f>
        <v>0</v>
      </c>
      <c r="Z11" s="178"/>
    </row>
    <row r="12" spans="1:26" ht="14.45" customHeight="1" x14ac:dyDescent="0.2">
      <c r="A12" s="198">
        <v>3</v>
      </c>
      <c r="B12" s="170" t="s">
        <v>40</v>
      </c>
      <c r="C12" s="170">
        <f t="shared" si="1"/>
        <v>3</v>
      </c>
      <c r="D12" s="171">
        <v>104980</v>
      </c>
      <c r="E12" s="172">
        <v>1</v>
      </c>
      <c r="F12" s="173"/>
      <c r="G12" s="172"/>
      <c r="H12" s="174"/>
      <c r="I12" s="174"/>
      <c r="J12" s="174"/>
      <c r="K12" s="174"/>
      <c r="L12" s="175"/>
      <c r="M12" s="175"/>
      <c r="N12" s="175"/>
      <c r="O12" s="175"/>
      <c r="P12" s="175"/>
      <c r="Q12" s="175">
        <f>AccrualSummary[[#This Row],[PO Line Beg Bal]]-AccrualSummary[[#This Row],[Prev Vouchered Amount]]</f>
        <v>0</v>
      </c>
      <c r="R12" s="174"/>
      <c r="S12" s="174"/>
      <c r="T12" s="176">
        <v>42339</v>
      </c>
      <c r="U12" s="172">
        <f t="shared" si="0"/>
        <v>1</v>
      </c>
      <c r="V12" s="177">
        <f t="shared" si="2"/>
        <v>104980</v>
      </c>
      <c r="W12" s="177">
        <f t="shared" si="3"/>
        <v>0</v>
      </c>
      <c r="X12" s="177">
        <f>SUMIF(Invoices!$D$2:$D$83,$B12,Invoices!$E$2:$E$83)</f>
        <v>104980</v>
      </c>
      <c r="Y12" s="177">
        <f t="shared" si="4"/>
        <v>0</v>
      </c>
      <c r="Z12" s="178"/>
    </row>
    <row r="13" spans="1:26" ht="14.45" customHeight="1" x14ac:dyDescent="0.2">
      <c r="A13" s="198">
        <v>4</v>
      </c>
      <c r="B13" s="170" t="s">
        <v>41</v>
      </c>
      <c r="C13" s="170">
        <f t="shared" si="1"/>
        <v>4</v>
      </c>
      <c r="D13" s="171">
        <v>104980</v>
      </c>
      <c r="E13" s="172">
        <v>1</v>
      </c>
      <c r="F13" s="173"/>
      <c r="G13" s="172"/>
      <c r="H13" s="174"/>
      <c r="I13" s="174"/>
      <c r="J13" s="174"/>
      <c r="K13" s="174"/>
      <c r="L13" s="175"/>
      <c r="M13" s="175"/>
      <c r="N13" s="175"/>
      <c r="O13" s="175"/>
      <c r="P13" s="175"/>
      <c r="Q13" s="175">
        <f>AccrualSummary[[#This Row],[PO Line Beg Bal]]-AccrualSummary[[#This Row],[Prev Vouchered Amount]]</f>
        <v>0</v>
      </c>
      <c r="R13" s="174"/>
      <c r="S13" s="174"/>
      <c r="T13" s="176">
        <f>T10+180</f>
        <v>42428</v>
      </c>
      <c r="U13" s="172">
        <f t="shared" si="0"/>
        <v>1</v>
      </c>
      <c r="V13" s="177">
        <f t="shared" si="2"/>
        <v>104980</v>
      </c>
      <c r="W13" s="177">
        <f t="shared" si="3"/>
        <v>0</v>
      </c>
      <c r="X13" s="177">
        <f>SUMIF(Invoices!$D$2:$D$83,$B13,Invoices!$E$2:$E$83)</f>
        <v>104980</v>
      </c>
      <c r="Y13" s="177">
        <f t="shared" si="4"/>
        <v>0</v>
      </c>
      <c r="Z13" s="178"/>
    </row>
    <row r="14" spans="1:26" ht="14.45" customHeight="1" x14ac:dyDescent="0.2">
      <c r="A14" s="198">
        <v>5</v>
      </c>
      <c r="B14" s="170" t="s">
        <v>84</v>
      </c>
      <c r="C14" s="170">
        <f t="shared" si="1"/>
        <v>5</v>
      </c>
      <c r="D14" s="171">
        <v>317520</v>
      </c>
      <c r="E14" s="172">
        <v>1</v>
      </c>
      <c r="F14" s="173"/>
      <c r="G14" s="172"/>
      <c r="H14" s="174"/>
      <c r="I14" s="174"/>
      <c r="J14" s="174"/>
      <c r="K14" s="174"/>
      <c r="L14" s="175"/>
      <c r="M14" s="175"/>
      <c r="N14" s="175"/>
      <c r="O14" s="175"/>
      <c r="P14" s="175"/>
      <c r="Q14" s="175">
        <f>AccrualSummary[[#This Row],[PO Line Beg Bal]]-AccrualSummary[[#This Row],[Prev Vouchered Amount]]</f>
        <v>0</v>
      </c>
      <c r="R14" s="174"/>
      <c r="S14" s="174"/>
      <c r="T14" s="176">
        <v>42342</v>
      </c>
      <c r="U14" s="172">
        <f t="shared" si="0"/>
        <v>1</v>
      </c>
      <c r="V14" s="177">
        <f t="shared" si="2"/>
        <v>317520</v>
      </c>
      <c r="W14" s="177">
        <f t="shared" si="3"/>
        <v>0</v>
      </c>
      <c r="X14" s="177">
        <f>SUMIF(Invoices!$D$2:$D$83,$B14,Invoices!$E$2:$E$83)</f>
        <v>317520</v>
      </c>
      <c r="Y14" s="177">
        <f t="shared" si="4"/>
        <v>0</v>
      </c>
      <c r="Z14" s="178"/>
    </row>
    <row r="15" spans="1:26" ht="14.45" customHeight="1" x14ac:dyDescent="0.2">
      <c r="A15" s="198">
        <v>6</v>
      </c>
      <c r="B15" s="170" t="s">
        <v>85</v>
      </c>
      <c r="C15" s="170">
        <f t="shared" si="1"/>
        <v>6</v>
      </c>
      <c r="D15" s="171">
        <v>423360</v>
      </c>
      <c r="E15" s="172">
        <v>1</v>
      </c>
      <c r="F15" s="173"/>
      <c r="G15" s="172"/>
      <c r="H15" s="174"/>
      <c r="I15" s="174"/>
      <c r="J15" s="174"/>
      <c r="K15" s="174"/>
      <c r="L15" s="175"/>
      <c r="M15" s="175"/>
      <c r="N15" s="175"/>
      <c r="O15" s="175"/>
      <c r="P15" s="175"/>
      <c r="Q15" s="175">
        <f>AccrualSummary[[#This Row],[PO Line Beg Bal]]-AccrualSummary[[#This Row],[Prev Vouchered Amount]]</f>
        <v>0</v>
      </c>
      <c r="R15" s="174"/>
      <c r="S15" s="174"/>
      <c r="T15" s="176">
        <v>42349</v>
      </c>
      <c r="U15" s="172">
        <f t="shared" si="0"/>
        <v>1</v>
      </c>
      <c r="V15" s="177">
        <f t="shared" si="2"/>
        <v>423360</v>
      </c>
      <c r="W15" s="177">
        <f t="shared" si="3"/>
        <v>0</v>
      </c>
      <c r="X15" s="177">
        <f>SUMIF(Invoices!$D$2:$D$83,$B15,Invoices!$E$2:$E$83)</f>
        <v>423360</v>
      </c>
      <c r="Y15" s="177">
        <f t="shared" si="4"/>
        <v>0</v>
      </c>
      <c r="Z15" s="178"/>
    </row>
    <row r="16" spans="1:26" ht="14.45" customHeight="1" x14ac:dyDescent="0.2">
      <c r="A16" s="198">
        <v>7</v>
      </c>
      <c r="B16" s="179" t="s">
        <v>86</v>
      </c>
      <c r="C16" s="170">
        <f t="shared" si="1"/>
        <v>7</v>
      </c>
      <c r="D16" s="171">
        <v>1607500</v>
      </c>
      <c r="E16" s="172">
        <v>1</v>
      </c>
      <c r="F16" s="173"/>
      <c r="G16" s="172"/>
      <c r="H16" s="174"/>
      <c r="I16" s="174"/>
      <c r="J16" s="174"/>
      <c r="K16" s="174"/>
      <c r="L16" s="175"/>
      <c r="M16" s="175"/>
      <c r="N16" s="175"/>
      <c r="O16" s="175"/>
      <c r="P16" s="175"/>
      <c r="Q16" s="175">
        <f>AccrualSummary[[#This Row],[PO Line Beg Bal]]-AccrualSummary[[#This Row],[Prev Vouchered Amount]]</f>
        <v>0</v>
      </c>
      <c r="R16" s="174"/>
      <c r="S16" s="174"/>
      <c r="T16" s="176">
        <v>42356</v>
      </c>
      <c r="U16" s="172">
        <f t="shared" si="0"/>
        <v>1</v>
      </c>
      <c r="V16" s="177">
        <f t="shared" si="2"/>
        <v>1607500</v>
      </c>
      <c r="W16" s="177">
        <f t="shared" si="3"/>
        <v>0</v>
      </c>
      <c r="X16" s="177">
        <f>SUMIF(Invoices!$D$2:$D$83,$B16,Invoices!$E$2:$E$83)</f>
        <v>1607500</v>
      </c>
      <c r="Y16" s="177">
        <f t="shared" si="4"/>
        <v>0</v>
      </c>
      <c r="Z16" s="178"/>
    </row>
    <row r="17" spans="1:26" ht="14.45" customHeight="1" x14ac:dyDescent="0.2">
      <c r="A17" s="198">
        <v>8</v>
      </c>
      <c r="B17" s="179" t="s">
        <v>45</v>
      </c>
      <c r="C17" s="170">
        <f t="shared" si="1"/>
        <v>8</v>
      </c>
      <c r="D17" s="180">
        <v>1446750</v>
      </c>
      <c r="E17" s="172">
        <v>1</v>
      </c>
      <c r="F17" s="181"/>
      <c r="G17" s="172"/>
      <c r="H17" s="174"/>
      <c r="I17" s="174"/>
      <c r="J17" s="174"/>
      <c r="K17" s="174"/>
      <c r="L17" s="175"/>
      <c r="M17" s="175"/>
      <c r="N17" s="175"/>
      <c r="O17" s="175"/>
      <c r="P17" s="175"/>
      <c r="Q17" s="175">
        <f>AccrualSummary[[#This Row],[PO Line Beg Bal]]-AccrualSummary[[#This Row],[Prev Vouchered Amount]]</f>
        <v>0</v>
      </c>
      <c r="R17" s="175"/>
      <c r="S17" s="175"/>
      <c r="T17" s="176">
        <v>42460</v>
      </c>
      <c r="U17" s="172">
        <f t="shared" si="0"/>
        <v>1</v>
      </c>
      <c r="V17" s="177">
        <f t="shared" si="2"/>
        <v>1446750</v>
      </c>
      <c r="W17" s="177">
        <f t="shared" si="3"/>
        <v>0</v>
      </c>
      <c r="X17" s="177">
        <f>SUMIF(Invoices!$D$2:$D$83,$B17,Invoices!$E$2:$E$83)</f>
        <v>1446750</v>
      </c>
      <c r="Y17" s="177">
        <f t="shared" si="4"/>
        <v>0</v>
      </c>
      <c r="Z17" s="178"/>
    </row>
    <row r="18" spans="1:26" ht="14.45" customHeight="1" x14ac:dyDescent="0.2">
      <c r="A18" s="198">
        <v>9</v>
      </c>
      <c r="B18" s="179" t="s">
        <v>46</v>
      </c>
      <c r="C18" s="170">
        <f t="shared" si="1"/>
        <v>9</v>
      </c>
      <c r="D18" s="180">
        <v>317520</v>
      </c>
      <c r="E18" s="172">
        <v>1</v>
      </c>
      <c r="F18" s="181"/>
      <c r="G18" s="172"/>
      <c r="H18" s="174"/>
      <c r="I18" s="174"/>
      <c r="J18" s="174"/>
      <c r="K18" s="174"/>
      <c r="L18" s="175"/>
      <c r="M18" s="175"/>
      <c r="N18" s="175"/>
      <c r="O18" s="175"/>
      <c r="P18" s="175"/>
      <c r="Q18" s="175">
        <f>AccrualSummary[[#This Row],[PO Line Beg Bal]]-AccrualSummary[[#This Row],[Prev Vouchered Amount]]</f>
        <v>0</v>
      </c>
      <c r="R18" s="175"/>
      <c r="S18" s="175"/>
      <c r="T18" s="176">
        <v>42607</v>
      </c>
      <c r="U18" s="172">
        <f t="shared" si="0"/>
        <v>1</v>
      </c>
      <c r="V18" s="177">
        <f t="shared" si="2"/>
        <v>317520</v>
      </c>
      <c r="W18" s="177">
        <f t="shared" si="3"/>
        <v>0</v>
      </c>
      <c r="X18" s="177">
        <f>SUMIF(Invoices!$D$2:$D$83,$B18,Invoices!$E$2:$E$83)</f>
        <v>317520</v>
      </c>
      <c r="Y18" s="177">
        <f t="shared" si="4"/>
        <v>0</v>
      </c>
      <c r="Z18" s="178"/>
    </row>
    <row r="19" spans="1:26" ht="14.45" customHeight="1" x14ac:dyDescent="0.2">
      <c r="A19" s="198">
        <v>10</v>
      </c>
      <c r="B19" s="179" t="s">
        <v>47</v>
      </c>
      <c r="C19" s="170">
        <f t="shared" si="1"/>
        <v>10</v>
      </c>
      <c r="D19" s="180">
        <v>160750</v>
      </c>
      <c r="E19" s="172">
        <v>1</v>
      </c>
      <c r="F19" s="181"/>
      <c r="G19" s="172"/>
      <c r="H19" s="174"/>
      <c r="I19" s="174"/>
      <c r="J19" s="174"/>
      <c r="K19" s="174"/>
      <c r="L19" s="175"/>
      <c r="M19" s="175"/>
      <c r="N19" s="175"/>
      <c r="O19" s="175"/>
      <c r="P19" s="175"/>
      <c r="Q19" s="175">
        <f>AccrualSummary[[#This Row],[PO Line Beg Bal]]-AccrualSummary[[#This Row],[Prev Vouchered Amount]]</f>
        <v>0</v>
      </c>
      <c r="R19" s="175"/>
      <c r="S19" s="175"/>
      <c r="T19" s="176">
        <v>42719</v>
      </c>
      <c r="U19" s="172">
        <f t="shared" si="0"/>
        <v>1</v>
      </c>
      <c r="V19" s="177">
        <f t="shared" si="2"/>
        <v>160750</v>
      </c>
      <c r="W19" s="177">
        <f t="shared" si="3"/>
        <v>0</v>
      </c>
      <c r="X19" s="177">
        <f>SUMIF(Invoices!$D$2:$D$83,$B19,Invoices!$E$2:$E$83)</f>
        <v>160750</v>
      </c>
      <c r="Y19" s="177">
        <f t="shared" si="4"/>
        <v>0</v>
      </c>
      <c r="Z19" s="178"/>
    </row>
    <row r="20" spans="1:26" ht="14.45" customHeight="1" x14ac:dyDescent="0.2">
      <c r="A20" s="198">
        <v>11</v>
      </c>
      <c r="B20" s="179" t="s">
        <v>48</v>
      </c>
      <c r="C20" s="170">
        <f t="shared" si="1"/>
        <v>11</v>
      </c>
      <c r="D20" s="180">
        <v>160750</v>
      </c>
      <c r="E20" s="172">
        <v>1</v>
      </c>
      <c r="F20" s="181"/>
      <c r="G20" s="172"/>
      <c r="H20" s="174"/>
      <c r="I20" s="174"/>
      <c r="J20" s="174"/>
      <c r="K20" s="174"/>
      <c r="L20" s="175"/>
      <c r="M20" s="175"/>
      <c r="N20" s="175"/>
      <c r="O20" s="175"/>
      <c r="P20" s="175"/>
      <c r="Q20" s="175">
        <f>AccrualSummary[[#This Row],[PO Line Beg Bal]]-AccrualSummary[[#This Row],[Prev Vouchered Amount]]</f>
        <v>0</v>
      </c>
      <c r="R20" s="175"/>
      <c r="S20" s="175"/>
      <c r="T20" s="176">
        <v>42738</v>
      </c>
      <c r="U20" s="172">
        <f t="shared" si="0"/>
        <v>1</v>
      </c>
      <c r="V20" s="177">
        <f t="shared" si="2"/>
        <v>160750</v>
      </c>
      <c r="W20" s="177">
        <f t="shared" si="3"/>
        <v>0</v>
      </c>
      <c r="X20" s="177">
        <f>SUMIF(Invoices!$D$2:$D$83,$B20,Invoices!$E$2:$E$83)</f>
        <v>160750</v>
      </c>
      <c r="Y20" s="177">
        <f t="shared" si="4"/>
        <v>0</v>
      </c>
      <c r="Z20" s="178"/>
    </row>
    <row r="21" spans="1:26" ht="14.45" customHeight="1" x14ac:dyDescent="0.2">
      <c r="A21" s="198">
        <v>12</v>
      </c>
      <c r="B21" s="179" t="s">
        <v>49</v>
      </c>
      <c r="C21" s="170">
        <f t="shared" si="1"/>
        <v>12</v>
      </c>
      <c r="D21" s="180">
        <v>160750</v>
      </c>
      <c r="E21" s="172">
        <v>1</v>
      </c>
      <c r="F21" s="181"/>
      <c r="G21" s="172"/>
      <c r="H21" s="174"/>
      <c r="I21" s="174"/>
      <c r="J21" s="174"/>
      <c r="K21" s="174"/>
      <c r="L21" s="175"/>
      <c r="M21" s="175"/>
      <c r="N21" s="175"/>
      <c r="O21" s="175"/>
      <c r="P21" s="175"/>
      <c r="Q21" s="175">
        <f>AccrualSummary[[#This Row],[PO Line Beg Bal]]-AccrualSummary[[#This Row],[Prev Vouchered Amount]]</f>
        <v>0</v>
      </c>
      <c r="R21" s="175"/>
      <c r="S21" s="175"/>
      <c r="T21" s="176">
        <v>42746</v>
      </c>
      <c r="U21" s="172">
        <f t="shared" si="0"/>
        <v>1</v>
      </c>
      <c r="V21" s="177">
        <f t="shared" si="2"/>
        <v>160750</v>
      </c>
      <c r="W21" s="177">
        <f t="shared" si="3"/>
        <v>0</v>
      </c>
      <c r="X21" s="177">
        <f>SUMIF(Invoices!$D$2:$D$83,$B21,Invoices!$E$2:$E$83)</f>
        <v>160750</v>
      </c>
      <c r="Y21" s="177">
        <f t="shared" si="4"/>
        <v>0</v>
      </c>
      <c r="Z21" s="178"/>
    </row>
    <row r="22" spans="1:26" ht="14.45" customHeight="1" x14ac:dyDescent="0.2">
      <c r="A22" s="198">
        <v>13</v>
      </c>
      <c r="B22" s="179" t="s">
        <v>50</v>
      </c>
      <c r="C22" s="170">
        <f t="shared" si="1"/>
        <v>13</v>
      </c>
      <c r="D22" s="180">
        <v>160750</v>
      </c>
      <c r="E22" s="172"/>
      <c r="F22" s="181">
        <v>160750</v>
      </c>
      <c r="G22" s="172"/>
      <c r="H22" s="174"/>
      <c r="I22" s="174"/>
      <c r="J22" s="174"/>
      <c r="K22" s="174"/>
      <c r="L22" s="175"/>
      <c r="M22" s="175"/>
      <c r="N22" s="175"/>
      <c r="O22" s="175"/>
      <c r="P22" s="175"/>
      <c r="Q22" s="175">
        <f>AccrualSummary[[#This Row],[PO Line Beg Bal]]-AccrualSummary[[#This Row],[Prev Vouchered Amount]]</f>
        <v>0</v>
      </c>
      <c r="R22" s="175"/>
      <c r="S22" s="175"/>
      <c r="T22" s="176">
        <v>42754</v>
      </c>
      <c r="U22" s="172">
        <f t="shared" si="0"/>
        <v>1</v>
      </c>
      <c r="V22" s="177">
        <f t="shared" si="2"/>
        <v>160750</v>
      </c>
      <c r="W22" s="177">
        <f t="shared" si="3"/>
        <v>0</v>
      </c>
      <c r="X22" s="177">
        <f>SUMIF(Invoices!$D$2:$D$83,$B22,Invoices!$E$2:$E$83)</f>
        <v>160750</v>
      </c>
      <c r="Y22" s="177">
        <f t="shared" si="4"/>
        <v>0</v>
      </c>
      <c r="Z22" s="178"/>
    </row>
    <row r="23" spans="1:26" ht="14.45" customHeight="1" x14ac:dyDescent="0.2">
      <c r="A23" s="198">
        <v>14</v>
      </c>
      <c r="B23" s="179" t="s">
        <v>51</v>
      </c>
      <c r="C23" s="170">
        <f t="shared" si="1"/>
        <v>14</v>
      </c>
      <c r="D23" s="180">
        <v>160750</v>
      </c>
      <c r="E23" s="172"/>
      <c r="F23" s="181"/>
      <c r="G23" s="174">
        <v>160750</v>
      </c>
      <c r="H23" s="174"/>
      <c r="I23" s="174"/>
      <c r="J23" s="174"/>
      <c r="K23" s="174"/>
      <c r="L23" s="175"/>
      <c r="M23" s="175"/>
      <c r="N23" s="175"/>
      <c r="O23" s="175"/>
      <c r="P23" s="175"/>
      <c r="Q23" s="175">
        <f>AccrualSummary[[#This Row],[PO Line Beg Bal]]-AccrualSummary[[#This Row],[Prev Vouchered Amount]]</f>
        <v>0</v>
      </c>
      <c r="R23" s="175"/>
      <c r="S23" s="175"/>
      <c r="T23" s="176">
        <v>42762</v>
      </c>
      <c r="U23" s="172">
        <f t="shared" si="0"/>
        <v>1</v>
      </c>
      <c r="V23" s="177">
        <f t="shared" si="2"/>
        <v>160750</v>
      </c>
      <c r="W23" s="177">
        <f t="shared" si="3"/>
        <v>0</v>
      </c>
      <c r="X23" s="177">
        <f>SUMIF(Invoices!$D$2:$D$83,$B23,Invoices!$E$2:$E$83)</f>
        <v>160750</v>
      </c>
      <c r="Y23" s="177">
        <f t="shared" si="4"/>
        <v>0</v>
      </c>
      <c r="Z23" s="178"/>
    </row>
    <row r="24" spans="1:26" ht="14.45" customHeight="1" x14ac:dyDescent="0.2">
      <c r="A24" s="198">
        <v>15</v>
      </c>
      <c r="B24" s="179" t="s">
        <v>52</v>
      </c>
      <c r="C24" s="170">
        <f t="shared" si="1"/>
        <v>15</v>
      </c>
      <c r="D24" s="180">
        <v>160750</v>
      </c>
      <c r="E24" s="172"/>
      <c r="F24" s="181"/>
      <c r="G24" s="174">
        <v>160750</v>
      </c>
      <c r="H24" s="174"/>
      <c r="I24" s="174"/>
      <c r="J24" s="174"/>
      <c r="K24" s="174"/>
      <c r="L24" s="175"/>
      <c r="M24" s="175"/>
      <c r="N24" s="175"/>
      <c r="O24" s="175"/>
      <c r="P24" s="175"/>
      <c r="Q24" s="175">
        <f>AccrualSummary[[#This Row],[PO Line Beg Bal]]-AccrualSummary[[#This Row],[Prev Vouchered Amount]]</f>
        <v>0</v>
      </c>
      <c r="R24" s="175"/>
      <c r="S24" s="175"/>
      <c r="T24" s="176">
        <v>42772</v>
      </c>
      <c r="U24" s="172">
        <f t="shared" si="0"/>
        <v>1</v>
      </c>
      <c r="V24" s="177">
        <f t="shared" si="2"/>
        <v>160750</v>
      </c>
      <c r="W24" s="177">
        <f t="shared" si="3"/>
        <v>0</v>
      </c>
      <c r="X24" s="177">
        <f>SUMIF(Invoices!$D$2:$D$83,$B24,Invoices!$E$2:$E$83)</f>
        <v>160750</v>
      </c>
      <c r="Y24" s="177">
        <f t="shared" si="4"/>
        <v>0</v>
      </c>
      <c r="Z24" s="178"/>
    </row>
    <row r="25" spans="1:26" ht="14.45" customHeight="1" x14ac:dyDescent="0.2">
      <c r="A25" s="198">
        <v>16</v>
      </c>
      <c r="B25" s="179" t="s">
        <v>53</v>
      </c>
      <c r="C25" s="170">
        <f t="shared" si="1"/>
        <v>16</v>
      </c>
      <c r="D25" s="180">
        <v>160750</v>
      </c>
      <c r="E25" s="172"/>
      <c r="F25" s="181"/>
      <c r="G25" s="174">
        <v>160750</v>
      </c>
      <c r="H25" s="174"/>
      <c r="I25" s="174"/>
      <c r="J25" s="174"/>
      <c r="K25" s="174"/>
      <c r="L25" s="175"/>
      <c r="M25" s="175"/>
      <c r="N25" s="175"/>
      <c r="O25" s="175"/>
      <c r="P25" s="175"/>
      <c r="Q25" s="175">
        <f>AccrualSummary[[#This Row],[PO Line Beg Bal]]-AccrualSummary[[#This Row],[Prev Vouchered Amount]]</f>
        <v>0</v>
      </c>
      <c r="R25" s="175"/>
      <c r="S25" s="175"/>
      <c r="T25" s="176">
        <v>42780</v>
      </c>
      <c r="U25" s="172">
        <f t="shared" si="0"/>
        <v>1</v>
      </c>
      <c r="V25" s="177">
        <f t="shared" si="2"/>
        <v>160750</v>
      </c>
      <c r="W25" s="177">
        <f t="shared" si="3"/>
        <v>0</v>
      </c>
      <c r="X25" s="177">
        <f>SUMIF(Invoices!$D$2:$D$83,$B25,Invoices!$E$2:$E$83)</f>
        <v>160750</v>
      </c>
      <c r="Y25" s="177">
        <f t="shared" si="4"/>
        <v>0</v>
      </c>
      <c r="Z25" s="178"/>
    </row>
    <row r="26" spans="1:26" ht="14.45" customHeight="1" x14ac:dyDescent="0.2">
      <c r="A26" s="198">
        <v>17</v>
      </c>
      <c r="B26" s="179" t="s">
        <v>54</v>
      </c>
      <c r="C26" s="170">
        <f t="shared" si="1"/>
        <v>17</v>
      </c>
      <c r="D26" s="180">
        <v>160750</v>
      </c>
      <c r="E26" s="172"/>
      <c r="F26" s="181"/>
      <c r="G26" s="174">
        <v>160750</v>
      </c>
      <c r="H26" s="174"/>
      <c r="I26" s="174"/>
      <c r="J26" s="174"/>
      <c r="K26" s="174"/>
      <c r="L26" s="175"/>
      <c r="M26" s="175"/>
      <c r="N26" s="175"/>
      <c r="O26" s="175"/>
      <c r="P26" s="175"/>
      <c r="Q26" s="175">
        <f>AccrualSummary[[#This Row],[PO Line Beg Bal]]-AccrualSummary[[#This Row],[Prev Vouchered Amount]]</f>
        <v>0</v>
      </c>
      <c r="R26" s="175"/>
      <c r="S26" s="175"/>
      <c r="T26" s="176">
        <v>42788</v>
      </c>
      <c r="U26" s="172">
        <f t="shared" si="0"/>
        <v>1</v>
      </c>
      <c r="V26" s="177">
        <f t="shared" si="2"/>
        <v>160750</v>
      </c>
      <c r="W26" s="177">
        <f t="shared" si="3"/>
        <v>0</v>
      </c>
      <c r="X26" s="177">
        <f>SUMIF(Invoices!$D$2:$D$83,$B26,Invoices!$E$2:$E$83)</f>
        <v>160750</v>
      </c>
      <c r="Y26" s="177">
        <f t="shared" si="4"/>
        <v>0</v>
      </c>
      <c r="Z26" s="178"/>
    </row>
    <row r="27" spans="1:26" ht="14.45" customHeight="1" x14ac:dyDescent="0.2">
      <c r="A27" s="198">
        <v>18</v>
      </c>
      <c r="B27" s="179" t="s">
        <v>55</v>
      </c>
      <c r="C27" s="170">
        <f t="shared" si="1"/>
        <v>18</v>
      </c>
      <c r="D27" s="180">
        <v>160750</v>
      </c>
      <c r="E27" s="172"/>
      <c r="F27" s="181"/>
      <c r="G27" s="174">
        <v>160750</v>
      </c>
      <c r="H27" s="174"/>
      <c r="I27" s="174"/>
      <c r="J27" s="174"/>
      <c r="K27" s="174"/>
      <c r="L27" s="175"/>
      <c r="M27" s="175"/>
      <c r="N27" s="175"/>
      <c r="O27" s="175"/>
      <c r="P27" s="175"/>
      <c r="Q27" s="175">
        <f>AccrualSummary[[#This Row],[PO Line Beg Bal]]-AccrualSummary[[#This Row],[Prev Vouchered Amount]]</f>
        <v>0</v>
      </c>
      <c r="R27" s="175"/>
      <c r="S27" s="175"/>
      <c r="T27" s="176">
        <v>42796</v>
      </c>
      <c r="U27" s="172">
        <f t="shared" si="0"/>
        <v>1</v>
      </c>
      <c r="V27" s="177">
        <f t="shared" si="2"/>
        <v>160750</v>
      </c>
      <c r="W27" s="177">
        <f t="shared" si="3"/>
        <v>0</v>
      </c>
      <c r="X27" s="177">
        <f>SUMIF(Invoices!$D$2:$D$83,$B27,Invoices!$E$2:$E$83)</f>
        <v>160750</v>
      </c>
      <c r="Y27" s="177">
        <f t="shared" si="4"/>
        <v>0</v>
      </c>
      <c r="Z27" s="178"/>
    </row>
    <row r="28" spans="1:26" ht="14.45" customHeight="1" x14ac:dyDescent="0.2">
      <c r="A28" s="198">
        <v>19</v>
      </c>
      <c r="B28" s="179" t="s">
        <v>56</v>
      </c>
      <c r="C28" s="170">
        <f t="shared" si="1"/>
        <v>19</v>
      </c>
      <c r="D28" s="180">
        <v>160750</v>
      </c>
      <c r="E28" s="172">
        <v>1</v>
      </c>
      <c r="F28" s="181"/>
      <c r="G28" s="174"/>
      <c r="H28" s="174"/>
      <c r="I28" s="174">
        <v>160750</v>
      </c>
      <c r="J28" s="174"/>
      <c r="K28" s="174"/>
      <c r="L28" s="175"/>
      <c r="M28" s="175"/>
      <c r="N28" s="175"/>
      <c r="O28" s="175"/>
      <c r="P28" s="175"/>
      <c r="Q28" s="175">
        <f>AccrualSummary[[#This Row],[PO Line Beg Bal]]-AccrualSummary[[#This Row],[Prev Vouchered Amount]]</f>
        <v>0</v>
      </c>
      <c r="R28" s="175"/>
      <c r="S28" s="175"/>
      <c r="T28" s="176">
        <v>42804</v>
      </c>
      <c r="U28" s="172">
        <f t="shared" si="0"/>
        <v>1</v>
      </c>
      <c r="V28" s="177">
        <f t="shared" si="2"/>
        <v>160750</v>
      </c>
      <c r="W28" s="177">
        <f t="shared" si="3"/>
        <v>0</v>
      </c>
      <c r="X28" s="177">
        <f>SUMIF(Invoices!$D$2:$D$83,$B28,Invoices!$E$2:$E$83)</f>
        <v>160750</v>
      </c>
      <c r="Y28" s="177">
        <f t="shared" si="4"/>
        <v>0</v>
      </c>
      <c r="Z28" s="178"/>
    </row>
    <row r="29" spans="1:26" ht="14.45" customHeight="1" x14ac:dyDescent="0.2">
      <c r="A29" s="198">
        <v>20</v>
      </c>
      <c r="B29" s="179" t="s">
        <v>57</v>
      </c>
      <c r="C29" s="170">
        <f t="shared" si="1"/>
        <v>20</v>
      </c>
      <c r="D29" s="180">
        <v>160750</v>
      </c>
      <c r="E29" s="172">
        <v>1</v>
      </c>
      <c r="F29" s="181"/>
      <c r="G29" s="174"/>
      <c r="H29" s="174"/>
      <c r="I29" s="174">
        <v>160750</v>
      </c>
      <c r="J29" s="174"/>
      <c r="K29" s="174"/>
      <c r="L29" s="175"/>
      <c r="M29" s="175"/>
      <c r="N29" s="175"/>
      <c r="O29" s="175"/>
      <c r="P29" s="175"/>
      <c r="Q29" s="175">
        <f>AccrualSummary[[#This Row],[PO Line Beg Bal]]-AccrualSummary[[#This Row],[Prev Vouchered Amount]]</f>
        <v>0</v>
      </c>
      <c r="R29" s="175"/>
      <c r="S29" s="175"/>
      <c r="T29" s="176">
        <v>42814</v>
      </c>
      <c r="U29" s="172">
        <f t="shared" si="0"/>
        <v>1</v>
      </c>
      <c r="V29" s="177">
        <f t="shared" si="2"/>
        <v>160750</v>
      </c>
      <c r="W29" s="177">
        <f t="shared" si="3"/>
        <v>0</v>
      </c>
      <c r="X29" s="177">
        <f>SUMIF(Invoices!$D$2:$D$83,$B29,Invoices!$E$2:$E$83)</f>
        <v>160750</v>
      </c>
      <c r="Y29" s="177">
        <f t="shared" si="4"/>
        <v>0</v>
      </c>
      <c r="Z29" s="178"/>
    </row>
    <row r="30" spans="1:26" ht="14.45" customHeight="1" x14ac:dyDescent="0.2">
      <c r="A30" s="198">
        <v>21</v>
      </c>
      <c r="B30" s="179" t="s">
        <v>456</v>
      </c>
      <c r="C30" s="170">
        <f t="shared" si="1"/>
        <v>21</v>
      </c>
      <c r="D30" s="180">
        <v>90800</v>
      </c>
      <c r="E30" s="172">
        <v>1</v>
      </c>
      <c r="F30" s="181"/>
      <c r="G30" s="174"/>
      <c r="H30" s="174"/>
      <c r="I30" s="174"/>
      <c r="J30" s="174"/>
      <c r="K30" s="174"/>
      <c r="L30" s="175"/>
      <c r="M30" s="175"/>
      <c r="N30" s="175"/>
      <c r="O30" s="175"/>
      <c r="P30" s="175"/>
      <c r="Q30" s="175">
        <f>AccrualSummary[[#This Row],[PO Line Beg Bal]]-AccrualSummary[[#This Row],[Prev Vouchered Amount]]</f>
        <v>0</v>
      </c>
      <c r="R30" s="175"/>
      <c r="S30" s="175"/>
      <c r="T30" s="176">
        <v>42478</v>
      </c>
      <c r="U30" s="172">
        <f t="shared" si="0"/>
        <v>1</v>
      </c>
      <c r="V30" s="177">
        <f t="shared" si="2"/>
        <v>90800</v>
      </c>
      <c r="W30" s="177">
        <f t="shared" si="3"/>
        <v>0</v>
      </c>
      <c r="X30" s="177">
        <f>SUMIF(Invoices!$D$2:$D$83,$B30,Invoices!$E$2:$E$83)</f>
        <v>90800</v>
      </c>
      <c r="Y30" s="177">
        <f t="shared" si="4"/>
        <v>0</v>
      </c>
      <c r="Z30" s="178"/>
    </row>
    <row r="31" spans="1:26" ht="14.45" customHeight="1" x14ac:dyDescent="0.2">
      <c r="A31" s="198">
        <v>22</v>
      </c>
      <c r="B31" s="179" t="s">
        <v>457</v>
      </c>
      <c r="C31" s="170">
        <f t="shared" si="1"/>
        <v>22</v>
      </c>
      <c r="D31" s="180">
        <v>49696</v>
      </c>
      <c r="E31" s="172">
        <v>0.55300000000000005</v>
      </c>
      <c r="F31" s="181"/>
      <c r="G31" s="174">
        <v>7554.66</v>
      </c>
      <c r="H31" s="174"/>
      <c r="I31" s="174"/>
      <c r="J31" s="174"/>
      <c r="K31" s="174"/>
      <c r="L31" s="175"/>
      <c r="M31" s="175"/>
      <c r="N31" s="175"/>
      <c r="O31" s="229">
        <v>12375</v>
      </c>
      <c r="P31" s="229">
        <v>7552.23</v>
      </c>
      <c r="Q31" s="175">
        <v>0</v>
      </c>
      <c r="R31" s="175"/>
      <c r="S31" s="175"/>
      <c r="T31" s="176">
        <v>42905</v>
      </c>
      <c r="U31" s="235">
        <v>0.55300000000000005</v>
      </c>
      <c r="V31" s="177">
        <f>U31*D31</f>
        <v>27481.888000000003</v>
      </c>
      <c r="W31" s="177">
        <f t="shared" si="3"/>
        <v>29766.34</v>
      </c>
      <c r="X31" s="177">
        <f>SUMIF(Invoices!$D$2:$D$83,$B31,Invoices!$E$2:$E$83)</f>
        <v>19929.66</v>
      </c>
      <c r="Y31" s="177">
        <f t="shared" si="4"/>
        <v>0</v>
      </c>
      <c r="Z31" s="178"/>
    </row>
    <row r="32" spans="1:26" ht="14.45" customHeight="1" x14ac:dyDescent="0.2">
      <c r="A32" s="198">
        <v>23</v>
      </c>
      <c r="B32" s="179" t="s">
        <v>458</v>
      </c>
      <c r="C32" s="170">
        <f t="shared" si="1"/>
        <v>23</v>
      </c>
      <c r="D32" s="228">
        <v>315800.81</v>
      </c>
      <c r="E32" s="172">
        <v>1</v>
      </c>
      <c r="F32" s="181"/>
      <c r="G32" s="174"/>
      <c r="H32" s="174"/>
      <c r="I32" s="174"/>
      <c r="J32" s="174"/>
      <c r="K32" s="174"/>
      <c r="L32" s="175"/>
      <c r="M32" s="175"/>
      <c r="N32" s="175"/>
      <c r="O32" s="175"/>
      <c r="P32" s="175"/>
      <c r="Q32" s="175">
        <v>8.8099999999976717</v>
      </c>
      <c r="R32" s="175"/>
      <c r="S32" s="175"/>
      <c r="T32" s="176">
        <v>42653</v>
      </c>
      <c r="U32" s="172">
        <f t="shared" si="0"/>
        <v>1</v>
      </c>
      <c r="V32" s="177">
        <f t="shared" si="2"/>
        <v>315800.81</v>
      </c>
      <c r="W32" s="177">
        <f t="shared" si="3"/>
        <v>8.8099999999976717</v>
      </c>
      <c r="X32" s="177">
        <f>SUMIF(Invoices!$D$2:$D$83,$B32,Invoices!$E$2:$E$83)</f>
        <v>315792</v>
      </c>
      <c r="Y32" s="177">
        <f t="shared" si="4"/>
        <v>0</v>
      </c>
      <c r="Z32" s="178" t="s">
        <v>88</v>
      </c>
    </row>
    <row r="33" spans="1:26" ht="14.45" customHeight="1" x14ac:dyDescent="0.2">
      <c r="A33" s="198">
        <v>24</v>
      </c>
      <c r="B33" s="179" t="s">
        <v>459</v>
      </c>
      <c r="C33" s="170">
        <f t="shared" si="1"/>
        <v>24</v>
      </c>
      <c r="D33" s="180">
        <v>246240</v>
      </c>
      <c r="E33" s="172">
        <v>0.99590000000000001</v>
      </c>
      <c r="F33" s="181">
        <v>23000</v>
      </c>
      <c r="G33" s="174">
        <v>101080</v>
      </c>
      <c r="H33" s="174"/>
      <c r="I33" s="174">
        <f>2270*8</f>
        <v>18160</v>
      </c>
      <c r="J33" s="174">
        <v>6000</v>
      </c>
      <c r="K33" s="174">
        <v>15000</v>
      </c>
      <c r="L33" s="184">
        <v>11000</v>
      </c>
      <c r="M33" s="175">
        <v>18000</v>
      </c>
      <c r="N33" s="175">
        <v>8000</v>
      </c>
      <c r="O33" s="175">
        <v>12000</v>
      </c>
      <c r="P33" s="175">
        <v>10000</v>
      </c>
      <c r="Q33" s="175">
        <f>AccrualSummary[[#This Row],[PO Line Beg Bal]]-AccrualSummary[[#This Row],[Prev Vouchered Amount]]+15.04</f>
        <v>23015.040000000001</v>
      </c>
      <c r="R33" s="175"/>
      <c r="S33" s="175"/>
      <c r="T33" s="176">
        <v>42933</v>
      </c>
      <c r="U33" s="235">
        <v>0.996</v>
      </c>
      <c r="V33" s="177">
        <f t="shared" si="2"/>
        <v>245255.04000000001</v>
      </c>
      <c r="W33" s="177">
        <f t="shared" si="3"/>
        <v>23000</v>
      </c>
      <c r="X33" s="177">
        <f>SUMIF(Invoices!$D$2:$D$83,$B33,Invoices!$E$2:$E$83)</f>
        <v>223240</v>
      </c>
      <c r="Y33" s="177">
        <f t="shared" si="4"/>
        <v>0</v>
      </c>
      <c r="Z33" s="178" t="s">
        <v>92</v>
      </c>
    </row>
    <row r="34" spans="1:26" ht="14.45" customHeight="1" x14ac:dyDescent="0.2">
      <c r="A34" s="198">
        <v>25</v>
      </c>
      <c r="B34" s="179" t="s">
        <v>460</v>
      </c>
      <c r="C34" s="170">
        <f t="shared" si="1"/>
        <v>25</v>
      </c>
      <c r="D34" s="180">
        <v>147200</v>
      </c>
      <c r="E34" s="172">
        <v>1</v>
      </c>
      <c r="F34" s="181">
        <v>9200</v>
      </c>
      <c r="G34" s="174">
        <v>9200</v>
      </c>
      <c r="H34" s="174">
        <v>9200</v>
      </c>
      <c r="I34" s="174">
        <v>9200</v>
      </c>
      <c r="J34" s="174">
        <v>9200</v>
      </c>
      <c r="K34" s="174">
        <v>9200</v>
      </c>
      <c r="L34" s="175">
        <v>9200</v>
      </c>
      <c r="M34" s="175">
        <v>9200</v>
      </c>
      <c r="N34" s="175">
        <v>9200</v>
      </c>
      <c r="O34" s="175">
        <v>9200</v>
      </c>
      <c r="P34" s="175">
        <v>18224.28</v>
      </c>
      <c r="Q34" s="175">
        <f>AccrualSummary[[#This Row],[PO Line Beg Bal]]-AccrualSummary[[#This Row],[Prev Vouchered Amount]]</f>
        <v>27600</v>
      </c>
      <c r="R34" s="175"/>
      <c r="S34" s="175"/>
      <c r="T34" s="176">
        <v>42933</v>
      </c>
      <c r="U34" s="172">
        <f t="shared" si="0"/>
        <v>1</v>
      </c>
      <c r="V34" s="177">
        <f t="shared" si="2"/>
        <v>147200</v>
      </c>
      <c r="W34" s="177">
        <f t="shared" si="3"/>
        <v>27600</v>
      </c>
      <c r="X34" s="177">
        <f>SUMIF(Invoices!$D$2:$D$83,$B34,Invoices!$E$2:$E$83)</f>
        <v>119600</v>
      </c>
      <c r="Y34" s="177">
        <f t="shared" si="4"/>
        <v>0</v>
      </c>
      <c r="Z34" s="178" t="s">
        <v>93</v>
      </c>
    </row>
    <row r="35" spans="1:26" ht="14.45" customHeight="1" x14ac:dyDescent="0.2">
      <c r="A35" s="198">
        <v>26</v>
      </c>
      <c r="B35" s="179" t="s">
        <v>58</v>
      </c>
      <c r="C35" s="170">
        <f t="shared" si="1"/>
        <v>26</v>
      </c>
      <c r="D35" s="180">
        <v>160750</v>
      </c>
      <c r="E35" s="172"/>
      <c r="F35" s="181"/>
      <c r="G35" s="174"/>
      <c r="H35" s="174"/>
      <c r="I35" s="174"/>
      <c r="J35" s="174">
        <v>160750</v>
      </c>
      <c r="K35" s="174"/>
      <c r="L35" s="175"/>
      <c r="M35" s="175"/>
      <c r="N35" s="175"/>
      <c r="O35" s="175"/>
      <c r="P35" s="175"/>
      <c r="Q35" s="175">
        <f>AccrualSummary[[#This Row],[PO Line Beg Bal]]-AccrualSummary[[#This Row],[Prev Vouchered Amount]]</f>
        <v>0</v>
      </c>
      <c r="R35" s="175"/>
      <c r="S35" s="175"/>
      <c r="T35" s="176">
        <v>42822</v>
      </c>
      <c r="U35" s="172">
        <f t="shared" si="0"/>
        <v>1</v>
      </c>
      <c r="V35" s="177">
        <f t="shared" si="2"/>
        <v>160750</v>
      </c>
      <c r="W35" s="177">
        <f t="shared" si="3"/>
        <v>0</v>
      </c>
      <c r="X35" s="177">
        <f>SUMIF(Invoices!$D$2:$D$83,$B35,Invoices!$E$2:$E$83)</f>
        <v>160750</v>
      </c>
      <c r="Y35" s="177">
        <f t="shared" si="4"/>
        <v>0</v>
      </c>
      <c r="Z35" s="178"/>
    </row>
    <row r="36" spans="1:26" ht="14.45" customHeight="1" x14ac:dyDescent="0.2">
      <c r="A36" s="198">
        <v>27</v>
      </c>
      <c r="B36" s="179" t="s">
        <v>59</v>
      </c>
      <c r="C36" s="170">
        <f t="shared" si="1"/>
        <v>27</v>
      </c>
      <c r="D36" s="180">
        <v>160750</v>
      </c>
      <c r="E36" s="172"/>
      <c r="F36" s="181"/>
      <c r="G36" s="174"/>
      <c r="H36" s="174"/>
      <c r="I36" s="174">
        <f>160750/2</f>
        <v>80375</v>
      </c>
      <c r="J36" s="174"/>
      <c r="K36" s="174">
        <v>80375</v>
      </c>
      <c r="L36" s="175"/>
      <c r="M36" s="175"/>
      <c r="N36" s="175"/>
      <c r="O36" s="175"/>
      <c r="P36" s="175"/>
      <c r="Q36" s="175">
        <f>AccrualSummary[[#This Row],[PO Line Beg Bal]]-AccrualSummary[[#This Row],[Prev Vouchered Amount]]</f>
        <v>0</v>
      </c>
      <c r="R36" s="175"/>
      <c r="S36" s="175"/>
      <c r="T36" s="176">
        <v>42830</v>
      </c>
      <c r="U36" s="172">
        <f t="shared" si="0"/>
        <v>1</v>
      </c>
      <c r="V36" s="177">
        <f t="shared" si="2"/>
        <v>160750</v>
      </c>
      <c r="W36" s="177">
        <f t="shared" si="3"/>
        <v>0</v>
      </c>
      <c r="X36" s="177">
        <f>SUMIF(Invoices!$D$2:$D$83,$B36,Invoices!$E$2:$E$83)</f>
        <v>160750</v>
      </c>
      <c r="Y36" s="177">
        <f t="shared" si="4"/>
        <v>0</v>
      </c>
      <c r="Z36" s="178"/>
    </row>
    <row r="37" spans="1:26" ht="14.45" customHeight="1" x14ac:dyDescent="0.2">
      <c r="A37" s="198">
        <v>28</v>
      </c>
      <c r="B37" s="179" t="s">
        <v>60</v>
      </c>
      <c r="C37" s="170">
        <f t="shared" si="1"/>
        <v>28</v>
      </c>
      <c r="D37" s="180">
        <v>160750</v>
      </c>
      <c r="E37" s="172"/>
      <c r="F37" s="181"/>
      <c r="G37" s="174"/>
      <c r="H37" s="174"/>
      <c r="I37" s="174">
        <f>160750/4</f>
        <v>40187.5</v>
      </c>
      <c r="J37" s="174">
        <v>120562.5</v>
      </c>
      <c r="K37" s="174"/>
      <c r="L37" s="175"/>
      <c r="M37" s="175"/>
      <c r="N37" s="175"/>
      <c r="O37" s="175"/>
      <c r="P37" s="175"/>
      <c r="Q37" s="175">
        <f>AccrualSummary[[#This Row],[PO Line Beg Bal]]-AccrualSummary[[#This Row],[Prev Vouchered Amount]]</f>
        <v>0</v>
      </c>
      <c r="R37" s="175"/>
      <c r="S37" s="175"/>
      <c r="T37" s="176">
        <v>42838</v>
      </c>
      <c r="U37" s="172">
        <f t="shared" si="0"/>
        <v>1</v>
      </c>
      <c r="V37" s="177">
        <f t="shared" si="2"/>
        <v>160750</v>
      </c>
      <c r="W37" s="177">
        <f t="shared" si="3"/>
        <v>0</v>
      </c>
      <c r="X37" s="177">
        <f>SUMIF(Invoices!$D$2:$D$83,$B37,Invoices!$E$2:$E$83)</f>
        <v>160750</v>
      </c>
      <c r="Y37" s="177">
        <f t="shared" si="4"/>
        <v>0</v>
      </c>
      <c r="Z37" s="178"/>
    </row>
    <row r="38" spans="1:26" ht="14.45" customHeight="1" x14ac:dyDescent="0.2">
      <c r="A38" s="198">
        <v>29</v>
      </c>
      <c r="B38" s="179" t="s">
        <v>61</v>
      </c>
      <c r="C38" s="170">
        <f t="shared" si="1"/>
        <v>29</v>
      </c>
      <c r="D38" s="180">
        <v>160750</v>
      </c>
      <c r="E38" s="172"/>
      <c r="F38" s="181"/>
      <c r="G38" s="174"/>
      <c r="H38" s="174"/>
      <c r="I38" s="174"/>
      <c r="J38" s="174"/>
      <c r="K38" s="174">
        <v>160750</v>
      </c>
      <c r="L38" s="175"/>
      <c r="M38" s="175"/>
      <c r="N38" s="175"/>
      <c r="O38" s="175"/>
      <c r="P38" s="175"/>
      <c r="Q38" s="175">
        <f>AccrualSummary[[#This Row],[PO Line Beg Bal]]-AccrualSummary[[#This Row],[Prev Vouchered Amount]]</f>
        <v>0</v>
      </c>
      <c r="R38" s="175"/>
      <c r="S38" s="175"/>
      <c r="T38" s="176">
        <v>42846</v>
      </c>
      <c r="U38" s="172">
        <f t="shared" si="0"/>
        <v>1</v>
      </c>
      <c r="V38" s="177">
        <f t="shared" si="2"/>
        <v>160750</v>
      </c>
      <c r="W38" s="177">
        <f t="shared" si="3"/>
        <v>0</v>
      </c>
      <c r="X38" s="177">
        <f>SUMIF(Invoices!$D$2:$D$83,$B38,Invoices!$E$2:$E$83)</f>
        <v>160750</v>
      </c>
      <c r="Y38" s="177">
        <f t="shared" si="4"/>
        <v>0</v>
      </c>
      <c r="Z38" s="178"/>
    </row>
    <row r="39" spans="1:26" ht="14.45" customHeight="1" x14ac:dyDescent="0.2">
      <c r="A39" s="198">
        <v>30</v>
      </c>
      <c r="B39" s="179" t="s">
        <v>62</v>
      </c>
      <c r="C39" s="170">
        <f t="shared" si="1"/>
        <v>30</v>
      </c>
      <c r="D39" s="180">
        <v>160750</v>
      </c>
      <c r="E39" s="172"/>
      <c r="F39" s="181"/>
      <c r="G39" s="174"/>
      <c r="H39" s="174"/>
      <c r="I39" s="174"/>
      <c r="J39" s="174"/>
      <c r="K39" s="174">
        <v>160750</v>
      </c>
      <c r="L39" s="175"/>
      <c r="M39" s="175"/>
      <c r="N39" s="175"/>
      <c r="O39" s="175"/>
      <c r="P39" s="175"/>
      <c r="Q39" s="175">
        <f>AccrualSummary[[#This Row],[PO Line Beg Bal]]-AccrualSummary[[#This Row],[Prev Vouchered Amount]]</f>
        <v>0</v>
      </c>
      <c r="R39" s="175"/>
      <c r="S39" s="175"/>
      <c r="T39" s="176">
        <v>42856</v>
      </c>
      <c r="U39" s="172">
        <f t="shared" si="0"/>
        <v>1</v>
      </c>
      <c r="V39" s="177">
        <f t="shared" si="2"/>
        <v>160750</v>
      </c>
      <c r="W39" s="177">
        <f t="shared" si="3"/>
        <v>0</v>
      </c>
      <c r="X39" s="177">
        <f>SUMIF(Invoices!$D$2:$D$83,$B39,Invoices!$E$2:$E$83)</f>
        <v>160750</v>
      </c>
      <c r="Y39" s="177">
        <f t="shared" si="4"/>
        <v>0</v>
      </c>
      <c r="Z39" s="178"/>
    </row>
    <row r="40" spans="1:26" ht="14.45" customHeight="1" x14ac:dyDescent="0.2">
      <c r="A40" s="198">
        <v>31</v>
      </c>
      <c r="B40" s="179" t="s">
        <v>63</v>
      </c>
      <c r="C40" s="170">
        <f t="shared" si="1"/>
        <v>31</v>
      </c>
      <c r="D40" s="180">
        <v>160750</v>
      </c>
      <c r="E40" s="172"/>
      <c r="F40" s="181"/>
      <c r="G40" s="174"/>
      <c r="H40" s="174"/>
      <c r="I40" s="174"/>
      <c r="J40" s="174"/>
      <c r="K40" s="174">
        <v>40187.5</v>
      </c>
      <c r="L40" s="175">
        <v>120562.5</v>
      </c>
      <c r="M40" s="175"/>
      <c r="N40" s="175"/>
      <c r="O40" s="175"/>
      <c r="P40" s="175"/>
      <c r="Q40" s="175">
        <f>AccrualSummary[[#This Row],[PO Line Beg Bal]]-AccrualSummary[[#This Row],[Prev Vouchered Amount]]</f>
        <v>0</v>
      </c>
      <c r="R40" s="175"/>
      <c r="S40" s="175"/>
      <c r="T40" s="176">
        <v>42864</v>
      </c>
      <c r="U40" s="172">
        <f t="shared" si="0"/>
        <v>1</v>
      </c>
      <c r="V40" s="177">
        <f t="shared" si="2"/>
        <v>160750</v>
      </c>
      <c r="W40" s="177">
        <f t="shared" si="3"/>
        <v>0</v>
      </c>
      <c r="X40" s="177">
        <f>SUMIF(Invoices!$D$2:$D$83,$B40,Invoices!$E$2:$E$83)</f>
        <v>160750</v>
      </c>
      <c r="Y40" s="177">
        <f t="shared" si="4"/>
        <v>0</v>
      </c>
      <c r="Z40" s="178"/>
    </row>
    <row r="41" spans="1:26" ht="14.45" customHeight="1" x14ac:dyDescent="0.2">
      <c r="A41" s="198">
        <v>32</v>
      </c>
      <c r="B41" s="179" t="s">
        <v>64</v>
      </c>
      <c r="C41" s="170">
        <f t="shared" si="1"/>
        <v>32</v>
      </c>
      <c r="D41" s="180">
        <v>160750</v>
      </c>
      <c r="E41" s="172"/>
      <c r="F41" s="181"/>
      <c r="G41" s="174"/>
      <c r="H41" s="174"/>
      <c r="I41" s="174"/>
      <c r="J41" s="174"/>
      <c r="K41" s="174"/>
      <c r="L41" s="175">
        <v>160750</v>
      </c>
      <c r="M41" s="175"/>
      <c r="N41" s="175"/>
      <c r="O41" s="175"/>
      <c r="P41" s="175"/>
      <c r="Q41" s="175">
        <f>AccrualSummary[[#This Row],[PO Line Beg Bal]]-AccrualSummary[[#This Row],[Prev Vouchered Amount]]</f>
        <v>0</v>
      </c>
      <c r="R41" s="175"/>
      <c r="S41" s="175"/>
      <c r="T41" s="176">
        <v>42872</v>
      </c>
      <c r="U41" s="172">
        <f t="shared" si="0"/>
        <v>1</v>
      </c>
      <c r="V41" s="177">
        <f t="shared" si="2"/>
        <v>160750</v>
      </c>
      <c r="W41" s="177">
        <f t="shared" si="3"/>
        <v>0</v>
      </c>
      <c r="X41" s="177">
        <f>SUMIF(Invoices!$D$2:$D$83,$B41,Invoices!$E$2:$E$83)</f>
        <v>160750</v>
      </c>
      <c r="Y41" s="177">
        <f t="shared" si="4"/>
        <v>0</v>
      </c>
      <c r="Z41" s="178"/>
    </row>
    <row r="42" spans="1:26" ht="14.45" customHeight="1" x14ac:dyDescent="0.2">
      <c r="A42" s="198">
        <v>33</v>
      </c>
      <c r="B42" s="179" t="s">
        <v>65</v>
      </c>
      <c r="C42" s="170">
        <f t="shared" si="1"/>
        <v>33</v>
      </c>
      <c r="D42" s="180">
        <v>160750</v>
      </c>
      <c r="E42" s="172"/>
      <c r="F42" s="181"/>
      <c r="G42" s="174"/>
      <c r="H42" s="174"/>
      <c r="I42" s="174"/>
      <c r="J42" s="174"/>
      <c r="K42" s="174"/>
      <c r="L42" s="175">
        <v>160750</v>
      </c>
      <c r="M42" s="175"/>
      <c r="N42" s="175"/>
      <c r="O42" s="175"/>
      <c r="P42" s="175"/>
      <c r="Q42" s="175">
        <f>AccrualSummary[[#This Row],[PO Line Beg Bal]]-AccrualSummary[[#This Row],[Prev Vouchered Amount]]</f>
        <v>0</v>
      </c>
      <c r="R42" s="175"/>
      <c r="S42" s="175"/>
      <c r="T42" s="176">
        <v>42880</v>
      </c>
      <c r="U42" s="172">
        <f t="shared" ref="U42:U73" si="5">IF(E42&lt;1,SUM(F42:S42)/D42+E42,1)</f>
        <v>1</v>
      </c>
      <c r="V42" s="177">
        <f t="shared" si="2"/>
        <v>160750</v>
      </c>
      <c r="W42" s="177">
        <f t="shared" si="3"/>
        <v>0</v>
      </c>
      <c r="X42" s="177">
        <f>SUMIF(Invoices!$D$2:$D$83,$B42,Invoices!$E$2:$E$83)</f>
        <v>160750</v>
      </c>
      <c r="Y42" s="177">
        <f t="shared" si="4"/>
        <v>0</v>
      </c>
      <c r="Z42" s="178"/>
    </row>
    <row r="43" spans="1:26" ht="14.45" customHeight="1" x14ac:dyDescent="0.2">
      <c r="A43" s="198">
        <v>34</v>
      </c>
      <c r="B43" s="179" t="s">
        <v>66</v>
      </c>
      <c r="C43" s="170">
        <f t="shared" si="1"/>
        <v>34</v>
      </c>
      <c r="D43" s="180">
        <v>160750</v>
      </c>
      <c r="E43" s="172"/>
      <c r="F43" s="181"/>
      <c r="G43" s="174"/>
      <c r="H43" s="174"/>
      <c r="I43" s="174"/>
      <c r="J43" s="174"/>
      <c r="K43" s="174"/>
      <c r="L43" s="175"/>
      <c r="M43" s="175">
        <v>160750</v>
      </c>
      <c r="N43" s="175"/>
      <c r="O43" s="175"/>
      <c r="P43" s="175"/>
      <c r="Q43" s="175">
        <f>AccrualSummary[[#This Row],[PO Line Beg Bal]]-AccrualSummary[[#This Row],[Prev Vouchered Amount]]</f>
        <v>0</v>
      </c>
      <c r="R43" s="175"/>
      <c r="S43" s="175"/>
      <c r="T43" s="176">
        <v>42888</v>
      </c>
      <c r="U43" s="172">
        <f t="shared" si="5"/>
        <v>1</v>
      </c>
      <c r="V43" s="177">
        <f t="shared" si="2"/>
        <v>160750</v>
      </c>
      <c r="W43" s="177">
        <f t="shared" si="3"/>
        <v>0</v>
      </c>
      <c r="X43" s="177">
        <f>SUMIF(Invoices!$D$2:$D$83,$B43,Invoices!$E$2:$E$83)</f>
        <v>160750</v>
      </c>
      <c r="Y43" s="177">
        <f t="shared" si="4"/>
        <v>0</v>
      </c>
      <c r="Z43" s="178"/>
    </row>
    <row r="44" spans="1:26" ht="14.45" customHeight="1" x14ac:dyDescent="0.2">
      <c r="A44" s="198">
        <v>35</v>
      </c>
      <c r="B44" s="179" t="s">
        <v>67</v>
      </c>
      <c r="C44" s="170">
        <f t="shared" si="1"/>
        <v>35</v>
      </c>
      <c r="D44" s="180">
        <v>160750</v>
      </c>
      <c r="E44" s="172"/>
      <c r="F44" s="181"/>
      <c r="G44" s="174"/>
      <c r="H44" s="174"/>
      <c r="I44" s="174"/>
      <c r="J44" s="174"/>
      <c r="K44" s="174"/>
      <c r="L44" s="175"/>
      <c r="M44" s="175">
        <v>160750</v>
      </c>
      <c r="N44" s="175"/>
      <c r="O44" s="175"/>
      <c r="P44" s="175"/>
      <c r="Q44" s="175">
        <f>AccrualSummary[[#This Row],[PO Line Beg Bal]]-AccrualSummary[[#This Row],[Prev Vouchered Amount]]</f>
        <v>0</v>
      </c>
      <c r="R44" s="175"/>
      <c r="S44" s="175"/>
      <c r="T44" s="176">
        <v>42898</v>
      </c>
      <c r="U44" s="172">
        <f t="shared" si="5"/>
        <v>1</v>
      </c>
      <c r="V44" s="177">
        <f t="shared" si="2"/>
        <v>160750</v>
      </c>
      <c r="W44" s="177">
        <f t="shared" si="3"/>
        <v>0</v>
      </c>
      <c r="X44" s="177">
        <f>SUMIF(Invoices!$D$2:$D$83,$B44,Invoices!$E$2:$E$83)</f>
        <v>160750</v>
      </c>
      <c r="Y44" s="177">
        <f t="shared" si="4"/>
        <v>0</v>
      </c>
      <c r="Z44" s="178"/>
    </row>
    <row r="45" spans="1:26" ht="14.45" customHeight="1" x14ac:dyDescent="0.2">
      <c r="A45" s="198">
        <v>36</v>
      </c>
      <c r="B45" s="179" t="s">
        <v>68</v>
      </c>
      <c r="C45" s="170">
        <f t="shared" si="1"/>
        <v>36</v>
      </c>
      <c r="D45" s="180">
        <v>160750</v>
      </c>
      <c r="E45" s="172"/>
      <c r="F45" s="181"/>
      <c r="G45" s="174"/>
      <c r="H45" s="174"/>
      <c r="I45" s="174"/>
      <c r="J45" s="174"/>
      <c r="K45" s="174"/>
      <c r="L45" s="175"/>
      <c r="M45" s="175">
        <v>160750</v>
      </c>
      <c r="N45" s="175"/>
      <c r="O45" s="175"/>
      <c r="P45" s="175"/>
      <c r="Q45" s="175">
        <f>AccrualSummary[[#This Row],[PO Line Beg Bal]]-AccrualSummary[[#This Row],[Prev Vouchered Amount]]</f>
        <v>0</v>
      </c>
      <c r="R45" s="175"/>
      <c r="S45" s="175"/>
      <c r="T45" s="176">
        <v>42906</v>
      </c>
      <c r="U45" s="172">
        <f t="shared" si="5"/>
        <v>1</v>
      </c>
      <c r="V45" s="177">
        <f t="shared" si="2"/>
        <v>160750</v>
      </c>
      <c r="W45" s="177">
        <f t="shared" si="3"/>
        <v>0</v>
      </c>
      <c r="X45" s="177">
        <f>SUMIF(Invoices!$D$2:$D$83,$B45,Invoices!$E$2:$E$83)</f>
        <v>160750</v>
      </c>
      <c r="Y45" s="177">
        <f t="shared" si="4"/>
        <v>0</v>
      </c>
      <c r="Z45" s="178"/>
    </row>
    <row r="46" spans="1:26" ht="14.45" customHeight="1" x14ac:dyDescent="0.2">
      <c r="A46" s="198">
        <v>37</v>
      </c>
      <c r="B46" s="179" t="s">
        <v>69</v>
      </c>
      <c r="C46" s="170">
        <f t="shared" si="1"/>
        <v>37</v>
      </c>
      <c r="D46" s="180">
        <v>160750</v>
      </c>
      <c r="E46" s="172"/>
      <c r="F46" s="181"/>
      <c r="G46" s="174"/>
      <c r="H46" s="174"/>
      <c r="I46" s="174"/>
      <c r="J46" s="174"/>
      <c r="K46" s="174"/>
      <c r="L46" s="175"/>
      <c r="M46" s="175">
        <v>160750</v>
      </c>
      <c r="N46" s="175"/>
      <c r="O46" s="175"/>
      <c r="P46" s="175"/>
      <c r="Q46" s="175">
        <f>AccrualSummary[[#This Row],[PO Line Beg Bal]]-AccrualSummary[[#This Row],[Prev Vouchered Amount]]</f>
        <v>0</v>
      </c>
      <c r="R46" s="175"/>
      <c r="S46" s="175"/>
      <c r="T46" s="176">
        <v>42914</v>
      </c>
      <c r="U46" s="172">
        <f t="shared" si="5"/>
        <v>1</v>
      </c>
      <c r="V46" s="177">
        <f t="shared" si="2"/>
        <v>160750</v>
      </c>
      <c r="W46" s="177">
        <f t="shared" si="3"/>
        <v>0</v>
      </c>
      <c r="X46" s="177">
        <f>SUMIF(Invoices!$D$2:$D$83,$B46,Invoices!$E$2:$E$83)</f>
        <v>160750</v>
      </c>
      <c r="Y46" s="177">
        <f t="shared" si="4"/>
        <v>0</v>
      </c>
      <c r="Z46" s="178"/>
    </row>
    <row r="47" spans="1:26" ht="14.45" customHeight="1" x14ac:dyDescent="0.2">
      <c r="A47" s="198">
        <v>38</v>
      </c>
      <c r="B47" s="179" t="s">
        <v>70</v>
      </c>
      <c r="C47" s="170">
        <f t="shared" si="1"/>
        <v>38</v>
      </c>
      <c r="D47" s="180">
        <v>160750</v>
      </c>
      <c r="E47" s="172"/>
      <c r="F47" s="181"/>
      <c r="G47" s="174"/>
      <c r="H47" s="174"/>
      <c r="I47" s="174"/>
      <c r="J47" s="174"/>
      <c r="K47" s="174"/>
      <c r="L47" s="175"/>
      <c r="M47" s="175">
        <v>80375</v>
      </c>
      <c r="N47" s="175">
        <v>80375</v>
      </c>
      <c r="O47" s="175"/>
      <c r="P47" s="175"/>
      <c r="Q47" s="175">
        <f>AccrualSummary[[#This Row],[PO Line Beg Bal]]-AccrualSummary[[#This Row],[Prev Vouchered Amount]]</f>
        <v>0</v>
      </c>
      <c r="R47" s="175"/>
      <c r="S47" s="175"/>
      <c r="T47" s="176">
        <v>42922</v>
      </c>
      <c r="U47" s="172">
        <f t="shared" si="5"/>
        <v>1</v>
      </c>
      <c r="V47" s="177">
        <f t="shared" si="2"/>
        <v>160750</v>
      </c>
      <c r="W47" s="177">
        <f t="shared" si="3"/>
        <v>0</v>
      </c>
      <c r="X47" s="177">
        <f>SUMIF(Invoices!$D$2:$D$83,$B47,Invoices!$E$2:$E$83)</f>
        <v>160750</v>
      </c>
      <c r="Y47" s="177">
        <f t="shared" si="4"/>
        <v>0</v>
      </c>
      <c r="Z47" s="178"/>
    </row>
    <row r="48" spans="1:26" ht="14.45" customHeight="1" x14ac:dyDescent="0.2">
      <c r="A48" s="198">
        <v>39</v>
      </c>
      <c r="B48" s="179" t="s">
        <v>71</v>
      </c>
      <c r="C48" s="170">
        <f t="shared" si="1"/>
        <v>39</v>
      </c>
      <c r="D48" s="180">
        <v>160750</v>
      </c>
      <c r="E48" s="172"/>
      <c r="F48" s="181"/>
      <c r="G48" s="174"/>
      <c r="H48" s="174"/>
      <c r="I48" s="174"/>
      <c r="J48" s="174"/>
      <c r="K48" s="174"/>
      <c r="L48" s="175"/>
      <c r="M48" s="175"/>
      <c r="N48" s="175">
        <v>160750</v>
      </c>
      <c r="O48" s="175"/>
      <c r="P48" s="175"/>
      <c r="Q48" s="175">
        <f>AccrualSummary[[#This Row],[PO Line Beg Bal]]-AccrualSummary[[#This Row],[Prev Vouchered Amount]]</f>
        <v>0</v>
      </c>
      <c r="R48" s="175"/>
      <c r="S48" s="175"/>
      <c r="T48" s="176">
        <v>42930</v>
      </c>
      <c r="U48" s="172">
        <f t="shared" si="5"/>
        <v>1</v>
      </c>
      <c r="V48" s="177">
        <f t="shared" si="2"/>
        <v>160750</v>
      </c>
      <c r="W48" s="177">
        <f t="shared" si="3"/>
        <v>0</v>
      </c>
      <c r="X48" s="177">
        <f>SUMIF(Invoices!$D$2:$D$83,$B48,Invoices!$E$2:$E$83)</f>
        <v>160750</v>
      </c>
      <c r="Y48" s="177">
        <f t="shared" si="4"/>
        <v>0</v>
      </c>
      <c r="Z48" s="178"/>
    </row>
    <row r="49" spans="1:26" ht="14.45" customHeight="1" x14ac:dyDescent="0.2">
      <c r="A49" s="198">
        <v>40</v>
      </c>
      <c r="B49" s="179" t="s">
        <v>72</v>
      </c>
      <c r="C49" s="170">
        <f t="shared" si="1"/>
        <v>40</v>
      </c>
      <c r="D49" s="180">
        <v>160750</v>
      </c>
      <c r="E49" s="172"/>
      <c r="F49" s="181"/>
      <c r="G49" s="174"/>
      <c r="H49" s="174"/>
      <c r="I49" s="174"/>
      <c r="J49" s="174"/>
      <c r="K49" s="174"/>
      <c r="L49" s="175"/>
      <c r="M49" s="175"/>
      <c r="N49" s="175">
        <v>80375</v>
      </c>
      <c r="O49" s="175">
        <v>80375</v>
      </c>
      <c r="P49" s="175"/>
      <c r="Q49" s="175">
        <v>0</v>
      </c>
      <c r="R49" s="175"/>
      <c r="S49" s="175"/>
      <c r="T49" s="176">
        <v>42940</v>
      </c>
      <c r="U49" s="172">
        <f t="shared" si="5"/>
        <v>1</v>
      </c>
      <c r="V49" s="177">
        <f t="shared" si="2"/>
        <v>160750</v>
      </c>
      <c r="W49" s="177">
        <f t="shared" si="3"/>
        <v>80375</v>
      </c>
      <c r="X49" s="177">
        <f>SUMIF(Invoices!$D$2:$D$83,$B49,Invoices!$E$2:$E$83)</f>
        <v>80375</v>
      </c>
      <c r="Y49" s="177">
        <f t="shared" si="4"/>
        <v>0</v>
      </c>
      <c r="Z49" s="178"/>
    </row>
    <row r="50" spans="1:26" ht="14.45" customHeight="1" x14ac:dyDescent="0.2">
      <c r="A50" s="198">
        <v>41</v>
      </c>
      <c r="B50" s="179" t="s">
        <v>73</v>
      </c>
      <c r="C50" s="170">
        <f t="shared" si="1"/>
        <v>41</v>
      </c>
      <c r="D50" s="180">
        <v>160750</v>
      </c>
      <c r="E50" s="172"/>
      <c r="F50" s="181"/>
      <c r="G50" s="174"/>
      <c r="H50" s="174"/>
      <c r="I50" s="174"/>
      <c r="J50" s="174"/>
      <c r="K50" s="174"/>
      <c r="L50" s="175"/>
      <c r="M50" s="175"/>
      <c r="N50" s="175"/>
      <c r="O50" s="180">
        <v>160750</v>
      </c>
      <c r="P50" s="175"/>
      <c r="Q50" s="175">
        <v>0</v>
      </c>
      <c r="R50" s="175"/>
      <c r="S50" s="175"/>
      <c r="T50" s="176">
        <v>42948</v>
      </c>
      <c r="U50" s="172">
        <f t="shared" si="5"/>
        <v>1</v>
      </c>
      <c r="V50" s="177">
        <f t="shared" si="2"/>
        <v>160750</v>
      </c>
      <c r="W50" s="177">
        <f t="shared" si="3"/>
        <v>160750</v>
      </c>
      <c r="X50" s="177">
        <f>SUMIF(Invoices!$D$2:$D$83,$B50,Invoices!$E$2:$E$83)</f>
        <v>0</v>
      </c>
      <c r="Y50" s="177">
        <f t="shared" si="4"/>
        <v>0</v>
      </c>
      <c r="Z50" s="178"/>
    </row>
    <row r="51" spans="1:26" ht="14.45" customHeight="1" x14ac:dyDescent="0.2">
      <c r="A51" s="198">
        <v>42</v>
      </c>
      <c r="B51" s="179" t="s">
        <v>74</v>
      </c>
      <c r="C51" s="170">
        <f t="shared" si="1"/>
        <v>42</v>
      </c>
      <c r="D51" s="180">
        <v>160750</v>
      </c>
      <c r="E51" s="172"/>
      <c r="F51" s="181"/>
      <c r="G51" s="174"/>
      <c r="H51" s="174"/>
      <c r="I51" s="174"/>
      <c r="J51" s="174"/>
      <c r="K51" s="174"/>
      <c r="L51" s="175"/>
      <c r="M51" s="175"/>
      <c r="N51" s="175"/>
      <c r="O51" s="180">
        <v>160750</v>
      </c>
      <c r="P51" s="175"/>
      <c r="Q51" s="175">
        <v>0</v>
      </c>
      <c r="R51" s="175"/>
      <c r="S51" s="175"/>
      <c r="T51" s="176">
        <v>42956</v>
      </c>
      <c r="U51" s="172">
        <f t="shared" si="5"/>
        <v>1</v>
      </c>
      <c r="V51" s="177">
        <f t="shared" si="2"/>
        <v>160750</v>
      </c>
      <c r="W51" s="177">
        <f t="shared" si="3"/>
        <v>160750</v>
      </c>
      <c r="X51" s="177">
        <f>SUMIF(Invoices!$D$2:$D$83,$B51,Invoices!$E$2:$E$83)</f>
        <v>0</v>
      </c>
      <c r="Y51" s="177">
        <f t="shared" si="4"/>
        <v>0</v>
      </c>
      <c r="Z51" s="178"/>
    </row>
    <row r="52" spans="1:26" ht="14.45" customHeight="1" x14ac:dyDescent="0.2">
      <c r="A52" s="198">
        <v>43</v>
      </c>
      <c r="B52" s="179" t="s">
        <v>75</v>
      </c>
      <c r="C52" s="170">
        <f t="shared" si="1"/>
        <v>43</v>
      </c>
      <c r="D52" s="180">
        <v>160750</v>
      </c>
      <c r="E52" s="172"/>
      <c r="F52" s="181"/>
      <c r="G52" s="174"/>
      <c r="H52" s="174"/>
      <c r="I52" s="174"/>
      <c r="J52" s="174"/>
      <c r="K52" s="174"/>
      <c r="L52" s="175"/>
      <c r="M52" s="175"/>
      <c r="N52" s="175"/>
      <c r="O52" s="175">
        <v>80375</v>
      </c>
      <c r="P52" s="175">
        <v>80375</v>
      </c>
      <c r="Q52" s="175">
        <v>0</v>
      </c>
      <c r="R52" s="175"/>
      <c r="S52" s="175"/>
      <c r="T52" s="176">
        <v>42964</v>
      </c>
      <c r="U52" s="172">
        <f t="shared" si="5"/>
        <v>1</v>
      </c>
      <c r="V52" s="177">
        <f t="shared" si="2"/>
        <v>160750</v>
      </c>
      <c r="W52" s="177">
        <f t="shared" si="3"/>
        <v>160750</v>
      </c>
      <c r="X52" s="177">
        <f>SUMIF(Invoices!$D$2:$D$83,$B52,Invoices!$E$2:$E$83)</f>
        <v>0</v>
      </c>
      <c r="Y52" s="177">
        <f t="shared" si="4"/>
        <v>0</v>
      </c>
      <c r="Z52" s="178"/>
    </row>
    <row r="53" spans="1:26" ht="14.45" customHeight="1" x14ac:dyDescent="0.2">
      <c r="A53" s="198">
        <v>44</v>
      </c>
      <c r="B53" s="179" t="s">
        <v>76</v>
      </c>
      <c r="C53" s="170">
        <f t="shared" si="1"/>
        <v>44</v>
      </c>
      <c r="D53" s="180">
        <v>160750</v>
      </c>
      <c r="E53" s="172"/>
      <c r="F53" s="181"/>
      <c r="G53" s="174"/>
      <c r="H53" s="174"/>
      <c r="I53" s="174"/>
      <c r="J53" s="174"/>
      <c r="K53" s="174"/>
      <c r="L53" s="175"/>
      <c r="M53" s="175"/>
      <c r="N53" s="175"/>
      <c r="O53" s="175"/>
      <c r="P53" s="175">
        <v>160750</v>
      </c>
      <c r="Q53" s="175">
        <v>0</v>
      </c>
      <c r="R53" s="175"/>
      <c r="S53" s="175"/>
      <c r="T53" s="176">
        <v>42972</v>
      </c>
      <c r="U53" s="172">
        <f t="shared" si="5"/>
        <v>1</v>
      </c>
      <c r="V53" s="177">
        <f t="shared" si="2"/>
        <v>160750</v>
      </c>
      <c r="W53" s="177">
        <f t="shared" si="3"/>
        <v>160750</v>
      </c>
      <c r="X53" s="177">
        <f>SUMIF(Invoices!$D$2:$D$83,$B53,Invoices!$E$2:$E$83)</f>
        <v>0</v>
      </c>
      <c r="Y53" s="177">
        <f t="shared" si="4"/>
        <v>0</v>
      </c>
      <c r="Z53" s="178"/>
    </row>
    <row r="54" spans="1:26" ht="14.45" customHeight="1" x14ac:dyDescent="0.2">
      <c r="A54" s="198">
        <v>45</v>
      </c>
      <c r="B54" s="179" t="s">
        <v>77</v>
      </c>
      <c r="C54" s="170">
        <f t="shared" si="1"/>
        <v>45</v>
      </c>
      <c r="D54" s="180">
        <v>160750</v>
      </c>
      <c r="E54" s="172"/>
      <c r="F54" s="181"/>
      <c r="G54" s="174"/>
      <c r="H54" s="174"/>
      <c r="I54" s="174"/>
      <c r="J54" s="174"/>
      <c r="K54" s="174"/>
      <c r="L54" s="175"/>
      <c r="M54" s="175"/>
      <c r="N54" s="175"/>
      <c r="O54" s="175"/>
      <c r="P54" s="175">
        <v>120562.5</v>
      </c>
      <c r="Q54" s="175">
        <v>40187.5</v>
      </c>
      <c r="R54" s="175"/>
      <c r="S54" s="175"/>
      <c r="T54" s="176">
        <v>42997</v>
      </c>
      <c r="U54" s="172">
        <f>IF(E54&lt;1,SUM(F54:S54)/D54+E54,1)</f>
        <v>1</v>
      </c>
      <c r="V54" s="177">
        <f t="shared" si="2"/>
        <v>160750</v>
      </c>
      <c r="W54" s="177">
        <f t="shared" si="3"/>
        <v>160750</v>
      </c>
      <c r="X54" s="177">
        <f>SUMIF(Invoices!$D$2:$D$83,$B54,Invoices!$E$2:$E$83)</f>
        <v>0</v>
      </c>
      <c r="Y54" s="177">
        <f t="shared" si="4"/>
        <v>0</v>
      </c>
      <c r="Z54" s="178"/>
    </row>
    <row r="55" spans="1:26" ht="14.45" customHeight="1" x14ac:dyDescent="0.2">
      <c r="A55" s="198">
        <v>46</v>
      </c>
      <c r="B55" s="179" t="s">
        <v>461</v>
      </c>
      <c r="C55" s="170">
        <f t="shared" si="1"/>
        <v>46</v>
      </c>
      <c r="D55" s="180">
        <v>38000</v>
      </c>
      <c r="E55" s="172">
        <v>1</v>
      </c>
      <c r="F55" s="181"/>
      <c r="G55" s="174"/>
      <c r="H55" s="174"/>
      <c r="I55" s="174"/>
      <c r="J55" s="174"/>
      <c r="K55" s="174"/>
      <c r="L55" s="175"/>
      <c r="M55" s="175"/>
      <c r="N55" s="175"/>
      <c r="O55" s="175"/>
      <c r="P55" s="175"/>
      <c r="Q55" s="175">
        <f>AccrualSummary[[#This Row],[PO Line Beg Bal]]-AccrualSummary[[#This Row],[Prev Vouchered Amount]]</f>
        <v>0</v>
      </c>
      <c r="R55" s="175"/>
      <c r="S55" s="175"/>
      <c r="T55" s="176">
        <v>42614</v>
      </c>
      <c r="U55" s="172">
        <f t="shared" si="5"/>
        <v>1</v>
      </c>
      <c r="V55" s="177">
        <f t="shared" si="2"/>
        <v>38000</v>
      </c>
      <c r="W55" s="177">
        <f t="shared" si="3"/>
        <v>0</v>
      </c>
      <c r="X55" s="177">
        <f>SUMIF(Invoices!$D$2:$D$83,$B55,Invoices!$E$2:$E$83)</f>
        <v>38000</v>
      </c>
      <c r="Y55" s="177">
        <f t="shared" si="4"/>
        <v>0</v>
      </c>
      <c r="Z55" s="178"/>
    </row>
    <row r="56" spans="1:26" ht="14.45" customHeight="1" x14ac:dyDescent="0.2">
      <c r="A56" s="198">
        <v>47</v>
      </c>
      <c r="B56" s="179" t="s">
        <v>462</v>
      </c>
      <c r="C56" s="170">
        <f t="shared" si="1"/>
        <v>47</v>
      </c>
      <c r="D56" s="180">
        <v>71500</v>
      </c>
      <c r="E56" s="172">
        <v>1</v>
      </c>
      <c r="F56" s="181"/>
      <c r="G56" s="174"/>
      <c r="H56" s="174"/>
      <c r="I56" s="174"/>
      <c r="J56" s="174"/>
      <c r="K56" s="174"/>
      <c r="L56" s="175"/>
      <c r="M56" s="175"/>
      <c r="N56" s="175"/>
      <c r="O56" s="175"/>
      <c r="P56" s="175"/>
      <c r="Q56" s="175">
        <f>AccrualSummary[[#This Row],[PO Line Beg Bal]]-AccrualSummary[[#This Row],[Prev Vouchered Amount]]</f>
        <v>0</v>
      </c>
      <c r="R56" s="175"/>
      <c r="S56" s="175"/>
      <c r="T56" s="176">
        <v>42643</v>
      </c>
      <c r="U56" s="172">
        <f t="shared" si="5"/>
        <v>1</v>
      </c>
      <c r="V56" s="177">
        <f t="shared" si="2"/>
        <v>71500</v>
      </c>
      <c r="W56" s="177">
        <f t="shared" si="3"/>
        <v>0</v>
      </c>
      <c r="X56" s="177">
        <f>SUMIF(Invoices!$D$2:$D$83,$B56,Invoices!$E$2:$E$83)</f>
        <v>71500</v>
      </c>
      <c r="Y56" s="177">
        <f t="shared" si="4"/>
        <v>0</v>
      </c>
      <c r="Z56" s="178"/>
    </row>
    <row r="57" spans="1:26" ht="14.45" customHeight="1" x14ac:dyDescent="0.2">
      <c r="A57" s="198">
        <v>48</v>
      </c>
      <c r="B57" s="179" t="s">
        <v>463</v>
      </c>
      <c r="C57" s="170">
        <f t="shared" si="1"/>
        <v>48</v>
      </c>
      <c r="D57" s="180">
        <v>484000</v>
      </c>
      <c r="E57" s="172">
        <v>0.99119999999999997</v>
      </c>
      <c r="F57" s="181">
        <v>17132.759999999998</v>
      </c>
      <c r="G57" s="174">
        <v>102796.56000000003</v>
      </c>
      <c r="H57" s="174"/>
      <c r="I57" s="174">
        <f>16*4283.18</f>
        <v>68530.880000000005</v>
      </c>
      <c r="J57" s="174">
        <v>29982.260000000002</v>
      </c>
      <c r="K57" s="174">
        <v>47114.98</v>
      </c>
      <c r="L57" s="175">
        <v>47114.98</v>
      </c>
      <c r="M57" s="175">
        <v>42831.519999999997</v>
      </c>
      <c r="N57" s="175">
        <f>4283.18*8</f>
        <v>34265.440000000002</v>
      </c>
      <c r="O57" s="175">
        <v>51398.16</v>
      </c>
      <c r="P57" s="175">
        <f>4283.18*9</f>
        <v>38548.620000000003</v>
      </c>
      <c r="Q57" s="175">
        <v>24.8</v>
      </c>
      <c r="R57" s="175"/>
      <c r="S57" s="175"/>
      <c r="T57" s="176">
        <v>42987</v>
      </c>
      <c r="U57" s="172">
        <f>AccrualSummary[[#This Row],[Prior % Complete]]</f>
        <v>0.99119999999999997</v>
      </c>
      <c r="V57" s="177">
        <f t="shared" si="2"/>
        <v>479740.8</v>
      </c>
      <c r="W57" s="177">
        <f t="shared" si="3"/>
        <v>98513.799999999988</v>
      </c>
      <c r="X57" s="177">
        <f>SUMIF(Invoices!$D$2:$D$83,$B57,Invoices!$E$2:$E$83)</f>
        <v>385486.2</v>
      </c>
      <c r="Y57" s="177">
        <f t="shared" si="4"/>
        <v>0</v>
      </c>
      <c r="Z57" s="178"/>
    </row>
    <row r="58" spans="1:26" ht="14.45" customHeight="1" x14ac:dyDescent="0.2">
      <c r="A58" s="198">
        <v>49</v>
      </c>
      <c r="B58" s="179" t="s">
        <v>464</v>
      </c>
      <c r="C58" s="170">
        <f t="shared" si="1"/>
        <v>49</v>
      </c>
      <c r="D58" s="180">
        <v>57800</v>
      </c>
      <c r="E58" s="172">
        <v>0.98540000000000005</v>
      </c>
      <c r="F58" s="182"/>
      <c r="G58" s="174">
        <v>13720</v>
      </c>
      <c r="H58" s="174">
        <v>112.56</v>
      </c>
      <c r="I58" s="174">
        <f>16*494.02</f>
        <v>7904.32</v>
      </c>
      <c r="J58" s="174">
        <v>3430</v>
      </c>
      <c r="K58" s="174">
        <v>5390</v>
      </c>
      <c r="L58" s="175">
        <v>5390</v>
      </c>
      <c r="M58" s="175">
        <v>6683.12</v>
      </c>
      <c r="N58" s="175">
        <v>3920</v>
      </c>
      <c r="O58" s="175">
        <v>5880</v>
      </c>
      <c r="P58" s="175">
        <f>490*9</f>
        <v>4410</v>
      </c>
      <c r="Q58" s="175">
        <v>116.12</v>
      </c>
      <c r="R58" s="175"/>
      <c r="S58" s="175"/>
      <c r="T58" s="176">
        <v>42987</v>
      </c>
      <c r="U58" s="172">
        <f>AccrualSummary[[#This Row],[Prior % Complete]]</f>
        <v>0.98540000000000005</v>
      </c>
      <c r="V58" s="177">
        <f t="shared" si="2"/>
        <v>56956.12</v>
      </c>
      <c r="W58" s="177">
        <f t="shared" si="3"/>
        <v>11627.440000000002</v>
      </c>
      <c r="X58" s="177">
        <f>SUMIF(Invoices!$D$2:$D$83,$B58,Invoices!$E$2:$E$83)</f>
        <v>46172.56</v>
      </c>
      <c r="Y58" s="177">
        <f t="shared" si="4"/>
        <v>0</v>
      </c>
      <c r="Z58" s="178"/>
    </row>
    <row r="59" spans="1:26" ht="14.45" customHeight="1" x14ac:dyDescent="0.2">
      <c r="A59" s="198">
        <v>50</v>
      </c>
      <c r="B59" s="179" t="s">
        <v>465</v>
      </c>
      <c r="C59" s="170">
        <f t="shared" si="1"/>
        <v>50</v>
      </c>
      <c r="D59" s="180">
        <v>21335</v>
      </c>
      <c r="E59" s="172"/>
      <c r="F59" s="182"/>
      <c r="G59" s="174"/>
      <c r="H59" s="174">
        <v>21335</v>
      </c>
      <c r="I59" s="174"/>
      <c r="J59" s="174"/>
      <c r="K59" s="174"/>
      <c r="L59" s="175"/>
      <c r="M59" s="175"/>
      <c r="N59" s="175"/>
      <c r="O59" s="175"/>
      <c r="P59" s="175"/>
      <c r="Q59" s="175"/>
      <c r="R59" s="175"/>
      <c r="S59" s="175"/>
      <c r="T59" s="176">
        <v>42987</v>
      </c>
      <c r="U59" s="172">
        <f t="shared" si="5"/>
        <v>1</v>
      </c>
      <c r="V59" s="177">
        <f t="shared" si="2"/>
        <v>21335</v>
      </c>
      <c r="W59" s="177">
        <f t="shared" si="3"/>
        <v>0</v>
      </c>
      <c r="X59" s="177">
        <f>SUMIF(Invoices!$D$2:$D$83,$B59,Invoices!$E$2:$E$83)</f>
        <v>21335</v>
      </c>
      <c r="Y59" s="177">
        <f t="shared" si="4"/>
        <v>0</v>
      </c>
      <c r="Z59" s="178"/>
    </row>
    <row r="60" spans="1:26" ht="14.45" customHeight="1" x14ac:dyDescent="0.2">
      <c r="A60" s="198">
        <v>51</v>
      </c>
      <c r="B60" s="179" t="s">
        <v>466</v>
      </c>
      <c r="C60" s="170">
        <f t="shared" ref="C60:C99" si="6">A60</f>
        <v>51</v>
      </c>
      <c r="D60" s="180">
        <v>499817.6</v>
      </c>
      <c r="E60" s="172"/>
      <c r="F60" s="182"/>
      <c r="G60" s="174"/>
      <c r="H60" s="174"/>
      <c r="I60" s="174"/>
      <c r="J60" s="174"/>
      <c r="K60" s="174"/>
      <c r="L60" s="175"/>
      <c r="M60" s="175"/>
      <c r="N60" s="175"/>
      <c r="O60" s="175"/>
      <c r="P60" s="175"/>
      <c r="Q60" s="175"/>
      <c r="R60" s="175"/>
      <c r="S60" s="175"/>
      <c r="T60" s="176">
        <v>43131</v>
      </c>
      <c r="U60" s="172">
        <f t="shared" si="5"/>
        <v>0</v>
      </c>
      <c r="V60" s="177">
        <f t="shared" si="2"/>
        <v>0</v>
      </c>
      <c r="W60" s="177">
        <f t="shared" si="3"/>
        <v>499817.6</v>
      </c>
      <c r="X60" s="177">
        <f>SUMIF(Invoices!$D$2:$D$83,$B60,Invoices!$E$2:$E$83)</f>
        <v>0</v>
      </c>
      <c r="Y60" s="177">
        <f t="shared" si="4"/>
        <v>0</v>
      </c>
      <c r="Z60" s="178"/>
    </row>
    <row r="61" spans="1:26" ht="14.45" customHeight="1" x14ac:dyDescent="0.2">
      <c r="A61" s="198">
        <v>52</v>
      </c>
      <c r="B61" s="179" t="s">
        <v>205</v>
      </c>
      <c r="C61" s="170">
        <f t="shared" si="6"/>
        <v>52</v>
      </c>
      <c r="D61" s="180">
        <v>129500</v>
      </c>
      <c r="E61" s="172"/>
      <c r="F61" s="182"/>
      <c r="G61" s="174"/>
      <c r="H61" s="174"/>
      <c r="I61" s="174"/>
      <c r="J61" s="174"/>
      <c r="K61" s="174">
        <v>64750</v>
      </c>
      <c r="L61" s="175"/>
      <c r="M61" s="175">
        <v>64750</v>
      </c>
      <c r="N61" s="175"/>
      <c r="O61" s="175"/>
      <c r="P61" s="175"/>
      <c r="Q61" s="175"/>
      <c r="R61" s="175"/>
      <c r="S61" s="181"/>
      <c r="T61" s="176">
        <v>42888</v>
      </c>
      <c r="U61" s="172">
        <f t="shared" si="5"/>
        <v>1</v>
      </c>
      <c r="V61" s="177">
        <f t="shared" si="2"/>
        <v>129500</v>
      </c>
      <c r="W61" s="177">
        <f t="shared" si="3"/>
        <v>0</v>
      </c>
      <c r="X61" s="177">
        <f>SUMIF(Invoices!$D$2:$D$83,$B61,Invoices!$E$2:$E$83)</f>
        <v>129500</v>
      </c>
      <c r="Y61" s="177">
        <f t="shared" si="4"/>
        <v>0</v>
      </c>
      <c r="Z61" s="178"/>
    </row>
    <row r="62" spans="1:26" ht="14.45" customHeight="1" x14ac:dyDescent="0.2">
      <c r="A62" s="198">
        <v>53</v>
      </c>
      <c r="B62" s="179" t="s">
        <v>206</v>
      </c>
      <c r="C62" s="170">
        <f t="shared" si="6"/>
        <v>53</v>
      </c>
      <c r="D62" s="180">
        <v>58240</v>
      </c>
      <c r="E62" s="172"/>
      <c r="F62" s="182"/>
      <c r="G62" s="174"/>
      <c r="H62" s="174"/>
      <c r="I62" s="174"/>
      <c r="J62" s="174"/>
      <c r="K62" s="174"/>
      <c r="L62" s="175"/>
      <c r="M62" s="175"/>
      <c r="N62" s="175"/>
      <c r="O62" s="175">
        <v>15630</v>
      </c>
      <c r="P62" s="175"/>
      <c r="Q62" s="175"/>
      <c r="R62" s="175"/>
      <c r="S62" s="175"/>
      <c r="T62" s="176">
        <v>42997</v>
      </c>
      <c r="U62" s="172">
        <f t="shared" si="5"/>
        <v>0.26837225274725274</v>
      </c>
      <c r="V62" s="177">
        <f t="shared" si="2"/>
        <v>15630</v>
      </c>
      <c r="W62" s="177">
        <f t="shared" si="3"/>
        <v>42610</v>
      </c>
      <c r="X62" s="177">
        <f>SUMIF(Invoices!$D$2:$D$83,$B62,Invoices!$E$2:$E$83)</f>
        <v>15630</v>
      </c>
      <c r="Y62" s="177">
        <f t="shared" si="4"/>
        <v>0</v>
      </c>
      <c r="Z62" s="178"/>
    </row>
    <row r="63" spans="1:26" ht="14.45" customHeight="1" x14ac:dyDescent="0.2">
      <c r="A63" s="198">
        <v>54</v>
      </c>
      <c r="B63" s="179" t="s">
        <v>340</v>
      </c>
      <c r="C63" s="170">
        <f t="shared" si="6"/>
        <v>54</v>
      </c>
      <c r="D63" s="180">
        <v>658681</v>
      </c>
      <c r="E63" s="172"/>
      <c r="F63" s="182"/>
      <c r="G63" s="174"/>
      <c r="H63" s="174"/>
      <c r="I63" s="174"/>
      <c r="J63" s="174"/>
      <c r="K63" s="174"/>
      <c r="L63" s="175"/>
      <c r="M63" s="180">
        <v>658681</v>
      </c>
      <c r="N63" s="175"/>
      <c r="O63" s="175"/>
      <c r="P63" s="175"/>
      <c r="Q63" s="175"/>
      <c r="R63" s="175"/>
      <c r="S63" s="175"/>
      <c r="T63" s="176">
        <v>42913</v>
      </c>
      <c r="U63" s="172">
        <f t="shared" si="5"/>
        <v>1</v>
      </c>
      <c r="V63" s="177">
        <f t="shared" si="2"/>
        <v>658681</v>
      </c>
      <c r="W63" s="177">
        <f t="shared" si="3"/>
        <v>658681</v>
      </c>
      <c r="X63" s="177">
        <f>SUMIF(Invoices!$D$2:$D$83,$B63,Invoices!$E$2:$E$83)</f>
        <v>0</v>
      </c>
      <c r="Y63" s="177">
        <f t="shared" si="4"/>
        <v>0</v>
      </c>
      <c r="Z63" s="178"/>
    </row>
    <row r="64" spans="1:26" ht="14.45" customHeight="1" x14ac:dyDescent="0.2">
      <c r="A64" s="198">
        <v>55</v>
      </c>
      <c r="B64" s="179" t="s">
        <v>341</v>
      </c>
      <c r="C64" s="170">
        <f t="shared" si="6"/>
        <v>55</v>
      </c>
      <c r="D64" s="180">
        <v>658681</v>
      </c>
      <c r="E64" s="172"/>
      <c r="F64" s="182"/>
      <c r="G64" s="174"/>
      <c r="H64" s="174"/>
      <c r="I64" s="174"/>
      <c r="J64" s="174"/>
      <c r="K64" s="174"/>
      <c r="L64" s="175"/>
      <c r="M64" s="175"/>
      <c r="N64" s="175"/>
      <c r="O64" s="175"/>
      <c r="P64" s="229">
        <f>329340.5*2</f>
        <v>658681</v>
      </c>
      <c r="Q64" s="175"/>
      <c r="R64" s="175"/>
      <c r="S64" s="175"/>
      <c r="T64" s="176">
        <v>42934</v>
      </c>
      <c r="U64" s="172">
        <f t="shared" si="5"/>
        <v>1</v>
      </c>
      <c r="V64" s="177">
        <f t="shared" si="2"/>
        <v>658681</v>
      </c>
      <c r="W64" s="177">
        <f t="shared" si="3"/>
        <v>658681</v>
      </c>
      <c r="X64" s="177">
        <f>SUMIF(Invoices!$D$2:$D$83,$B64,Invoices!$E$2:$E$83)</f>
        <v>0</v>
      </c>
      <c r="Y64" s="177">
        <f t="shared" si="4"/>
        <v>0</v>
      </c>
      <c r="Z64" s="178"/>
    </row>
    <row r="65" spans="1:26" ht="14.45" customHeight="1" x14ac:dyDescent="0.2">
      <c r="A65" s="198">
        <v>56</v>
      </c>
      <c r="B65" s="179" t="s">
        <v>342</v>
      </c>
      <c r="C65" s="170">
        <f t="shared" si="6"/>
        <v>56</v>
      </c>
      <c r="D65" s="180">
        <v>69750</v>
      </c>
      <c r="E65" s="172"/>
      <c r="F65" s="182"/>
      <c r="G65" s="174"/>
      <c r="H65" s="174"/>
      <c r="I65" s="174"/>
      <c r="J65" s="174"/>
      <c r="K65" s="174"/>
      <c r="L65" s="175"/>
      <c r="M65" s="175"/>
      <c r="N65" s="175"/>
      <c r="O65" s="175"/>
      <c r="P65" s="175">
        <v>69750</v>
      </c>
      <c r="Q65" s="175"/>
      <c r="R65" s="175"/>
      <c r="S65" s="175"/>
      <c r="T65" s="176">
        <v>42941</v>
      </c>
      <c r="U65" s="172">
        <f t="shared" si="5"/>
        <v>1</v>
      </c>
      <c r="V65" s="177">
        <f t="shared" si="2"/>
        <v>69750</v>
      </c>
      <c r="W65" s="177">
        <f t="shared" si="3"/>
        <v>69750</v>
      </c>
      <c r="X65" s="177">
        <f>SUMIF(Invoices!$D$2:$D$83,$B65,Invoices!$E$2:$E$83)</f>
        <v>0</v>
      </c>
      <c r="Y65" s="177">
        <f t="shared" si="4"/>
        <v>0</v>
      </c>
      <c r="Z65" s="178"/>
    </row>
    <row r="66" spans="1:26" ht="14.45" customHeight="1" x14ac:dyDescent="0.2">
      <c r="A66" s="198">
        <v>57</v>
      </c>
      <c r="B66" s="179" t="s">
        <v>343</v>
      </c>
      <c r="C66" s="170">
        <f t="shared" si="6"/>
        <v>57</v>
      </c>
      <c r="D66" s="180">
        <v>69750</v>
      </c>
      <c r="E66" s="172"/>
      <c r="F66" s="182"/>
      <c r="G66" s="174"/>
      <c r="H66" s="174"/>
      <c r="I66" s="174"/>
      <c r="J66" s="174"/>
      <c r="K66" s="174"/>
      <c r="L66" s="175"/>
      <c r="M66" s="175"/>
      <c r="N66" s="175"/>
      <c r="O66" s="175"/>
      <c r="P66" s="175">
        <v>69750</v>
      </c>
      <c r="Q66" s="175"/>
      <c r="R66" s="175"/>
      <c r="S66" s="175"/>
      <c r="T66" s="176">
        <v>42962</v>
      </c>
      <c r="U66" s="172">
        <f t="shared" si="5"/>
        <v>1</v>
      </c>
      <c r="V66" s="177">
        <f t="shared" si="2"/>
        <v>69750</v>
      </c>
      <c r="W66" s="177">
        <f t="shared" si="3"/>
        <v>69750</v>
      </c>
      <c r="X66" s="177">
        <f>SUMIF(Invoices!$D$2:$D$83,$B66,Invoices!$E$2:$E$83)</f>
        <v>0</v>
      </c>
      <c r="Y66" s="177">
        <f t="shared" si="4"/>
        <v>0</v>
      </c>
      <c r="Z66" s="178"/>
    </row>
    <row r="67" spans="1:26" ht="14.45" customHeight="1" x14ac:dyDescent="0.2">
      <c r="A67" s="198">
        <v>58</v>
      </c>
      <c r="B67" s="179" t="s">
        <v>344</v>
      </c>
      <c r="C67" s="170">
        <f t="shared" si="6"/>
        <v>58</v>
      </c>
      <c r="D67" s="180">
        <v>299200</v>
      </c>
      <c r="E67" s="172"/>
      <c r="F67" s="182"/>
      <c r="G67" s="174"/>
      <c r="H67" s="174"/>
      <c r="I67" s="174"/>
      <c r="J67" s="174"/>
      <c r="K67" s="174"/>
      <c r="L67" s="175"/>
      <c r="M67" s="175"/>
      <c r="N67" s="175"/>
      <c r="O67" s="175"/>
      <c r="P67" s="175"/>
      <c r="Q67" s="175"/>
      <c r="R67" s="175"/>
      <c r="S67" s="175"/>
      <c r="T67" s="176">
        <v>43187</v>
      </c>
      <c r="U67" s="172">
        <f t="shared" si="5"/>
        <v>0</v>
      </c>
      <c r="V67" s="177">
        <f t="shared" si="2"/>
        <v>0</v>
      </c>
      <c r="W67" s="177">
        <f t="shared" si="3"/>
        <v>299200</v>
      </c>
      <c r="X67" s="177">
        <f>SUMIF(Invoices!$D$2:$D$83,$B67,Invoices!$E$2:$E$83)</f>
        <v>0</v>
      </c>
      <c r="Y67" s="177">
        <f t="shared" si="4"/>
        <v>0</v>
      </c>
      <c r="Z67" s="178"/>
    </row>
    <row r="68" spans="1:26" ht="14.45" customHeight="1" x14ac:dyDescent="0.2">
      <c r="A68" s="198">
        <v>59</v>
      </c>
      <c r="B68" s="179" t="s">
        <v>344</v>
      </c>
      <c r="C68" s="170">
        <f t="shared" si="6"/>
        <v>59</v>
      </c>
      <c r="D68" s="180">
        <v>299200</v>
      </c>
      <c r="E68" s="172"/>
      <c r="F68" s="182"/>
      <c r="G68" s="174"/>
      <c r="H68" s="174"/>
      <c r="I68" s="174"/>
      <c r="J68" s="174"/>
      <c r="K68" s="174"/>
      <c r="L68" s="175"/>
      <c r="M68" s="175"/>
      <c r="N68" s="175"/>
      <c r="O68" s="175"/>
      <c r="P68" s="175"/>
      <c r="Q68" s="175"/>
      <c r="R68" s="175"/>
      <c r="S68" s="175"/>
      <c r="T68" s="176">
        <v>43194</v>
      </c>
      <c r="U68" s="172">
        <f t="shared" si="5"/>
        <v>0</v>
      </c>
      <c r="V68" s="177">
        <f t="shared" si="2"/>
        <v>0</v>
      </c>
      <c r="W68" s="177">
        <f t="shared" si="3"/>
        <v>299200</v>
      </c>
      <c r="X68" s="177">
        <f>SUMIF(Invoices!$D$2:$D$83,$B68,Invoices!$E$2:$E$83)</f>
        <v>0</v>
      </c>
      <c r="Y68" s="177">
        <f t="shared" si="4"/>
        <v>0</v>
      </c>
      <c r="Z68" s="178"/>
    </row>
    <row r="69" spans="1:26" ht="14.45" customHeight="1" x14ac:dyDescent="0.2">
      <c r="A69" s="198">
        <v>60</v>
      </c>
      <c r="B69" s="179" t="s">
        <v>344</v>
      </c>
      <c r="C69" s="170">
        <f t="shared" si="6"/>
        <v>60</v>
      </c>
      <c r="D69" s="180">
        <v>299200</v>
      </c>
      <c r="E69" s="172"/>
      <c r="F69" s="182"/>
      <c r="G69" s="174"/>
      <c r="H69" s="174"/>
      <c r="I69" s="174"/>
      <c r="J69" s="174"/>
      <c r="K69" s="174"/>
      <c r="L69" s="175"/>
      <c r="M69" s="175"/>
      <c r="N69" s="175"/>
      <c r="O69" s="175"/>
      <c r="P69" s="175"/>
      <c r="Q69" s="175"/>
      <c r="R69" s="175"/>
      <c r="S69" s="175"/>
      <c r="T69" s="176">
        <v>43201</v>
      </c>
      <c r="U69" s="172">
        <f t="shared" si="5"/>
        <v>0</v>
      </c>
      <c r="V69" s="177">
        <f t="shared" si="2"/>
        <v>0</v>
      </c>
      <c r="W69" s="177">
        <f t="shared" si="3"/>
        <v>299200</v>
      </c>
      <c r="X69" s="177">
        <f>SUMIF(Invoices!$D$2:$D$83,$B69,Invoices!$E$2:$E$83)</f>
        <v>0</v>
      </c>
      <c r="Y69" s="177">
        <f t="shared" si="4"/>
        <v>0</v>
      </c>
      <c r="Z69" s="178"/>
    </row>
    <row r="70" spans="1:26" ht="14.45" customHeight="1" x14ac:dyDescent="0.2">
      <c r="A70" s="198">
        <v>61</v>
      </c>
      <c r="B70" s="179" t="s">
        <v>344</v>
      </c>
      <c r="C70" s="170">
        <f t="shared" si="6"/>
        <v>61</v>
      </c>
      <c r="D70" s="180">
        <v>299200</v>
      </c>
      <c r="E70" s="172"/>
      <c r="F70" s="182"/>
      <c r="G70" s="174"/>
      <c r="H70" s="174"/>
      <c r="I70" s="174"/>
      <c r="J70" s="174"/>
      <c r="K70" s="174"/>
      <c r="L70" s="175"/>
      <c r="M70" s="175"/>
      <c r="N70" s="175"/>
      <c r="O70" s="175"/>
      <c r="P70" s="175"/>
      <c r="Q70" s="175"/>
      <c r="R70" s="175"/>
      <c r="S70" s="175"/>
      <c r="T70" s="176">
        <v>43208</v>
      </c>
      <c r="U70" s="172">
        <f t="shared" si="5"/>
        <v>0</v>
      </c>
      <c r="V70" s="177">
        <f t="shared" si="2"/>
        <v>0</v>
      </c>
      <c r="W70" s="177">
        <f t="shared" si="3"/>
        <v>299200</v>
      </c>
      <c r="X70" s="177">
        <f>SUMIF(Invoices!$D$2:$D$83,$B70,Invoices!$E$2:$E$83)</f>
        <v>0</v>
      </c>
      <c r="Y70" s="177">
        <f t="shared" si="4"/>
        <v>0</v>
      </c>
      <c r="Z70" s="178"/>
    </row>
    <row r="71" spans="1:26" ht="14.45" customHeight="1" x14ac:dyDescent="0.2">
      <c r="A71" s="198">
        <v>62</v>
      </c>
      <c r="B71" s="179" t="s">
        <v>344</v>
      </c>
      <c r="C71" s="170">
        <f t="shared" si="6"/>
        <v>62</v>
      </c>
      <c r="D71" s="180">
        <v>299200</v>
      </c>
      <c r="E71" s="172"/>
      <c r="F71" s="182"/>
      <c r="G71" s="174"/>
      <c r="H71" s="174"/>
      <c r="I71" s="174"/>
      <c r="J71" s="174"/>
      <c r="K71" s="174"/>
      <c r="L71" s="175"/>
      <c r="M71" s="175"/>
      <c r="N71" s="175"/>
      <c r="O71" s="175"/>
      <c r="P71" s="175"/>
      <c r="Q71" s="175"/>
      <c r="R71" s="175"/>
      <c r="S71" s="175"/>
      <c r="T71" s="176">
        <v>43215</v>
      </c>
      <c r="U71" s="172">
        <f t="shared" si="5"/>
        <v>0</v>
      </c>
      <c r="V71" s="177">
        <f t="shared" si="2"/>
        <v>0</v>
      </c>
      <c r="W71" s="177">
        <f t="shared" si="3"/>
        <v>299200</v>
      </c>
      <c r="X71" s="177">
        <f>SUMIF(Invoices!$D$2:$D$83,$B71,Invoices!$E$2:$E$83)</f>
        <v>0</v>
      </c>
      <c r="Y71" s="177">
        <f t="shared" si="4"/>
        <v>0</v>
      </c>
      <c r="Z71" s="178"/>
    </row>
    <row r="72" spans="1:26" ht="14.45" customHeight="1" x14ac:dyDescent="0.2">
      <c r="A72" s="198">
        <v>63</v>
      </c>
      <c r="B72" s="179" t="s">
        <v>344</v>
      </c>
      <c r="C72" s="170">
        <f t="shared" si="6"/>
        <v>63</v>
      </c>
      <c r="D72" s="180">
        <v>299200</v>
      </c>
      <c r="E72" s="172"/>
      <c r="F72" s="182"/>
      <c r="G72" s="174"/>
      <c r="H72" s="174"/>
      <c r="I72" s="174"/>
      <c r="J72" s="174"/>
      <c r="K72" s="174"/>
      <c r="L72" s="175"/>
      <c r="M72" s="175"/>
      <c r="N72" s="175"/>
      <c r="O72" s="175"/>
      <c r="P72" s="175"/>
      <c r="Q72" s="175"/>
      <c r="R72" s="175"/>
      <c r="S72" s="175"/>
      <c r="T72" s="176">
        <v>43222</v>
      </c>
      <c r="U72" s="172">
        <f t="shared" si="5"/>
        <v>0</v>
      </c>
      <c r="V72" s="177">
        <f t="shared" si="2"/>
        <v>0</v>
      </c>
      <c r="W72" s="177">
        <f t="shared" si="3"/>
        <v>299200</v>
      </c>
      <c r="X72" s="177">
        <f>SUMIF(Invoices!$D$2:$D$83,$B72,Invoices!$E$2:$E$83)</f>
        <v>0</v>
      </c>
      <c r="Y72" s="177">
        <f t="shared" si="4"/>
        <v>0</v>
      </c>
      <c r="Z72" s="178"/>
    </row>
    <row r="73" spans="1:26" ht="14.45" customHeight="1" x14ac:dyDescent="0.2">
      <c r="A73" s="198">
        <v>64</v>
      </c>
      <c r="B73" s="179" t="s">
        <v>344</v>
      </c>
      <c r="C73" s="170">
        <f t="shared" si="6"/>
        <v>64</v>
      </c>
      <c r="D73" s="180">
        <v>299200</v>
      </c>
      <c r="E73" s="172"/>
      <c r="F73" s="182"/>
      <c r="G73" s="174"/>
      <c r="H73" s="174"/>
      <c r="I73" s="174"/>
      <c r="J73" s="174"/>
      <c r="K73" s="174"/>
      <c r="L73" s="175"/>
      <c r="M73" s="175"/>
      <c r="N73" s="175"/>
      <c r="O73" s="175"/>
      <c r="P73" s="175"/>
      <c r="Q73" s="175"/>
      <c r="R73" s="175"/>
      <c r="S73" s="175"/>
      <c r="T73" s="176">
        <v>43229</v>
      </c>
      <c r="U73" s="172">
        <f t="shared" si="5"/>
        <v>0</v>
      </c>
      <c r="V73" s="177">
        <f t="shared" si="2"/>
        <v>0</v>
      </c>
      <c r="W73" s="177">
        <f t="shared" si="3"/>
        <v>299200</v>
      </c>
      <c r="X73" s="177">
        <f>SUMIF(Invoices!$D$2:$D$83,$B73,Invoices!$E$2:$E$83)</f>
        <v>0</v>
      </c>
      <c r="Y73" s="177">
        <f t="shared" si="4"/>
        <v>0</v>
      </c>
      <c r="Z73" s="178"/>
    </row>
    <row r="74" spans="1:26" ht="14.45" customHeight="1" x14ac:dyDescent="0.2">
      <c r="A74" s="198">
        <v>65</v>
      </c>
      <c r="B74" s="179" t="s">
        <v>344</v>
      </c>
      <c r="C74" s="170">
        <f t="shared" si="6"/>
        <v>65</v>
      </c>
      <c r="D74" s="180">
        <v>299200</v>
      </c>
      <c r="E74" s="172"/>
      <c r="F74" s="182"/>
      <c r="G74" s="174"/>
      <c r="H74" s="174"/>
      <c r="I74" s="174"/>
      <c r="J74" s="174"/>
      <c r="K74" s="174"/>
      <c r="L74" s="175"/>
      <c r="M74" s="175"/>
      <c r="N74" s="175"/>
      <c r="O74" s="175"/>
      <c r="P74" s="175"/>
      <c r="Q74" s="175"/>
      <c r="R74" s="175"/>
      <c r="S74" s="175"/>
      <c r="T74" s="176">
        <v>43236</v>
      </c>
      <c r="U74" s="172">
        <f t="shared" ref="U74:U99" si="7">IF(E74&lt;1,SUM(F74:S74)/D74+E74,1)</f>
        <v>0</v>
      </c>
      <c r="V74" s="177">
        <f t="shared" si="2"/>
        <v>0</v>
      </c>
      <c r="W74" s="177">
        <f t="shared" si="3"/>
        <v>299200</v>
      </c>
      <c r="X74" s="177">
        <f>SUMIF(Invoices!$D$2:$D$83,$B74,Invoices!$E$2:$E$83)</f>
        <v>0</v>
      </c>
      <c r="Y74" s="177">
        <f t="shared" si="4"/>
        <v>0</v>
      </c>
      <c r="Z74" s="178"/>
    </row>
    <row r="75" spans="1:26" ht="14.45" customHeight="1" x14ac:dyDescent="0.2">
      <c r="A75" s="198">
        <v>66</v>
      </c>
      <c r="B75" s="179" t="s">
        <v>345</v>
      </c>
      <c r="C75" s="170">
        <f t="shared" si="6"/>
        <v>66</v>
      </c>
      <c r="D75" s="180">
        <v>23400</v>
      </c>
      <c r="E75" s="172"/>
      <c r="F75" s="182"/>
      <c r="G75" s="174"/>
      <c r="H75" s="174"/>
      <c r="I75" s="174"/>
      <c r="J75" s="174"/>
      <c r="K75" s="174"/>
      <c r="L75" s="175"/>
      <c r="M75" s="175"/>
      <c r="N75" s="175"/>
      <c r="O75" s="175"/>
      <c r="P75" s="175"/>
      <c r="Q75" s="175"/>
      <c r="R75" s="175"/>
      <c r="S75" s="175"/>
      <c r="T75" s="176">
        <v>43236</v>
      </c>
      <c r="U75" s="172">
        <f t="shared" si="7"/>
        <v>0</v>
      </c>
      <c r="V75" s="177">
        <f t="shared" ref="V75:V99" si="8">U75*D75</f>
        <v>0</v>
      </c>
      <c r="W75" s="177">
        <f t="shared" ref="W75:W93" si="9">D75-X75</f>
        <v>23400</v>
      </c>
      <c r="X75" s="177">
        <f>SUMIF(Invoices!$D$2:$D$83,$B75,Invoices!$E$2:$E$83)</f>
        <v>0</v>
      </c>
      <c r="Y75" s="177">
        <f t="shared" ref="Y75:Y93" si="10">D75-W75-X75</f>
        <v>0</v>
      </c>
      <c r="Z75" s="178"/>
    </row>
    <row r="76" spans="1:26" ht="14.45" customHeight="1" x14ac:dyDescent="0.2">
      <c r="A76" s="198">
        <v>67</v>
      </c>
      <c r="B76" s="179" t="s">
        <v>346</v>
      </c>
      <c r="C76" s="170">
        <f t="shared" si="6"/>
        <v>67</v>
      </c>
      <c r="D76" s="180">
        <v>93000</v>
      </c>
      <c r="E76" s="172"/>
      <c r="F76" s="182"/>
      <c r="G76" s="174"/>
      <c r="H76" s="174"/>
      <c r="I76" s="174"/>
      <c r="J76" s="174"/>
      <c r="K76" s="174"/>
      <c r="L76" s="175"/>
      <c r="M76" s="175"/>
      <c r="N76" s="175"/>
      <c r="O76" s="175"/>
      <c r="P76" s="175"/>
      <c r="Q76" s="175"/>
      <c r="R76" s="175">
        <v>9300</v>
      </c>
      <c r="S76" s="175">
        <f>9300*2</f>
        <v>18600</v>
      </c>
      <c r="T76" s="176">
        <v>43550</v>
      </c>
      <c r="U76" s="172">
        <f t="shared" si="7"/>
        <v>0.3</v>
      </c>
      <c r="V76" s="177">
        <f t="shared" si="8"/>
        <v>27900</v>
      </c>
      <c r="W76" s="177">
        <f t="shared" si="9"/>
        <v>93000</v>
      </c>
      <c r="X76" s="177">
        <f>SUMIF(Invoices!$D$2:$D$83,$B76,Invoices!$E$2:$E$83)</f>
        <v>0</v>
      </c>
      <c r="Y76" s="177">
        <f t="shared" si="10"/>
        <v>0</v>
      </c>
      <c r="Z76" s="178"/>
    </row>
    <row r="77" spans="1:26" ht="14.45" customHeight="1" x14ac:dyDescent="0.2">
      <c r="A77" s="198">
        <v>68</v>
      </c>
      <c r="B77" s="179" t="s">
        <v>347</v>
      </c>
      <c r="C77" s="170">
        <f t="shared" si="6"/>
        <v>68</v>
      </c>
      <c r="D77" s="180">
        <v>1299466.75</v>
      </c>
      <c r="E77" s="172"/>
      <c r="F77" s="182"/>
      <c r="G77" s="174"/>
      <c r="H77" s="174"/>
      <c r="I77" s="174"/>
      <c r="J77" s="174"/>
      <c r="K77" s="174"/>
      <c r="L77" s="175"/>
      <c r="M77" s="175"/>
      <c r="N77" s="175"/>
      <c r="O77" s="175"/>
      <c r="P77" s="175"/>
      <c r="Q77" s="175"/>
      <c r="R77" s="175">
        <v>1299466.75</v>
      </c>
      <c r="S77" s="175"/>
      <c r="T77" s="176">
        <v>43046</v>
      </c>
      <c r="U77" s="172">
        <f t="shared" si="7"/>
        <v>1</v>
      </c>
      <c r="V77" s="177">
        <f t="shared" si="8"/>
        <v>1299466.75</v>
      </c>
      <c r="W77" s="177">
        <f t="shared" si="9"/>
        <v>1299466.75</v>
      </c>
      <c r="X77" s="177">
        <f>SUMIF(Invoices!$D$2:$D$83,$B77,Invoices!$E$2:$E$83)</f>
        <v>0</v>
      </c>
      <c r="Y77" s="177">
        <f t="shared" si="10"/>
        <v>0</v>
      </c>
      <c r="Z77" s="178"/>
    </row>
    <row r="78" spans="1:26" ht="14.45" customHeight="1" x14ac:dyDescent="0.2">
      <c r="A78" s="198">
        <v>69</v>
      </c>
      <c r="B78" s="179" t="s">
        <v>348</v>
      </c>
      <c r="C78" s="170">
        <f t="shared" si="6"/>
        <v>69</v>
      </c>
      <c r="D78" s="180">
        <v>135725</v>
      </c>
      <c r="E78" s="172"/>
      <c r="F78" s="182"/>
      <c r="G78" s="174"/>
      <c r="H78" s="174"/>
      <c r="I78" s="174"/>
      <c r="J78" s="174"/>
      <c r="K78" s="174"/>
      <c r="L78" s="175"/>
      <c r="M78" s="175"/>
      <c r="N78" s="175"/>
      <c r="O78" s="175"/>
      <c r="P78" s="175"/>
      <c r="Q78" s="175"/>
      <c r="R78" s="175">
        <v>135725</v>
      </c>
      <c r="S78" s="175"/>
      <c r="T78" s="176">
        <v>43102</v>
      </c>
      <c r="U78" s="172">
        <f t="shared" si="7"/>
        <v>1</v>
      </c>
      <c r="V78" s="177">
        <f t="shared" si="8"/>
        <v>135725</v>
      </c>
      <c r="W78" s="177">
        <f t="shared" si="9"/>
        <v>135725</v>
      </c>
      <c r="X78" s="177">
        <f>SUMIF(Invoices!$D$2:$D$83,$B78,Invoices!$E$2:$E$83)</f>
        <v>0</v>
      </c>
      <c r="Y78" s="177">
        <f t="shared" si="10"/>
        <v>0</v>
      </c>
      <c r="Z78" s="178"/>
    </row>
    <row r="79" spans="1:26" ht="14.45" customHeight="1" x14ac:dyDescent="0.2">
      <c r="A79" s="198">
        <v>70</v>
      </c>
      <c r="B79" s="179" t="s">
        <v>349</v>
      </c>
      <c r="C79" s="170">
        <f t="shared" si="6"/>
        <v>70</v>
      </c>
      <c r="D79" s="180">
        <v>1299466.75</v>
      </c>
      <c r="E79" s="172"/>
      <c r="F79" s="182"/>
      <c r="G79" s="174"/>
      <c r="H79" s="174"/>
      <c r="I79" s="174"/>
      <c r="J79" s="174"/>
      <c r="K79" s="174"/>
      <c r="L79" s="175"/>
      <c r="M79" s="175"/>
      <c r="N79" s="175"/>
      <c r="O79" s="175"/>
      <c r="P79" s="175"/>
      <c r="Q79" s="175"/>
      <c r="R79" s="175"/>
      <c r="S79" s="175"/>
      <c r="T79" s="176">
        <v>43158</v>
      </c>
      <c r="U79" s="172">
        <f t="shared" si="7"/>
        <v>0</v>
      </c>
      <c r="V79" s="177">
        <f t="shared" si="8"/>
        <v>0</v>
      </c>
      <c r="W79" s="177">
        <f t="shared" si="9"/>
        <v>1299466.75</v>
      </c>
      <c r="X79" s="177">
        <f>SUMIF(Invoices!$D$2:$D$83,$B79,Invoices!$E$2:$E$83)</f>
        <v>0</v>
      </c>
      <c r="Y79" s="177">
        <f t="shared" si="10"/>
        <v>0</v>
      </c>
      <c r="Z79" s="178"/>
    </row>
    <row r="80" spans="1:26" ht="14.45" customHeight="1" x14ac:dyDescent="0.2">
      <c r="A80" s="198">
        <v>71</v>
      </c>
      <c r="B80" s="179" t="s">
        <v>350</v>
      </c>
      <c r="C80" s="170">
        <f t="shared" si="6"/>
        <v>71</v>
      </c>
      <c r="D80" s="180">
        <v>135725</v>
      </c>
      <c r="E80" s="172"/>
      <c r="F80" s="182"/>
      <c r="G80" s="174"/>
      <c r="H80" s="174"/>
      <c r="I80" s="174"/>
      <c r="J80" s="174"/>
      <c r="K80" s="174"/>
      <c r="L80" s="175"/>
      <c r="M80" s="175"/>
      <c r="N80" s="175"/>
      <c r="O80" s="175"/>
      <c r="P80" s="175"/>
      <c r="Q80" s="175"/>
      <c r="R80" s="175"/>
      <c r="S80" s="175"/>
      <c r="T80" s="176">
        <v>43214</v>
      </c>
      <c r="U80" s="172">
        <f t="shared" si="7"/>
        <v>0</v>
      </c>
      <c r="V80" s="177">
        <f t="shared" si="8"/>
        <v>0</v>
      </c>
      <c r="W80" s="177">
        <f t="shared" si="9"/>
        <v>135725</v>
      </c>
      <c r="X80" s="177">
        <f>SUMIF(Invoices!$D$2:$D$83,$B80,Invoices!$E$2:$E$83)</f>
        <v>0</v>
      </c>
      <c r="Y80" s="177">
        <f t="shared" si="10"/>
        <v>0</v>
      </c>
      <c r="Z80" s="178"/>
    </row>
    <row r="81" spans="1:26" ht="14.45" customHeight="1" x14ac:dyDescent="0.2">
      <c r="A81" s="198">
        <v>72</v>
      </c>
      <c r="B81" s="179" t="s">
        <v>351</v>
      </c>
      <c r="C81" s="170">
        <f t="shared" si="6"/>
        <v>72</v>
      </c>
      <c r="D81" s="180">
        <v>1299466.75</v>
      </c>
      <c r="E81" s="172"/>
      <c r="F81" s="182"/>
      <c r="G81" s="174"/>
      <c r="H81" s="174"/>
      <c r="I81" s="174"/>
      <c r="J81" s="174"/>
      <c r="K81" s="174"/>
      <c r="L81" s="175"/>
      <c r="M81" s="175"/>
      <c r="N81" s="175"/>
      <c r="O81" s="175"/>
      <c r="P81" s="175"/>
      <c r="Q81" s="175"/>
      <c r="R81" s="175"/>
      <c r="S81" s="175"/>
      <c r="T81" s="176">
        <v>43270</v>
      </c>
      <c r="U81" s="172">
        <f t="shared" si="7"/>
        <v>0</v>
      </c>
      <c r="V81" s="177">
        <f t="shared" si="8"/>
        <v>0</v>
      </c>
      <c r="W81" s="177">
        <f t="shared" si="9"/>
        <v>1299466.75</v>
      </c>
      <c r="X81" s="177">
        <f>SUMIF(Invoices!$D$2:$D$83,$B81,Invoices!$E$2:$E$83)</f>
        <v>0</v>
      </c>
      <c r="Y81" s="177">
        <f t="shared" si="10"/>
        <v>0</v>
      </c>
      <c r="Z81" s="178"/>
    </row>
    <row r="82" spans="1:26" ht="14.45" customHeight="1" x14ac:dyDescent="0.2">
      <c r="A82" s="198">
        <v>73</v>
      </c>
      <c r="B82" s="179" t="s">
        <v>352</v>
      </c>
      <c r="C82" s="170">
        <f t="shared" si="6"/>
        <v>73</v>
      </c>
      <c r="D82" s="180">
        <v>135725</v>
      </c>
      <c r="E82" s="172"/>
      <c r="F82" s="182"/>
      <c r="G82" s="174"/>
      <c r="H82" s="174"/>
      <c r="I82" s="174"/>
      <c r="J82" s="174"/>
      <c r="K82" s="174"/>
      <c r="L82" s="175"/>
      <c r="M82" s="175"/>
      <c r="N82" s="175"/>
      <c r="O82" s="175"/>
      <c r="P82" s="175"/>
      <c r="Q82" s="175"/>
      <c r="R82" s="175"/>
      <c r="S82" s="175"/>
      <c r="T82" s="176">
        <v>43326</v>
      </c>
      <c r="U82" s="172">
        <f t="shared" si="7"/>
        <v>0</v>
      </c>
      <c r="V82" s="177">
        <f t="shared" si="8"/>
        <v>0</v>
      </c>
      <c r="W82" s="177">
        <f t="shared" si="9"/>
        <v>135725</v>
      </c>
      <c r="X82" s="177">
        <f>SUMIF(Invoices!$D$2:$D$83,$B82,Invoices!$E$2:$E$83)</f>
        <v>0</v>
      </c>
      <c r="Y82" s="177">
        <f t="shared" si="10"/>
        <v>0</v>
      </c>
      <c r="Z82" s="178"/>
    </row>
    <row r="83" spans="1:26" ht="14.45" customHeight="1" x14ac:dyDescent="0.2">
      <c r="A83" s="198">
        <v>74</v>
      </c>
      <c r="B83" s="179" t="s">
        <v>353</v>
      </c>
      <c r="C83" s="170">
        <f t="shared" si="6"/>
        <v>74</v>
      </c>
      <c r="D83" s="180">
        <v>1299466.75</v>
      </c>
      <c r="E83" s="172"/>
      <c r="F83" s="182"/>
      <c r="G83" s="174"/>
      <c r="H83" s="174"/>
      <c r="I83" s="174"/>
      <c r="J83" s="174"/>
      <c r="K83" s="174"/>
      <c r="L83" s="175"/>
      <c r="M83" s="175"/>
      <c r="N83" s="175"/>
      <c r="O83" s="175"/>
      <c r="P83" s="175"/>
      <c r="Q83" s="175"/>
      <c r="R83" s="175"/>
      <c r="S83" s="175"/>
      <c r="T83" s="176">
        <v>43382</v>
      </c>
      <c r="U83" s="172">
        <f t="shared" si="7"/>
        <v>0</v>
      </c>
      <c r="V83" s="177">
        <f t="shared" si="8"/>
        <v>0</v>
      </c>
      <c r="W83" s="177">
        <f t="shared" si="9"/>
        <v>1299466.75</v>
      </c>
      <c r="X83" s="177">
        <f>SUMIF(Invoices!$D$2:$D$83,$B83,Invoices!$E$2:$E$83)</f>
        <v>0</v>
      </c>
      <c r="Y83" s="177">
        <f t="shared" si="10"/>
        <v>0</v>
      </c>
      <c r="Z83" s="178"/>
    </row>
    <row r="84" spans="1:26" ht="14.45" customHeight="1" x14ac:dyDescent="0.2">
      <c r="A84" s="198">
        <v>75</v>
      </c>
      <c r="B84" s="179" t="s">
        <v>354</v>
      </c>
      <c r="C84" s="170">
        <f t="shared" si="6"/>
        <v>75</v>
      </c>
      <c r="D84" s="180">
        <v>135725</v>
      </c>
      <c r="E84" s="172"/>
      <c r="F84" s="182"/>
      <c r="G84" s="174"/>
      <c r="H84" s="174"/>
      <c r="I84" s="174"/>
      <c r="J84" s="174"/>
      <c r="K84" s="174"/>
      <c r="L84" s="175"/>
      <c r="M84" s="175"/>
      <c r="N84" s="175"/>
      <c r="O84" s="175"/>
      <c r="P84" s="175"/>
      <c r="Q84" s="175"/>
      <c r="R84" s="175"/>
      <c r="S84" s="175"/>
      <c r="T84" s="176">
        <v>43438</v>
      </c>
      <c r="U84" s="172">
        <f t="shared" si="7"/>
        <v>0</v>
      </c>
      <c r="V84" s="177">
        <f t="shared" si="8"/>
        <v>0</v>
      </c>
      <c r="W84" s="177">
        <f t="shared" si="9"/>
        <v>135725</v>
      </c>
      <c r="X84" s="177">
        <f>SUMIF(Invoices!$D$2:$D$83,$B84,Invoices!$E$2:$E$83)</f>
        <v>0</v>
      </c>
      <c r="Y84" s="177">
        <f t="shared" si="10"/>
        <v>0</v>
      </c>
      <c r="Z84" s="178"/>
    </row>
    <row r="85" spans="1:26" ht="14.45" customHeight="1" x14ac:dyDescent="0.2">
      <c r="A85" s="198">
        <v>76</v>
      </c>
      <c r="B85" s="179" t="s">
        <v>355</v>
      </c>
      <c r="C85" s="170">
        <f t="shared" si="6"/>
        <v>76</v>
      </c>
      <c r="D85" s="180">
        <v>4500</v>
      </c>
      <c r="E85" s="172"/>
      <c r="F85" s="182"/>
      <c r="G85" s="174"/>
      <c r="H85" s="174"/>
      <c r="I85" s="174"/>
      <c r="J85" s="174"/>
      <c r="K85" s="174"/>
      <c r="L85" s="175"/>
      <c r="M85" s="175"/>
      <c r="N85" s="175"/>
      <c r="O85" s="175"/>
      <c r="P85" s="175"/>
      <c r="Q85" s="175"/>
      <c r="R85" s="175"/>
      <c r="S85" s="175"/>
      <c r="T85" s="176">
        <v>43627</v>
      </c>
      <c r="U85" s="172">
        <f t="shared" si="7"/>
        <v>0</v>
      </c>
      <c r="V85" s="177">
        <f t="shared" si="8"/>
        <v>0</v>
      </c>
      <c r="W85" s="177">
        <f t="shared" si="9"/>
        <v>4500</v>
      </c>
      <c r="X85" s="177">
        <f>SUMIF(Invoices!$D$2:$D$83,$B85,Invoices!$E$2:$E$83)</f>
        <v>0</v>
      </c>
      <c r="Y85" s="177">
        <f t="shared" si="10"/>
        <v>0</v>
      </c>
      <c r="Z85" s="178"/>
    </row>
    <row r="86" spans="1:26" ht="14.45" customHeight="1" x14ac:dyDescent="0.2">
      <c r="A86" s="198">
        <v>77</v>
      </c>
      <c r="B86" s="179" t="s">
        <v>356</v>
      </c>
      <c r="C86" s="170">
        <f t="shared" si="6"/>
        <v>77</v>
      </c>
      <c r="D86" s="180">
        <v>52300</v>
      </c>
      <c r="E86" s="172"/>
      <c r="F86" s="182"/>
      <c r="G86" s="174"/>
      <c r="H86" s="174"/>
      <c r="I86" s="174"/>
      <c r="J86" s="174"/>
      <c r="K86" s="174"/>
      <c r="L86" s="175"/>
      <c r="M86" s="175"/>
      <c r="N86" s="175"/>
      <c r="O86" s="175"/>
      <c r="P86" s="175"/>
      <c r="Q86" s="175"/>
      <c r="R86" s="175"/>
      <c r="S86" s="175"/>
      <c r="T86" s="176">
        <v>43438</v>
      </c>
      <c r="U86" s="172">
        <f t="shared" si="7"/>
        <v>0</v>
      </c>
      <c r="V86" s="177">
        <f t="shared" si="8"/>
        <v>0</v>
      </c>
      <c r="W86" s="177">
        <f t="shared" si="9"/>
        <v>52300</v>
      </c>
      <c r="X86" s="177">
        <f>SUMIF(Invoices!$D$2:$D$83,$B86,Invoices!$E$2:$E$83)</f>
        <v>0</v>
      </c>
      <c r="Y86" s="177">
        <f t="shared" si="10"/>
        <v>0</v>
      </c>
      <c r="Z86" s="178"/>
    </row>
    <row r="87" spans="1:26" ht="14.45" customHeight="1" x14ac:dyDescent="0.2">
      <c r="A87" s="198">
        <v>78</v>
      </c>
      <c r="B87" s="179" t="s">
        <v>357</v>
      </c>
      <c r="C87" s="170">
        <f t="shared" si="6"/>
        <v>78</v>
      </c>
      <c r="D87" s="180">
        <v>19400</v>
      </c>
      <c r="E87" s="172"/>
      <c r="F87" s="182"/>
      <c r="G87" s="174"/>
      <c r="H87" s="174"/>
      <c r="I87" s="174"/>
      <c r="J87" s="174"/>
      <c r="K87" s="174"/>
      <c r="L87" s="175"/>
      <c r="M87" s="175"/>
      <c r="N87" s="175"/>
      <c r="O87" s="175"/>
      <c r="P87" s="175"/>
      <c r="Q87" s="175"/>
      <c r="R87" s="175"/>
      <c r="S87" s="175"/>
      <c r="T87" s="176">
        <v>43214</v>
      </c>
      <c r="U87" s="172">
        <f t="shared" si="7"/>
        <v>0</v>
      </c>
      <c r="V87" s="177">
        <f t="shared" si="8"/>
        <v>0</v>
      </c>
      <c r="W87" s="177">
        <f t="shared" si="9"/>
        <v>19400</v>
      </c>
      <c r="X87" s="177">
        <f>SUMIF(Invoices!$D$2:$D$83,$B87,Invoices!$E$2:$E$83)</f>
        <v>0</v>
      </c>
      <c r="Y87" s="177">
        <f t="shared" si="10"/>
        <v>0</v>
      </c>
      <c r="Z87" s="178"/>
    </row>
    <row r="88" spans="1:26" ht="14.45" customHeight="1" x14ac:dyDescent="0.2">
      <c r="A88" s="198">
        <v>79</v>
      </c>
      <c r="B88" s="179" t="s">
        <v>358</v>
      </c>
      <c r="C88" s="170">
        <f t="shared" si="6"/>
        <v>79</v>
      </c>
      <c r="D88" s="180">
        <v>19400</v>
      </c>
      <c r="E88" s="172"/>
      <c r="F88" s="182"/>
      <c r="G88" s="174"/>
      <c r="H88" s="174"/>
      <c r="I88" s="174"/>
      <c r="J88" s="174"/>
      <c r="K88" s="174"/>
      <c r="L88" s="175"/>
      <c r="M88" s="175"/>
      <c r="N88" s="175"/>
      <c r="O88" s="175"/>
      <c r="P88" s="175"/>
      <c r="Q88" s="175"/>
      <c r="R88" s="175"/>
      <c r="S88" s="175"/>
      <c r="T88" s="176">
        <v>43326</v>
      </c>
      <c r="U88" s="172">
        <f t="shared" si="7"/>
        <v>0</v>
      </c>
      <c r="V88" s="177">
        <f t="shared" si="8"/>
        <v>0</v>
      </c>
      <c r="W88" s="177">
        <f t="shared" si="9"/>
        <v>19400</v>
      </c>
      <c r="X88" s="177">
        <f>SUMIF(Invoices!$D$2:$D$83,$B88,Invoices!$E$2:$E$83)</f>
        <v>0</v>
      </c>
      <c r="Y88" s="177">
        <f t="shared" si="10"/>
        <v>0</v>
      </c>
      <c r="Z88" s="178"/>
    </row>
    <row r="89" spans="1:26" ht="14.45" customHeight="1" x14ac:dyDescent="0.2">
      <c r="A89" s="198">
        <v>80</v>
      </c>
      <c r="B89" s="179" t="s">
        <v>359</v>
      </c>
      <c r="C89" s="170">
        <f t="shared" si="6"/>
        <v>80</v>
      </c>
      <c r="D89" s="180">
        <v>19400</v>
      </c>
      <c r="E89" s="172"/>
      <c r="F89" s="182"/>
      <c r="G89" s="174"/>
      <c r="H89" s="174"/>
      <c r="I89" s="174"/>
      <c r="J89" s="174"/>
      <c r="K89" s="174"/>
      <c r="L89" s="175"/>
      <c r="M89" s="175"/>
      <c r="N89" s="175"/>
      <c r="O89" s="175"/>
      <c r="P89" s="175"/>
      <c r="Q89" s="175"/>
      <c r="R89" s="175"/>
      <c r="S89" s="175"/>
      <c r="T89" s="176">
        <v>43438</v>
      </c>
      <c r="U89" s="172">
        <f t="shared" si="7"/>
        <v>0</v>
      </c>
      <c r="V89" s="177">
        <f t="shared" si="8"/>
        <v>0</v>
      </c>
      <c r="W89" s="177">
        <f t="shared" si="9"/>
        <v>19400</v>
      </c>
      <c r="X89" s="177">
        <f>SUMIF(Invoices!$D$2:$D$83,$B89,Invoices!$E$2:$E$83)</f>
        <v>0</v>
      </c>
      <c r="Y89" s="177">
        <f t="shared" si="10"/>
        <v>0</v>
      </c>
      <c r="Z89" s="178"/>
    </row>
    <row r="90" spans="1:26" ht="14.45" customHeight="1" x14ac:dyDescent="0.2">
      <c r="A90" s="198">
        <v>81</v>
      </c>
      <c r="B90" s="179" t="s">
        <v>360</v>
      </c>
      <c r="C90" s="170">
        <f t="shared" si="6"/>
        <v>81</v>
      </c>
      <c r="D90" s="180">
        <v>19400</v>
      </c>
      <c r="E90" s="172"/>
      <c r="F90" s="182"/>
      <c r="G90" s="174"/>
      <c r="H90" s="174"/>
      <c r="I90" s="174"/>
      <c r="J90" s="174"/>
      <c r="K90" s="174"/>
      <c r="L90" s="175"/>
      <c r="M90" s="175"/>
      <c r="N90" s="175"/>
      <c r="O90" s="175"/>
      <c r="P90" s="175"/>
      <c r="Q90" s="175"/>
      <c r="R90" s="175"/>
      <c r="S90" s="175"/>
      <c r="T90" s="176">
        <v>43550</v>
      </c>
      <c r="U90" s="172">
        <f t="shared" si="7"/>
        <v>0</v>
      </c>
      <c r="V90" s="177">
        <f t="shared" si="8"/>
        <v>0</v>
      </c>
      <c r="W90" s="177">
        <f t="shared" si="9"/>
        <v>19400</v>
      </c>
      <c r="X90" s="177">
        <f>SUMIF(Invoices!$D$2:$D$83,$B90,Invoices!$E$2:$E$83)</f>
        <v>0</v>
      </c>
      <c r="Y90" s="177">
        <f t="shared" si="10"/>
        <v>0</v>
      </c>
      <c r="Z90" s="178"/>
    </row>
    <row r="91" spans="1:26" ht="14.45" customHeight="1" x14ac:dyDescent="0.2">
      <c r="A91" s="198">
        <v>82</v>
      </c>
      <c r="B91" s="179" t="s">
        <v>361</v>
      </c>
      <c r="C91" s="170">
        <f t="shared" si="6"/>
        <v>82</v>
      </c>
      <c r="D91" s="180">
        <v>492989</v>
      </c>
      <c r="E91" s="172"/>
      <c r="F91" s="182"/>
      <c r="G91" s="174"/>
      <c r="H91" s="174"/>
      <c r="I91" s="174"/>
      <c r="J91" s="174"/>
      <c r="K91" s="174">
        <v>428480</v>
      </c>
      <c r="L91" s="175">
        <v>64509</v>
      </c>
      <c r="M91" s="175"/>
      <c r="N91" s="175"/>
      <c r="O91" s="175"/>
      <c r="P91" s="175"/>
      <c r="Q91" s="175"/>
      <c r="R91" s="175"/>
      <c r="S91" s="175"/>
      <c r="T91" s="176">
        <v>42987</v>
      </c>
      <c r="U91" s="172">
        <f t="shared" si="7"/>
        <v>1</v>
      </c>
      <c r="V91" s="177">
        <f t="shared" si="8"/>
        <v>492989</v>
      </c>
      <c r="W91" s="177">
        <f t="shared" si="9"/>
        <v>64509</v>
      </c>
      <c r="X91" s="177">
        <f>SUMIF(Invoices!$D$2:$D$83,$B91,Invoices!$E$2:$E$83)</f>
        <v>428480</v>
      </c>
      <c r="Y91" s="177">
        <f t="shared" si="10"/>
        <v>0</v>
      </c>
      <c r="Z91" s="178"/>
    </row>
    <row r="92" spans="1:26" ht="14.45" customHeight="1" x14ac:dyDescent="0.2">
      <c r="A92" s="198">
        <v>83</v>
      </c>
      <c r="B92" s="179" t="s">
        <v>362</v>
      </c>
      <c r="C92" s="170">
        <f t="shared" si="6"/>
        <v>83</v>
      </c>
      <c r="D92" s="180">
        <v>499816</v>
      </c>
      <c r="E92" s="172"/>
      <c r="F92" s="182"/>
      <c r="G92" s="174"/>
      <c r="H92" s="174"/>
      <c r="I92" s="174"/>
      <c r="J92" s="174"/>
      <c r="K92" s="174"/>
      <c r="L92" s="175"/>
      <c r="M92" s="175"/>
      <c r="N92" s="175"/>
      <c r="O92" s="175"/>
      <c r="P92" s="175"/>
      <c r="Q92" s="175"/>
      <c r="R92" s="175">
        <v>499816</v>
      </c>
      <c r="S92" s="175"/>
      <c r="T92" s="176">
        <v>42740</v>
      </c>
      <c r="U92" s="172">
        <f t="shared" si="7"/>
        <v>1</v>
      </c>
      <c r="V92" s="177">
        <f t="shared" si="8"/>
        <v>499816</v>
      </c>
      <c r="W92" s="177">
        <f t="shared" si="9"/>
        <v>499816</v>
      </c>
      <c r="X92" s="177">
        <f>SUMIF(Invoices!$D$2:$D$83,$B92,Invoices!$E$2:$E$83)</f>
        <v>0</v>
      </c>
      <c r="Y92" s="177">
        <f t="shared" si="10"/>
        <v>0</v>
      </c>
      <c r="Z92" s="178"/>
    </row>
    <row r="93" spans="1:26" ht="14.45" customHeight="1" x14ac:dyDescent="0.2">
      <c r="A93" s="198">
        <v>84</v>
      </c>
      <c r="B93" s="179" t="s">
        <v>363</v>
      </c>
      <c r="C93" s="170">
        <f t="shared" si="6"/>
        <v>84</v>
      </c>
      <c r="D93" s="180">
        <v>40000</v>
      </c>
      <c r="E93" s="172"/>
      <c r="F93" s="182"/>
      <c r="G93" s="174"/>
      <c r="H93" s="174"/>
      <c r="I93" s="174"/>
      <c r="J93" s="174"/>
      <c r="K93" s="174"/>
      <c r="L93" s="175"/>
      <c r="M93" s="175"/>
      <c r="N93" s="175"/>
      <c r="O93" s="175"/>
      <c r="P93" s="175"/>
      <c r="Q93" s="175"/>
      <c r="R93" s="175"/>
      <c r="S93" s="175"/>
      <c r="T93" s="176">
        <v>43131</v>
      </c>
      <c r="U93" s="172">
        <f t="shared" si="7"/>
        <v>0</v>
      </c>
      <c r="V93" s="177">
        <f t="shared" si="8"/>
        <v>0</v>
      </c>
      <c r="W93" s="177">
        <f t="shared" si="9"/>
        <v>40000</v>
      </c>
      <c r="X93" s="202">
        <f>SUMIF(Invoices!$D$2:$D$83,$B93,Invoices!$E$2:$E$83)</f>
        <v>0</v>
      </c>
      <c r="Y93" s="177">
        <f t="shared" si="10"/>
        <v>0</v>
      </c>
      <c r="Z93" s="178"/>
    </row>
    <row r="94" spans="1:26" ht="14.45" customHeight="1" x14ac:dyDescent="0.2">
      <c r="A94" s="198">
        <v>85</v>
      </c>
      <c r="B94" s="179" t="s">
        <v>476</v>
      </c>
      <c r="C94" s="170">
        <f t="shared" si="6"/>
        <v>85</v>
      </c>
      <c r="D94" s="180">
        <v>6150</v>
      </c>
      <c r="E94" s="172"/>
      <c r="F94" s="182"/>
      <c r="G94" s="174"/>
      <c r="H94" s="174"/>
      <c r="I94" s="174"/>
      <c r="J94" s="174"/>
      <c r="K94" s="174"/>
      <c r="L94" s="175"/>
      <c r="M94" s="175">
        <v>6150</v>
      </c>
      <c r="N94" s="175"/>
      <c r="O94" s="175"/>
      <c r="P94" s="175"/>
      <c r="Q94" s="175"/>
      <c r="R94" s="175"/>
      <c r="S94" s="175"/>
      <c r="T94" s="176">
        <v>42885</v>
      </c>
      <c r="U94" s="172">
        <f t="shared" si="7"/>
        <v>1</v>
      </c>
      <c r="V94" s="177">
        <f t="shared" si="8"/>
        <v>6150</v>
      </c>
      <c r="W94" s="177">
        <f t="shared" ref="W94" si="11">V94-X94</f>
        <v>0</v>
      </c>
      <c r="X94" s="202">
        <f>SUMIF(Invoices!$D$2:$D$83,$B94,Invoices!$E$2:$E$83)</f>
        <v>6150</v>
      </c>
      <c r="Y94" s="177">
        <f t="shared" ref="Y94:Y99" si="12">V94-W94-X94</f>
        <v>0</v>
      </c>
      <c r="Z94" s="178"/>
    </row>
    <row r="95" spans="1:26" ht="14.45" customHeight="1" x14ac:dyDescent="0.2">
      <c r="A95" s="198">
        <v>86</v>
      </c>
      <c r="B95" s="179" t="s">
        <v>477</v>
      </c>
      <c r="C95" s="170">
        <f t="shared" si="6"/>
        <v>86</v>
      </c>
      <c r="D95" s="180">
        <v>299200</v>
      </c>
      <c r="E95" s="172"/>
      <c r="F95" s="182"/>
      <c r="G95" s="174"/>
      <c r="H95" s="174"/>
      <c r="I95" s="174"/>
      <c r="J95" s="174"/>
      <c r="K95" s="174"/>
      <c r="L95" s="175"/>
      <c r="M95" s="175"/>
      <c r="N95" s="175"/>
      <c r="O95" s="175"/>
      <c r="P95" s="175"/>
      <c r="Q95" s="175"/>
      <c r="R95" s="175"/>
      <c r="S95" s="175">
        <v>299200</v>
      </c>
      <c r="T95" s="176">
        <v>43115</v>
      </c>
      <c r="U95" s="172">
        <f t="shared" si="7"/>
        <v>1</v>
      </c>
      <c r="V95" s="177">
        <f t="shared" si="8"/>
        <v>299200</v>
      </c>
      <c r="W95" s="177">
        <f t="shared" ref="W95:W100" si="13">D95-X95</f>
        <v>299200</v>
      </c>
      <c r="X95" s="202">
        <f>SUMIF(Invoices!$D$2:$D$83,$B95,Invoices!$E$2:$E$83)</f>
        <v>0</v>
      </c>
      <c r="Y95" s="177">
        <f t="shared" si="12"/>
        <v>0</v>
      </c>
      <c r="Z95" s="178"/>
    </row>
    <row r="96" spans="1:26" ht="14.45" customHeight="1" x14ac:dyDescent="0.2">
      <c r="A96" s="198">
        <v>87</v>
      </c>
      <c r="B96" s="179" t="s">
        <v>478</v>
      </c>
      <c r="C96" s="170">
        <f t="shared" si="6"/>
        <v>87</v>
      </c>
      <c r="D96" s="180">
        <v>299200</v>
      </c>
      <c r="E96" s="172"/>
      <c r="F96" s="182"/>
      <c r="G96" s="174"/>
      <c r="H96" s="174"/>
      <c r="I96" s="174"/>
      <c r="J96" s="174"/>
      <c r="K96" s="174"/>
      <c r="L96" s="175"/>
      <c r="M96" s="175"/>
      <c r="N96" s="175"/>
      <c r="O96" s="175"/>
      <c r="P96" s="175"/>
      <c r="Q96" s="175"/>
      <c r="R96" s="175"/>
      <c r="S96" s="175">
        <v>299200</v>
      </c>
      <c r="T96" s="176">
        <v>43122</v>
      </c>
      <c r="U96" s="172">
        <f t="shared" si="7"/>
        <v>1</v>
      </c>
      <c r="V96" s="177">
        <f t="shared" si="8"/>
        <v>299200</v>
      </c>
      <c r="W96" s="177">
        <f t="shared" si="13"/>
        <v>299200</v>
      </c>
      <c r="X96" s="202">
        <f>SUMIF(Invoices!$D$2:$D$83,$B96,Invoices!$E$2:$E$83)</f>
        <v>0</v>
      </c>
      <c r="Y96" s="177">
        <f t="shared" si="12"/>
        <v>0</v>
      </c>
      <c r="Z96" s="178"/>
    </row>
    <row r="97" spans="1:26" ht="14.45" customHeight="1" x14ac:dyDescent="0.2">
      <c r="A97" s="198">
        <v>88</v>
      </c>
      <c r="B97" s="179" t="s">
        <v>479</v>
      </c>
      <c r="C97" s="170">
        <f t="shared" si="6"/>
        <v>88</v>
      </c>
      <c r="D97" s="180">
        <v>299200</v>
      </c>
      <c r="E97" s="172"/>
      <c r="F97" s="182"/>
      <c r="G97" s="174"/>
      <c r="H97" s="174"/>
      <c r="I97" s="174"/>
      <c r="J97" s="174"/>
      <c r="K97" s="174"/>
      <c r="L97" s="175"/>
      <c r="M97" s="175"/>
      <c r="N97" s="175"/>
      <c r="O97" s="175"/>
      <c r="P97" s="175"/>
      <c r="Q97" s="175"/>
      <c r="R97" s="175"/>
      <c r="S97" s="175">
        <v>299200</v>
      </c>
      <c r="T97" s="176">
        <v>43129</v>
      </c>
      <c r="U97" s="172">
        <f t="shared" si="7"/>
        <v>1</v>
      </c>
      <c r="V97" s="177">
        <f t="shared" si="8"/>
        <v>299200</v>
      </c>
      <c r="W97" s="177">
        <f t="shared" si="13"/>
        <v>299200</v>
      </c>
      <c r="X97" s="202">
        <f>SUMIF(Invoices!$D$2:$D$83,$B97,Invoices!$E$2:$E$83)</f>
        <v>0</v>
      </c>
      <c r="Y97" s="177">
        <f>V97-W97-X97</f>
        <v>0</v>
      </c>
      <c r="Z97" s="178"/>
    </row>
    <row r="98" spans="1:26" ht="14.45" customHeight="1" x14ac:dyDescent="0.2">
      <c r="A98" s="198">
        <v>89</v>
      </c>
      <c r="B98" s="179" t="s">
        <v>480</v>
      </c>
      <c r="C98" s="170">
        <f t="shared" si="6"/>
        <v>89</v>
      </c>
      <c r="D98" s="180">
        <v>299200</v>
      </c>
      <c r="E98" s="172"/>
      <c r="F98" s="182"/>
      <c r="G98" s="174"/>
      <c r="H98" s="174"/>
      <c r="I98" s="174"/>
      <c r="J98" s="174"/>
      <c r="K98" s="174"/>
      <c r="L98" s="175"/>
      <c r="M98" s="175"/>
      <c r="N98" s="175"/>
      <c r="O98" s="175"/>
      <c r="P98" s="175"/>
      <c r="Q98" s="175"/>
      <c r="R98" s="175"/>
      <c r="S98" s="175">
        <v>149600</v>
      </c>
      <c r="T98" s="176">
        <v>43136</v>
      </c>
      <c r="U98" s="172">
        <f t="shared" si="7"/>
        <v>0.5</v>
      </c>
      <c r="V98" s="177">
        <f>U98*D98</f>
        <v>149600</v>
      </c>
      <c r="W98" s="177">
        <f t="shared" si="13"/>
        <v>299200</v>
      </c>
      <c r="X98" s="202">
        <f>SUMIF(Invoices!$D$2:$D$83,$B98,Invoices!$E$2:$E$83)</f>
        <v>0</v>
      </c>
      <c r="Y98" s="177">
        <f>V98-W98-X98</f>
        <v>-149600</v>
      </c>
      <c r="Z98" s="178"/>
    </row>
    <row r="99" spans="1:26" ht="14.45" customHeight="1" x14ac:dyDescent="0.2">
      <c r="A99" s="198">
        <v>90</v>
      </c>
      <c r="B99" s="179" t="s">
        <v>481</v>
      </c>
      <c r="C99" s="170">
        <f t="shared" si="6"/>
        <v>90</v>
      </c>
      <c r="D99" s="180">
        <v>149600</v>
      </c>
      <c r="E99" s="172"/>
      <c r="F99" s="182"/>
      <c r="G99" s="174"/>
      <c r="H99" s="174"/>
      <c r="I99" s="174"/>
      <c r="J99" s="174"/>
      <c r="K99" s="174"/>
      <c r="L99" s="175"/>
      <c r="M99" s="175"/>
      <c r="N99" s="175"/>
      <c r="O99" s="175"/>
      <c r="P99" s="175"/>
      <c r="Q99" s="175"/>
      <c r="R99" s="175"/>
      <c r="S99" s="175"/>
      <c r="T99" s="176">
        <v>43143</v>
      </c>
      <c r="U99" s="172">
        <f t="shared" si="7"/>
        <v>0</v>
      </c>
      <c r="V99" s="177">
        <f t="shared" si="8"/>
        <v>0</v>
      </c>
      <c r="W99" s="177">
        <f t="shared" si="13"/>
        <v>149600</v>
      </c>
      <c r="X99" s="202">
        <f>SUMIF(Invoices!$D$2:$D$83,$B99,Invoices!$E$2:$E$83)</f>
        <v>0</v>
      </c>
      <c r="Y99" s="177">
        <f t="shared" si="12"/>
        <v>-149600</v>
      </c>
      <c r="Z99" s="178"/>
    </row>
    <row r="100" spans="1:26" ht="14.45" customHeight="1" x14ac:dyDescent="0.2">
      <c r="A100" s="198">
        <v>91</v>
      </c>
      <c r="B100" s="179" t="s">
        <v>491</v>
      </c>
      <c r="C100" s="170">
        <f t="shared" ref="C100" si="14">A100</f>
        <v>91</v>
      </c>
      <c r="D100" s="180">
        <v>224400</v>
      </c>
      <c r="E100" s="172"/>
      <c r="F100" s="182"/>
      <c r="G100" s="174"/>
      <c r="H100" s="174"/>
      <c r="I100" s="174"/>
      <c r="J100" s="174"/>
      <c r="K100" s="174"/>
      <c r="L100" s="175"/>
      <c r="M100" s="175"/>
      <c r="N100" s="175"/>
      <c r="O100" s="175"/>
      <c r="P100" s="175"/>
      <c r="Q100" s="175"/>
      <c r="R100" s="175"/>
      <c r="S100" s="175"/>
      <c r="T100" s="176">
        <v>43136</v>
      </c>
      <c r="U100" s="172">
        <f t="shared" ref="U100" si="15">IF(E100&lt;1,SUM(F100:S100)/D100+E100,1)</f>
        <v>0</v>
      </c>
      <c r="V100" s="177">
        <f t="shared" ref="V100" si="16">U100*D100</f>
        <v>0</v>
      </c>
      <c r="W100" s="177">
        <f t="shared" si="13"/>
        <v>224400</v>
      </c>
      <c r="X100" s="202">
        <f>SUMIF(Invoices!$D$2:$D$83,$B100,Invoices!$E$2:$E$83)</f>
        <v>0</v>
      </c>
      <c r="Y100" s="177">
        <f t="shared" ref="Y100" si="17">V100-W100-X100</f>
        <v>-224400</v>
      </c>
      <c r="Z100" s="178"/>
    </row>
    <row r="101" spans="1:26" ht="14.45" customHeight="1" x14ac:dyDescent="0.2">
      <c r="A101" s="198">
        <v>92</v>
      </c>
      <c r="B101" s="179" t="s">
        <v>493</v>
      </c>
      <c r="C101" s="170">
        <f t="shared" ref="C101:C102" si="18">A101</f>
        <v>92</v>
      </c>
      <c r="D101" s="180">
        <v>13800</v>
      </c>
      <c r="E101" s="172"/>
      <c r="F101" s="182"/>
      <c r="G101" s="174"/>
      <c r="H101" s="174"/>
      <c r="I101" s="174"/>
      <c r="J101" s="174"/>
      <c r="K101" s="174"/>
      <c r="L101" s="175"/>
      <c r="M101" s="175"/>
      <c r="N101" s="175"/>
      <c r="O101" s="175"/>
      <c r="P101" s="175"/>
      <c r="Q101" s="175"/>
      <c r="R101" s="175"/>
      <c r="S101" s="175"/>
      <c r="T101" s="176">
        <v>43136</v>
      </c>
      <c r="U101" s="172">
        <f t="shared" ref="U101:U102" si="19">IF(E101&lt;1,SUM(F101:S101)/D101+E101,1)</f>
        <v>0</v>
      </c>
      <c r="V101" s="177">
        <f t="shared" ref="V101:V102" si="20">U101*D101</f>
        <v>0</v>
      </c>
      <c r="W101" s="177">
        <f t="shared" ref="W101:W102" si="21">D101-X101</f>
        <v>13800</v>
      </c>
      <c r="X101" s="202">
        <f>SUMIF(Invoices!$D$2:$D$83,$B101,Invoices!$E$2:$E$83)</f>
        <v>0</v>
      </c>
      <c r="Y101" s="177">
        <f t="shared" ref="Y101:Y102" si="22">V101-W101-X101</f>
        <v>-13800</v>
      </c>
      <c r="Z101" s="178"/>
    </row>
    <row r="102" spans="1:26" ht="14.45" customHeight="1" x14ac:dyDescent="0.2">
      <c r="A102" s="198">
        <v>93</v>
      </c>
      <c r="B102" s="179" t="s">
        <v>494</v>
      </c>
      <c r="C102" s="170">
        <f t="shared" si="18"/>
        <v>93</v>
      </c>
      <c r="D102" s="180">
        <v>24600</v>
      </c>
      <c r="E102" s="172"/>
      <c r="F102" s="182"/>
      <c r="G102" s="174"/>
      <c r="H102" s="174"/>
      <c r="I102" s="174"/>
      <c r="J102" s="174"/>
      <c r="K102" s="174"/>
      <c r="L102" s="175"/>
      <c r="M102" s="175"/>
      <c r="N102" s="175"/>
      <c r="O102" s="175"/>
      <c r="P102" s="175"/>
      <c r="Q102" s="175"/>
      <c r="R102" s="175"/>
      <c r="S102" s="175"/>
      <c r="T102" s="176">
        <v>43136</v>
      </c>
      <c r="U102" s="172">
        <f t="shared" si="19"/>
        <v>0</v>
      </c>
      <c r="V102" s="177">
        <f t="shared" si="20"/>
        <v>0</v>
      </c>
      <c r="W102" s="177">
        <f t="shared" si="21"/>
        <v>24600</v>
      </c>
      <c r="X102" s="202">
        <f>SUMIF(Invoices!$D$2:$D$83,$B102,Invoices!$E$2:$E$83)</f>
        <v>0</v>
      </c>
      <c r="Y102" s="177">
        <f t="shared" si="22"/>
        <v>-24600</v>
      </c>
      <c r="Z102" s="178"/>
    </row>
  </sheetData>
  <sheetProtection selectLockedCells="1"/>
  <phoneticPr fontId="7" type="noConversion"/>
  <conditionalFormatting sqref="A103:Z979 A10:Z99 A101">
    <cfRule type="expression" dxfId="141" priority="53" stopIfTrue="1">
      <formula>AND($U10=100%,$W10=0)</formula>
    </cfRule>
    <cfRule type="expression" dxfId="140" priority="54">
      <formula>$U10=100%</formula>
    </cfRule>
    <cfRule type="expression" dxfId="139" priority="55">
      <formula>$U10&gt;0%</formula>
    </cfRule>
  </conditionalFormatting>
  <conditionalFormatting sqref="A100:Z100 A102">
    <cfRule type="expression" dxfId="138" priority="4" stopIfTrue="1">
      <formula>AND($U100=100%,$W100=0)</formula>
    </cfRule>
    <cfRule type="expression" dxfId="137" priority="5">
      <formula>$U100=100%</formula>
    </cfRule>
    <cfRule type="expression" dxfId="136" priority="6">
      <formula>$U100&gt;0%</formula>
    </cfRule>
  </conditionalFormatting>
  <conditionalFormatting sqref="B101:Z102">
    <cfRule type="expression" dxfId="135" priority="1" stopIfTrue="1">
      <formula>AND($U101=100%,$W101=0)</formula>
    </cfRule>
    <cfRule type="expression" dxfId="134" priority="2">
      <formula>$U101=100%</formula>
    </cfRule>
    <cfRule type="expression" dxfId="133" priority="3">
      <formula>$U101&gt;0%</formula>
    </cfRule>
  </conditionalFormatting>
  <dataValidations count="1">
    <dataValidation allowBlank="1" sqref="I31:K102"/>
  </dataValidations>
  <pageMargins left="0.75" right="0.75" top="1" bottom="1" header="0.5" footer="0.5"/>
  <pageSetup scale="31" orientation="landscape" horizontalDpi="200" verticalDpi="200" r:id="rId1"/>
  <headerFooter alignWithMargins="0">
    <oddFooter>&amp;L&amp;Z&amp;F &amp;A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x14:formula1>
            <xm:f>List!$A$4:$A$24</xm:f>
          </x14:formula1>
          <xm:sqref>I10:K30 G10:H102 F58:F102 U10:U102 E10:E102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83"/>
  <sheetViews>
    <sheetView showGridLines="0" workbookViewId="0">
      <pane xSplit="2" ySplit="1" topLeftCell="C19" activePane="bottomRight" state="frozen"/>
      <selection activeCell="D72" sqref="D72"/>
      <selection pane="topRight" activeCell="D72" sqref="D72"/>
      <selection pane="bottomLeft" activeCell="D72" sqref="D72"/>
      <selection pane="bottomRight" activeCell="E27" sqref="E27"/>
    </sheetView>
  </sheetViews>
  <sheetFormatPr defaultRowHeight="12.75" x14ac:dyDescent="0.2"/>
  <cols>
    <col min="1" max="1" width="1.7109375" style="64" customWidth="1"/>
    <col min="2" max="2" width="10.85546875" style="60" bestFit="1" customWidth="1"/>
    <col min="3" max="3" width="10.85546875" style="60" customWidth="1"/>
    <col min="4" max="4" width="53.140625" bestFit="1" customWidth="1"/>
    <col min="5" max="5" width="18.28515625" style="83" customWidth="1"/>
    <col min="6" max="6" width="8.42578125" style="83" customWidth="1"/>
    <col min="7" max="7" width="15.28515625" style="61" customWidth="1"/>
    <col min="8" max="8" width="28.140625" bestFit="1" customWidth="1"/>
  </cols>
  <sheetData>
    <row r="1" spans="1:8" s="81" customFormat="1" x14ac:dyDescent="0.2">
      <c r="A1" s="80"/>
      <c r="B1" s="199" t="s">
        <v>78</v>
      </c>
      <c r="C1" s="221" t="s">
        <v>3</v>
      </c>
      <c r="D1" s="222" t="s">
        <v>79</v>
      </c>
      <c r="E1" s="223" t="s">
        <v>82</v>
      </c>
      <c r="F1" s="223" t="s">
        <v>197</v>
      </c>
      <c r="G1" s="224" t="s">
        <v>185</v>
      </c>
      <c r="H1" s="222" t="s">
        <v>485</v>
      </c>
    </row>
    <row r="2" spans="1:8" x14ac:dyDescent="0.2">
      <c r="A2" s="62"/>
      <c r="B2" s="219">
        <v>3456.01</v>
      </c>
      <c r="C2" s="203">
        <v>42227</v>
      </c>
      <c r="D2" s="201" t="s">
        <v>37</v>
      </c>
      <c r="E2" s="204">
        <v>157470</v>
      </c>
      <c r="F2" s="205">
        <f>IFERROR(MATCH($D$2:$D$83,' Accting USE Data Entry Form'!$B$10:$B$99,0),0)</f>
        <v>1</v>
      </c>
      <c r="G2" s="206">
        <v>42258</v>
      </c>
      <c r="H2" s="201"/>
    </row>
    <row r="3" spans="1:8" x14ac:dyDescent="0.2">
      <c r="A3" s="62"/>
      <c r="B3" s="220">
        <v>3456.02</v>
      </c>
      <c r="C3" s="207">
        <v>42320</v>
      </c>
      <c r="D3" s="200" t="s">
        <v>35</v>
      </c>
      <c r="E3" s="208">
        <v>157470</v>
      </c>
      <c r="F3" s="209">
        <f>IFERROR(MATCH($D$2:$D$83,' Accting USE Data Entry Form'!$B$10:$B$99,0),0)</f>
        <v>2</v>
      </c>
      <c r="G3" s="210">
        <v>42350</v>
      </c>
      <c r="H3" s="200"/>
    </row>
    <row r="4" spans="1:8" x14ac:dyDescent="0.2">
      <c r="A4" s="62"/>
      <c r="B4" s="219">
        <v>3456.03</v>
      </c>
      <c r="C4" s="203">
        <v>42515</v>
      </c>
      <c r="D4" s="201" t="s">
        <v>85</v>
      </c>
      <c r="E4" s="204">
        <v>423360</v>
      </c>
      <c r="F4" s="205">
        <f>IFERROR(MATCH($D$2:$D$83,' Accting USE Data Entry Form'!$B$10:$B$99,0),0)</f>
        <v>6</v>
      </c>
      <c r="G4" s="206">
        <v>42543</v>
      </c>
      <c r="H4" s="201"/>
    </row>
    <row r="5" spans="1:8" x14ac:dyDescent="0.2">
      <c r="A5" s="62"/>
      <c r="B5" s="220">
        <v>3456.04</v>
      </c>
      <c r="C5" s="207">
        <v>42515</v>
      </c>
      <c r="D5" s="211" t="s">
        <v>86</v>
      </c>
      <c r="E5" s="208">
        <v>1607500</v>
      </c>
      <c r="F5" s="209">
        <f>IFERROR(MATCH($D$2:$D$83,' Accting USE Data Entry Form'!$B$10:$B$99,0),0)</f>
        <v>7</v>
      </c>
      <c r="G5" s="210">
        <v>42543</v>
      </c>
      <c r="H5" s="200"/>
    </row>
    <row r="6" spans="1:8" x14ac:dyDescent="0.2">
      <c r="A6" s="62"/>
      <c r="B6" s="219">
        <v>3456.05</v>
      </c>
      <c r="C6" s="203">
        <v>42601</v>
      </c>
      <c r="D6" s="201" t="s">
        <v>84</v>
      </c>
      <c r="E6" s="204">
        <v>317520</v>
      </c>
      <c r="F6" s="205">
        <f>IFERROR(MATCH($D$2:$D$83,' Accting USE Data Entry Form'!$B$10:$B$99,0),0)</f>
        <v>5</v>
      </c>
      <c r="G6" s="206">
        <v>42629</v>
      </c>
      <c r="H6" s="201"/>
    </row>
    <row r="7" spans="1:8" x14ac:dyDescent="0.2">
      <c r="A7" s="62"/>
      <c r="B7" s="220">
        <v>3456.06</v>
      </c>
      <c r="C7" s="207">
        <v>42633</v>
      </c>
      <c r="D7" s="200" t="s">
        <v>45</v>
      </c>
      <c r="E7" s="208">
        <v>1446750</v>
      </c>
      <c r="F7" s="209">
        <f>IFERROR(MATCH($D$2:$D$83,' Accting USE Data Entry Form'!$B$10:$B$99,0),0)</f>
        <v>8</v>
      </c>
      <c r="G7" s="210">
        <v>42661</v>
      </c>
      <c r="H7" s="200"/>
    </row>
    <row r="8" spans="1:8" x14ac:dyDescent="0.2">
      <c r="A8" s="62"/>
      <c r="B8" s="219">
        <v>3991.01</v>
      </c>
      <c r="C8" s="203">
        <v>42831</v>
      </c>
      <c r="D8" s="201" t="s">
        <v>361</v>
      </c>
      <c r="E8" s="204">
        <v>428480</v>
      </c>
      <c r="F8" s="205">
        <f>IFERROR(MATCH($D$2:$D$83,' Accting USE Data Entry Form'!$B$10:$B$99,0),0)</f>
        <v>82</v>
      </c>
      <c r="G8" s="210">
        <v>42969</v>
      </c>
      <c r="H8" s="201"/>
    </row>
    <row r="9" spans="1:8" x14ac:dyDescent="0.2">
      <c r="A9" s="62"/>
      <c r="B9" s="220">
        <v>51222</v>
      </c>
      <c r="C9" s="207">
        <v>42417</v>
      </c>
      <c r="D9" s="200" t="s">
        <v>40</v>
      </c>
      <c r="E9" s="208">
        <v>104980</v>
      </c>
      <c r="F9" s="209">
        <f>IFERROR(MATCH($D$2:$D$83,' Accting USE Data Entry Form'!$B$10:$B$99,0),0)</f>
        <v>3</v>
      </c>
      <c r="G9" s="210">
        <v>42445</v>
      </c>
      <c r="H9" s="200"/>
    </row>
    <row r="10" spans="1:8" x14ac:dyDescent="0.2">
      <c r="A10" s="62"/>
      <c r="B10" s="219">
        <v>51222</v>
      </c>
      <c r="C10" s="203">
        <v>42417</v>
      </c>
      <c r="D10" s="201" t="s">
        <v>41</v>
      </c>
      <c r="E10" s="204">
        <v>104980</v>
      </c>
      <c r="F10" s="205">
        <f>IFERROR(MATCH($D$2:$D$83,' Accting USE Data Entry Form'!$B$10:$B$99,0),0)</f>
        <v>4</v>
      </c>
      <c r="G10" s="206">
        <v>42445</v>
      </c>
      <c r="H10" s="201"/>
    </row>
    <row r="11" spans="1:8" x14ac:dyDescent="0.2">
      <c r="A11" s="62"/>
      <c r="B11" s="220">
        <v>51315</v>
      </c>
      <c r="C11" s="207">
        <v>42515</v>
      </c>
      <c r="D11" s="200" t="s">
        <v>83</v>
      </c>
      <c r="E11" s="208">
        <v>90800</v>
      </c>
      <c r="F11" s="209">
        <f>IFERROR(MATCH($D$2:$D$83,' Accting USE Data Entry Form'!$B$10:$B$99,0),0)</f>
        <v>21</v>
      </c>
      <c r="G11" s="210">
        <v>42543</v>
      </c>
      <c r="H11" s="200"/>
    </row>
    <row r="12" spans="1:8" x14ac:dyDescent="0.2">
      <c r="A12" s="62"/>
      <c r="B12" s="219">
        <v>51419</v>
      </c>
      <c r="C12" s="203">
        <v>42611</v>
      </c>
      <c r="D12" s="201" t="s">
        <v>80</v>
      </c>
      <c r="E12" s="204">
        <v>80784</v>
      </c>
      <c r="F12" s="205">
        <f>IFERROR(MATCH($D$2:$D$83,' Accting USE Data Entry Form'!$B$10:$B$99,0),0)</f>
        <v>23</v>
      </c>
      <c r="G12" s="206">
        <v>42639</v>
      </c>
      <c r="H12" s="201"/>
    </row>
    <row r="13" spans="1:8" x14ac:dyDescent="0.2">
      <c r="A13" s="62"/>
      <c r="B13" s="220">
        <v>51419</v>
      </c>
      <c r="C13" s="207">
        <v>42611</v>
      </c>
      <c r="D13" s="200" t="s">
        <v>46</v>
      </c>
      <c r="E13" s="208">
        <v>158760</v>
      </c>
      <c r="F13" s="209">
        <f>IFERROR(MATCH($D$2:$D$83,' Accting USE Data Entry Form'!$B$10:$B$99,0),0)</f>
        <v>9</v>
      </c>
      <c r="G13" s="210">
        <v>42639</v>
      </c>
      <c r="H13" s="200"/>
    </row>
    <row r="14" spans="1:8" x14ac:dyDescent="0.2">
      <c r="A14" s="62"/>
      <c r="B14" s="219">
        <v>51428</v>
      </c>
      <c r="C14" s="203">
        <v>42612</v>
      </c>
      <c r="D14" s="201" t="s">
        <v>81</v>
      </c>
      <c r="E14" s="204">
        <v>71500</v>
      </c>
      <c r="F14" s="205">
        <f>IFERROR(MATCH($D$2:$D$83,' Accting USE Data Entry Form'!$B$10:$B$99,0),0)</f>
        <v>47</v>
      </c>
      <c r="G14" s="206">
        <v>42640</v>
      </c>
      <c r="H14" s="201"/>
    </row>
    <row r="15" spans="1:8" x14ac:dyDescent="0.2">
      <c r="A15" s="62"/>
      <c r="B15" s="220">
        <v>51448</v>
      </c>
      <c r="C15" s="207">
        <v>42636</v>
      </c>
      <c r="D15" s="200" t="s">
        <v>80</v>
      </c>
      <c r="E15" s="208">
        <v>73440</v>
      </c>
      <c r="F15" s="209">
        <f>IFERROR(MATCH($D$2:$D$83,' Accting USE Data Entry Form'!$B$10:$B$99,0),0)</f>
        <v>23</v>
      </c>
      <c r="G15" s="210">
        <v>42673</v>
      </c>
      <c r="H15" s="200"/>
    </row>
    <row r="16" spans="1:8" x14ac:dyDescent="0.2">
      <c r="A16" s="62"/>
      <c r="B16" s="219">
        <v>51448</v>
      </c>
      <c r="C16" s="203">
        <v>42636</v>
      </c>
      <c r="D16" s="201" t="s">
        <v>46</v>
      </c>
      <c r="E16" s="204">
        <v>158760</v>
      </c>
      <c r="F16" s="205">
        <f>IFERROR(MATCH($D$2:$D$83,' Accting USE Data Entry Form'!$B$10:$B$99,0),0)</f>
        <v>9</v>
      </c>
      <c r="G16" s="206">
        <v>42673</v>
      </c>
      <c r="H16" s="201"/>
    </row>
    <row r="17" spans="1:8" x14ac:dyDescent="0.2">
      <c r="A17" s="62"/>
      <c r="B17" s="220">
        <v>51450</v>
      </c>
      <c r="C17" s="207">
        <v>42639</v>
      </c>
      <c r="D17" s="200" t="s">
        <v>80</v>
      </c>
      <c r="E17" s="208">
        <v>161568</v>
      </c>
      <c r="F17" s="209">
        <f>IFERROR(MATCH($D$2:$D$83,' Accting USE Data Entry Form'!$B$10:$B$99,0),0)</f>
        <v>23</v>
      </c>
      <c r="G17" s="210">
        <v>42673</v>
      </c>
      <c r="H17" s="200"/>
    </row>
    <row r="18" spans="1:8" x14ac:dyDescent="0.2">
      <c r="A18" s="62"/>
      <c r="B18" s="219">
        <v>51450</v>
      </c>
      <c r="C18" s="203">
        <v>42639</v>
      </c>
      <c r="D18" s="201" t="s">
        <v>47</v>
      </c>
      <c r="E18" s="204">
        <v>160750</v>
      </c>
      <c r="F18" s="205">
        <f>IFERROR(MATCH($D$2:$D$83,' Accting USE Data Entry Form'!$B$10:$B$99,0),0)</f>
        <v>10</v>
      </c>
      <c r="G18" s="206">
        <v>42673</v>
      </c>
      <c r="H18" s="201"/>
    </row>
    <row r="19" spans="1:8" x14ac:dyDescent="0.2">
      <c r="A19" s="62"/>
      <c r="B19" s="220">
        <v>51450</v>
      </c>
      <c r="C19" s="207">
        <v>42639</v>
      </c>
      <c r="D19" s="200" t="s">
        <v>48</v>
      </c>
      <c r="E19" s="208">
        <v>160750</v>
      </c>
      <c r="F19" s="209">
        <f>IFERROR(MATCH($D$2:$D$83,' Accting USE Data Entry Form'!$B$10:$B$99,0),0)</f>
        <v>11</v>
      </c>
      <c r="G19" s="210">
        <v>42673</v>
      </c>
      <c r="H19" s="200"/>
    </row>
    <row r="20" spans="1:8" x14ac:dyDescent="0.2">
      <c r="A20" s="62"/>
      <c r="B20" s="219">
        <v>51451</v>
      </c>
      <c r="C20" s="203">
        <v>42639</v>
      </c>
      <c r="D20" s="201" t="s">
        <v>89</v>
      </c>
      <c r="E20" s="204">
        <v>36800</v>
      </c>
      <c r="F20" s="205">
        <f>IFERROR(MATCH($D$2:$D$83,' Accting USE Data Entry Form'!$B$10:$B$99,0),0)</f>
        <v>25</v>
      </c>
      <c r="G20" s="206">
        <v>42673</v>
      </c>
      <c r="H20" s="201"/>
    </row>
    <row r="21" spans="1:8" x14ac:dyDescent="0.2">
      <c r="A21" s="62"/>
      <c r="B21" s="220">
        <v>51452</v>
      </c>
      <c r="C21" s="207">
        <v>42639</v>
      </c>
      <c r="D21" s="200" t="s">
        <v>90</v>
      </c>
      <c r="E21" s="208">
        <v>38000</v>
      </c>
      <c r="F21" s="209">
        <f>IFERROR(MATCH($D$2:$D$83,' Accting USE Data Entry Form'!$B$10:$B$99,0),0)</f>
        <v>46</v>
      </c>
      <c r="G21" s="210">
        <v>42673</v>
      </c>
      <c r="H21" s="200"/>
    </row>
    <row r="22" spans="1:8" x14ac:dyDescent="0.2">
      <c r="A22" s="62"/>
      <c r="B22" s="219">
        <v>51511</v>
      </c>
      <c r="C22" s="203">
        <v>42698</v>
      </c>
      <c r="D22" s="201" t="s">
        <v>194</v>
      </c>
      <c r="E22" s="204">
        <v>7554.66</v>
      </c>
      <c r="F22" s="205">
        <f>IFERROR(MATCH($D$2:$D$83,' Accting USE Data Entry Form'!$B$10:$B$99,0),0)</f>
        <v>22</v>
      </c>
      <c r="G22" s="206">
        <v>42753</v>
      </c>
      <c r="H22" s="201"/>
    </row>
    <row r="23" spans="1:8" x14ac:dyDescent="0.2">
      <c r="A23" s="62"/>
      <c r="B23" s="220">
        <v>51533</v>
      </c>
      <c r="C23" s="207">
        <v>42704</v>
      </c>
      <c r="D23" s="200" t="s">
        <v>49</v>
      </c>
      <c r="E23" s="208">
        <v>160750</v>
      </c>
      <c r="F23" s="209">
        <f>IFERROR(MATCH($D$2:$D$83,' Accting USE Data Entry Form'!$B$10:$B$99,0),0)</f>
        <v>12</v>
      </c>
      <c r="G23" s="210">
        <v>42706</v>
      </c>
      <c r="H23" s="200"/>
    </row>
    <row r="24" spans="1:8" x14ac:dyDescent="0.2">
      <c r="A24" s="62"/>
      <c r="B24" s="219">
        <v>51533</v>
      </c>
      <c r="C24" s="203">
        <v>42704</v>
      </c>
      <c r="D24" s="201" t="s">
        <v>184</v>
      </c>
      <c r="E24" s="204">
        <v>23000</v>
      </c>
      <c r="F24" s="205">
        <f>IFERROR(MATCH($D$2:$D$83,' Accting USE Data Entry Form'!$B$10:$B$99,0),0)</f>
        <v>24</v>
      </c>
      <c r="G24" s="206">
        <v>42706</v>
      </c>
      <c r="H24" s="201"/>
    </row>
    <row r="25" spans="1:8" x14ac:dyDescent="0.2">
      <c r="A25" s="62"/>
      <c r="B25" s="220">
        <v>51554</v>
      </c>
      <c r="C25" s="207">
        <v>42723</v>
      </c>
      <c r="D25" s="200" t="s">
        <v>89</v>
      </c>
      <c r="E25" s="208">
        <v>27600</v>
      </c>
      <c r="F25" s="209">
        <f>IFERROR(MATCH($D$2:$D$83,' Accting USE Data Entry Form'!$B$10:$B$99,0),0)</f>
        <v>25</v>
      </c>
      <c r="G25" s="210">
        <v>42753</v>
      </c>
      <c r="H25" s="200"/>
    </row>
    <row r="26" spans="1:8" x14ac:dyDescent="0.2">
      <c r="A26" s="62"/>
      <c r="B26" s="219">
        <v>51589</v>
      </c>
      <c r="C26" s="203">
        <v>42727</v>
      </c>
      <c r="D26" s="201" t="s">
        <v>184</v>
      </c>
      <c r="E26" s="204">
        <v>101080</v>
      </c>
      <c r="F26" s="205">
        <f>IFERROR(MATCH($D$2:$D$83,' Accting USE Data Entry Form'!$B$10:$B$99,0),0)</f>
        <v>24</v>
      </c>
      <c r="G26" s="206">
        <v>42781</v>
      </c>
      <c r="H26" s="201"/>
    </row>
    <row r="27" spans="1:8" x14ac:dyDescent="0.2">
      <c r="A27" s="62"/>
      <c r="B27" s="220">
        <v>51589</v>
      </c>
      <c r="C27" s="207">
        <v>42727</v>
      </c>
      <c r="D27" s="200" t="s">
        <v>50</v>
      </c>
      <c r="E27" s="208">
        <v>160750</v>
      </c>
      <c r="F27" s="209">
        <f>IFERROR(MATCH($D$2:$D$83,' Accting USE Data Entry Form'!$B$10:$B$99,0),0)</f>
        <v>13</v>
      </c>
      <c r="G27" s="210">
        <v>42781</v>
      </c>
      <c r="H27" s="200"/>
    </row>
    <row r="28" spans="1:8" x14ac:dyDescent="0.2">
      <c r="A28" s="62"/>
      <c r="B28" s="219">
        <v>51589</v>
      </c>
      <c r="C28" s="203">
        <v>42727</v>
      </c>
      <c r="D28" s="201" t="s">
        <v>51</v>
      </c>
      <c r="E28" s="204">
        <v>160750</v>
      </c>
      <c r="F28" s="205">
        <f>IFERROR(MATCH($D$2:$D$83,' Accting USE Data Entry Form'!$B$10:$B$99,0),0)</f>
        <v>14</v>
      </c>
      <c r="G28" s="206">
        <v>42781</v>
      </c>
      <c r="H28" s="201"/>
    </row>
    <row r="29" spans="1:8" x14ac:dyDescent="0.2">
      <c r="A29" s="62"/>
      <c r="B29" s="220">
        <v>51589</v>
      </c>
      <c r="C29" s="207">
        <v>42727</v>
      </c>
      <c r="D29" s="200" t="s">
        <v>52</v>
      </c>
      <c r="E29" s="208">
        <v>160750</v>
      </c>
      <c r="F29" s="209">
        <f>IFERROR(MATCH($D$2:$D$83,' Accting USE Data Entry Form'!$B$10:$B$99,0),0)</f>
        <v>15</v>
      </c>
      <c r="G29" s="210">
        <v>42781</v>
      </c>
      <c r="H29" s="200"/>
    </row>
    <row r="30" spans="1:8" x14ac:dyDescent="0.2">
      <c r="A30" s="62"/>
      <c r="B30" s="219">
        <v>51589</v>
      </c>
      <c r="C30" s="203">
        <v>42727</v>
      </c>
      <c r="D30" s="201" t="s">
        <v>53</v>
      </c>
      <c r="E30" s="204">
        <v>160750</v>
      </c>
      <c r="F30" s="205">
        <f>IFERROR(MATCH($D$2:$D$83,' Accting USE Data Entry Form'!$B$10:$B$99,0),0)</f>
        <v>16</v>
      </c>
      <c r="G30" s="206">
        <v>42781</v>
      </c>
      <c r="H30" s="201"/>
    </row>
    <row r="31" spans="1:8" x14ac:dyDescent="0.2">
      <c r="A31" s="62"/>
      <c r="B31" s="220">
        <v>51589</v>
      </c>
      <c r="C31" s="207">
        <v>42727</v>
      </c>
      <c r="D31" s="200" t="s">
        <v>54</v>
      </c>
      <c r="E31" s="208">
        <v>160750</v>
      </c>
      <c r="F31" s="209">
        <f>IFERROR(MATCH($D$2:$D$83,' Accting USE Data Entry Form'!$B$10:$B$99,0),0)</f>
        <v>17</v>
      </c>
      <c r="G31" s="210">
        <v>42781</v>
      </c>
      <c r="H31" s="200"/>
    </row>
    <row r="32" spans="1:8" x14ac:dyDescent="0.2">
      <c r="A32" s="62"/>
      <c r="B32" s="219">
        <v>51589</v>
      </c>
      <c r="C32" s="203">
        <v>42727</v>
      </c>
      <c r="D32" s="201" t="s">
        <v>55</v>
      </c>
      <c r="E32" s="204">
        <v>160750</v>
      </c>
      <c r="F32" s="205">
        <f>IFERROR(MATCH($D$2:$D$83,' Accting USE Data Entry Form'!$B$10:$B$99,0),0)</f>
        <v>18</v>
      </c>
      <c r="G32" s="206">
        <v>42781</v>
      </c>
      <c r="H32" s="201"/>
    </row>
    <row r="33" spans="1:8" x14ac:dyDescent="0.2">
      <c r="A33" s="62"/>
      <c r="B33" s="220">
        <v>51589</v>
      </c>
      <c r="C33" s="207">
        <v>42727</v>
      </c>
      <c r="D33" s="200" t="s">
        <v>196</v>
      </c>
      <c r="E33" s="208">
        <v>102796.32</v>
      </c>
      <c r="F33" s="209">
        <f>IFERROR(MATCH($D$2:$D$83,' Accting USE Data Entry Form'!$B$10:$B$99,0),0)</f>
        <v>48</v>
      </c>
      <c r="G33" s="210">
        <v>42781</v>
      </c>
      <c r="H33" s="200"/>
    </row>
    <row r="34" spans="1:8" x14ac:dyDescent="0.2">
      <c r="A34" s="62"/>
      <c r="B34" s="219">
        <v>51595</v>
      </c>
      <c r="C34" s="203">
        <v>42735</v>
      </c>
      <c r="D34" s="201" t="s">
        <v>195</v>
      </c>
      <c r="E34" s="204">
        <v>21335</v>
      </c>
      <c r="F34" s="205">
        <f>IFERROR(MATCH($D$2:$D$83,' Accting USE Data Entry Form'!$B$10:$B$99,0),0)</f>
        <v>50</v>
      </c>
      <c r="G34" s="206">
        <v>42753</v>
      </c>
      <c r="H34" s="201"/>
    </row>
    <row r="35" spans="1:8" x14ac:dyDescent="0.2">
      <c r="A35" s="62"/>
      <c r="B35" s="220">
        <v>51595</v>
      </c>
      <c r="C35" s="207">
        <v>42735</v>
      </c>
      <c r="D35" s="200" t="s">
        <v>364</v>
      </c>
      <c r="E35" s="208">
        <v>11856.48</v>
      </c>
      <c r="F35" s="209">
        <f>IFERROR(MATCH($D$2:$D$83,' Accting USE Data Entry Form'!$B$10:$B$99,0),0)</f>
        <v>49</v>
      </c>
      <c r="G35" s="210">
        <v>42753</v>
      </c>
      <c r="H35" s="200"/>
    </row>
    <row r="36" spans="1:8" x14ac:dyDescent="0.2">
      <c r="A36" s="62"/>
      <c r="B36" s="219">
        <v>51599</v>
      </c>
      <c r="C36" s="203">
        <v>42755</v>
      </c>
      <c r="D36" s="201" t="s">
        <v>184</v>
      </c>
      <c r="E36" s="204">
        <v>23000</v>
      </c>
      <c r="F36" s="205">
        <f>IFERROR(MATCH($D$2:$D$83,' Accting USE Data Entry Form'!$B$10:$B$99,0),0)</f>
        <v>24</v>
      </c>
      <c r="G36" s="206">
        <v>42781</v>
      </c>
      <c r="H36" s="201"/>
    </row>
    <row r="37" spans="1:8" x14ac:dyDescent="0.2">
      <c r="A37" s="62"/>
      <c r="B37" s="220">
        <v>51600</v>
      </c>
      <c r="C37" s="207">
        <v>42758</v>
      </c>
      <c r="D37" s="200" t="s">
        <v>364</v>
      </c>
      <c r="E37" s="208">
        <v>1976.08</v>
      </c>
      <c r="F37" s="209">
        <f>IFERROR(MATCH($D$2:$D$83,' Accting USE Data Entry Form'!$B$10:$B$99,0),0)</f>
        <v>49</v>
      </c>
      <c r="G37" s="210">
        <v>42783</v>
      </c>
      <c r="H37" s="200"/>
    </row>
    <row r="38" spans="1:8" x14ac:dyDescent="0.2">
      <c r="A38" s="62"/>
      <c r="B38" s="219">
        <v>51640</v>
      </c>
      <c r="C38" s="203">
        <v>42852</v>
      </c>
      <c r="D38" s="201" t="s">
        <v>56</v>
      </c>
      <c r="E38" s="204">
        <v>160750</v>
      </c>
      <c r="F38" s="205">
        <f>IFERROR(MATCH($D$2:$D$83,' Accting USE Data Entry Form'!$B$10:$B$99,0),0)</f>
        <v>19</v>
      </c>
      <c r="G38" s="206">
        <v>42853</v>
      </c>
      <c r="H38" s="201"/>
    </row>
    <row r="39" spans="1:8" x14ac:dyDescent="0.2">
      <c r="A39" s="62"/>
      <c r="B39" s="220">
        <v>51640</v>
      </c>
      <c r="C39" s="207">
        <v>42852</v>
      </c>
      <c r="D39" s="200" t="s">
        <v>57</v>
      </c>
      <c r="E39" s="208">
        <v>160750</v>
      </c>
      <c r="F39" s="209">
        <f>IFERROR(MATCH($D$2:$D$83,' Accting USE Data Entry Form'!$B$10:$B$99,0),0)</f>
        <v>20</v>
      </c>
      <c r="G39" s="210">
        <v>42853</v>
      </c>
      <c r="H39" s="200"/>
    </row>
    <row r="40" spans="1:8" x14ac:dyDescent="0.2">
      <c r="A40" s="62"/>
      <c r="B40" s="219">
        <v>51640</v>
      </c>
      <c r="C40" s="203">
        <v>42852</v>
      </c>
      <c r="D40" s="201" t="s">
        <v>184</v>
      </c>
      <c r="E40" s="204">
        <v>18160</v>
      </c>
      <c r="F40" s="205">
        <f>IFERROR(MATCH($D$2:$D$83,' Accting USE Data Entry Form'!$B$10:$B$99,0),0)</f>
        <v>24</v>
      </c>
      <c r="G40" s="206">
        <v>42853</v>
      </c>
      <c r="H40" s="201"/>
    </row>
    <row r="41" spans="1:8" x14ac:dyDescent="0.2">
      <c r="A41" s="62"/>
      <c r="B41" s="220">
        <v>51640</v>
      </c>
      <c r="C41" s="207">
        <v>42852</v>
      </c>
      <c r="D41" s="200" t="s">
        <v>196</v>
      </c>
      <c r="E41" s="208">
        <v>34265.440000000002</v>
      </c>
      <c r="F41" s="209">
        <f>IFERROR(MATCH($D$2:$D$83,' Accting USE Data Entry Form'!$B$10:$B$99,0),0)</f>
        <v>48</v>
      </c>
      <c r="G41" s="210">
        <v>42853</v>
      </c>
      <c r="H41" s="200"/>
    </row>
    <row r="42" spans="1:8" x14ac:dyDescent="0.2">
      <c r="A42" s="62"/>
      <c r="B42" s="219">
        <v>51640</v>
      </c>
      <c r="C42" s="203">
        <v>42852</v>
      </c>
      <c r="D42" s="201" t="s">
        <v>364</v>
      </c>
      <c r="E42" s="204">
        <v>3920</v>
      </c>
      <c r="F42" s="205">
        <f>IFERROR(MATCH($D$2:$D$83,' Accting USE Data Entry Form'!$B$10:$B$99,0),0)</f>
        <v>49</v>
      </c>
      <c r="G42" s="206">
        <v>42853</v>
      </c>
      <c r="H42" s="201"/>
    </row>
    <row r="43" spans="1:8" x14ac:dyDescent="0.2">
      <c r="A43" s="62"/>
      <c r="B43" s="220">
        <v>51679</v>
      </c>
      <c r="C43" s="207">
        <v>42823</v>
      </c>
      <c r="D43" s="200" t="s">
        <v>89</v>
      </c>
      <c r="E43" s="208">
        <v>27600</v>
      </c>
      <c r="F43" s="209">
        <f>IFERROR(MATCH($D$2:$D$83,' Accting USE Data Entry Form'!$B$10:$B$99,0),0)</f>
        <v>25</v>
      </c>
      <c r="G43" s="210">
        <v>42871</v>
      </c>
      <c r="H43" s="200"/>
    </row>
    <row r="44" spans="1:8" x14ac:dyDescent="0.2">
      <c r="A44" s="62"/>
      <c r="B44" s="219">
        <v>51680</v>
      </c>
      <c r="C44" s="203">
        <v>42823</v>
      </c>
      <c r="D44" s="201" t="s">
        <v>58</v>
      </c>
      <c r="E44" s="204">
        <v>160750</v>
      </c>
      <c r="F44" s="205">
        <f>IFERROR(MATCH($D$2:$D$83,' Accting USE Data Entry Form'!$B$10:$B$99,0),0)</f>
        <v>26</v>
      </c>
      <c r="G44" s="206">
        <v>42871</v>
      </c>
      <c r="H44" s="201"/>
    </row>
    <row r="45" spans="1:8" x14ac:dyDescent="0.2">
      <c r="A45" s="62"/>
      <c r="B45" s="220">
        <v>51680</v>
      </c>
      <c r="C45" s="207">
        <v>42823</v>
      </c>
      <c r="D45" s="200" t="s">
        <v>59</v>
      </c>
      <c r="E45" s="208">
        <v>80375</v>
      </c>
      <c r="F45" s="209">
        <f>IFERROR(MATCH($D$2:$D$83,' Accting USE Data Entry Form'!$B$10:$B$99,0),0)</f>
        <v>27</v>
      </c>
      <c r="G45" s="210">
        <v>42871</v>
      </c>
      <c r="H45" s="200"/>
    </row>
    <row r="46" spans="1:8" x14ac:dyDescent="0.2">
      <c r="A46" s="62"/>
      <c r="B46" s="219">
        <v>51680</v>
      </c>
      <c r="C46" s="203">
        <v>42823</v>
      </c>
      <c r="D46" s="201" t="s">
        <v>184</v>
      </c>
      <c r="E46" s="204">
        <v>6000</v>
      </c>
      <c r="F46" s="205">
        <f>IFERROR(MATCH($D$2:$D$83,' Accting USE Data Entry Form'!$B$10:$B$99,0),0)</f>
        <v>24</v>
      </c>
      <c r="G46" s="206">
        <v>42871</v>
      </c>
      <c r="H46" s="201"/>
    </row>
    <row r="47" spans="1:8" x14ac:dyDescent="0.2">
      <c r="A47" s="62"/>
      <c r="B47" s="220">
        <v>51680</v>
      </c>
      <c r="C47" s="207">
        <v>42823</v>
      </c>
      <c r="D47" s="200" t="s">
        <v>196</v>
      </c>
      <c r="E47" s="208">
        <v>25699.08</v>
      </c>
      <c r="F47" s="209">
        <f>IFERROR(MATCH($D$2:$D$83,' Accting USE Data Entry Form'!$B$10:$B$99,0),0)</f>
        <v>48</v>
      </c>
      <c r="G47" s="210">
        <v>42871</v>
      </c>
      <c r="H47" s="200"/>
    </row>
    <row r="48" spans="1:8" x14ac:dyDescent="0.2">
      <c r="A48" s="62"/>
      <c r="B48" s="219">
        <v>51680</v>
      </c>
      <c r="C48" s="203">
        <v>42823</v>
      </c>
      <c r="D48" s="201" t="s">
        <v>364</v>
      </c>
      <c r="E48" s="204">
        <v>2940</v>
      </c>
      <c r="F48" s="205">
        <f>IFERROR(MATCH($D$2:$D$83,' Accting USE Data Entry Form'!$B$10:$B$99,0),0)</f>
        <v>49</v>
      </c>
      <c r="G48" s="206">
        <v>42871</v>
      </c>
      <c r="H48" s="201"/>
    </row>
    <row r="49" spans="1:8" x14ac:dyDescent="0.2">
      <c r="A49" s="62"/>
      <c r="B49" s="220">
        <v>51718</v>
      </c>
      <c r="C49" s="207">
        <v>42852</v>
      </c>
      <c r="D49" s="200" t="s">
        <v>59</v>
      </c>
      <c r="E49" s="208">
        <v>80375</v>
      </c>
      <c r="F49" s="209">
        <f>IFERROR(MATCH($D$2:$D$83,' Accting USE Data Entry Form'!$B$10:$B$99,0),0)</f>
        <v>27</v>
      </c>
      <c r="G49" s="210">
        <v>42871</v>
      </c>
      <c r="H49" s="200"/>
    </row>
    <row r="50" spans="1:8" x14ac:dyDescent="0.2">
      <c r="A50" s="62"/>
      <c r="B50" s="219">
        <v>51718</v>
      </c>
      <c r="C50" s="203">
        <v>42852</v>
      </c>
      <c r="D50" s="201" t="s">
        <v>60</v>
      </c>
      <c r="E50" s="204">
        <v>160750</v>
      </c>
      <c r="F50" s="205">
        <f>IFERROR(MATCH($D$2:$D$83,' Accting USE Data Entry Form'!$B$10:$B$99,0),0)</f>
        <v>28</v>
      </c>
      <c r="G50" s="206">
        <v>42871</v>
      </c>
      <c r="H50" s="201"/>
    </row>
    <row r="51" spans="1:8" x14ac:dyDescent="0.2">
      <c r="A51" s="62"/>
      <c r="B51" s="220">
        <v>51718</v>
      </c>
      <c r="C51" s="207">
        <v>42852</v>
      </c>
      <c r="D51" s="200" t="s">
        <v>61</v>
      </c>
      <c r="E51" s="208">
        <v>160750</v>
      </c>
      <c r="F51" s="209">
        <f>IFERROR(MATCH($D$2:$D$83,' Accting USE Data Entry Form'!$B$10:$B$99,0),0)</f>
        <v>29</v>
      </c>
      <c r="G51" s="210">
        <v>42871</v>
      </c>
      <c r="H51" s="200"/>
    </row>
    <row r="52" spans="1:8" x14ac:dyDescent="0.2">
      <c r="A52" s="62"/>
      <c r="B52" s="219">
        <v>51718</v>
      </c>
      <c r="C52" s="203">
        <v>42852</v>
      </c>
      <c r="D52" s="201" t="s">
        <v>62</v>
      </c>
      <c r="E52" s="204">
        <v>160750</v>
      </c>
      <c r="F52" s="205">
        <f>IFERROR(MATCH($D$2:$D$83,' Accting USE Data Entry Form'!$B$10:$B$99,0),0)</f>
        <v>30</v>
      </c>
      <c r="G52" s="206">
        <v>42871</v>
      </c>
      <c r="H52" s="201"/>
    </row>
    <row r="53" spans="1:8" x14ac:dyDescent="0.2">
      <c r="A53" s="62"/>
      <c r="B53" s="220">
        <v>51718</v>
      </c>
      <c r="C53" s="207">
        <v>42852</v>
      </c>
      <c r="D53" s="200" t="s">
        <v>63</v>
      </c>
      <c r="E53" s="208">
        <v>40187.5</v>
      </c>
      <c r="F53" s="209">
        <f>IFERROR(MATCH($D$2:$D$83,' Accting USE Data Entry Form'!$B$10:$B$99,0),0)</f>
        <v>31</v>
      </c>
      <c r="G53" s="210">
        <v>42871</v>
      </c>
      <c r="H53" s="200"/>
    </row>
    <row r="54" spans="1:8" x14ac:dyDescent="0.2">
      <c r="A54" s="62"/>
      <c r="B54" s="219">
        <v>51718</v>
      </c>
      <c r="C54" s="203">
        <v>42852</v>
      </c>
      <c r="D54" s="201" t="s">
        <v>184</v>
      </c>
      <c r="E54" s="204">
        <v>15000</v>
      </c>
      <c r="F54" s="205">
        <f>IFERROR(MATCH($D$2:$D$83,' Accting USE Data Entry Form'!$B$10:$B$99,0),0)</f>
        <v>24</v>
      </c>
      <c r="G54" s="206">
        <v>42871</v>
      </c>
      <c r="H54" s="201"/>
    </row>
    <row r="55" spans="1:8" x14ac:dyDescent="0.2">
      <c r="A55" s="62"/>
      <c r="B55" s="220">
        <v>51718</v>
      </c>
      <c r="C55" s="207">
        <v>42852</v>
      </c>
      <c r="D55" s="200" t="s">
        <v>196</v>
      </c>
      <c r="E55" s="208">
        <v>64247.7</v>
      </c>
      <c r="F55" s="209">
        <f>IFERROR(MATCH($D$2:$D$83,' Accting USE Data Entry Form'!$B$10:$B$99,0),0)</f>
        <v>48</v>
      </c>
      <c r="G55" s="210">
        <v>42871</v>
      </c>
      <c r="H55" s="200"/>
    </row>
    <row r="56" spans="1:8" x14ac:dyDescent="0.2">
      <c r="A56" s="62"/>
      <c r="B56" s="219">
        <v>51718</v>
      </c>
      <c r="C56" s="203">
        <v>42852</v>
      </c>
      <c r="D56" s="201" t="s">
        <v>364</v>
      </c>
      <c r="E56" s="204">
        <v>7350</v>
      </c>
      <c r="F56" s="205">
        <f>IFERROR(MATCH($D$2:$D$83,' Accting USE Data Entry Form'!$B$10:$B$99,0),0)</f>
        <v>49</v>
      </c>
      <c r="G56" s="206">
        <v>42871</v>
      </c>
      <c r="H56" s="201"/>
    </row>
    <row r="57" spans="1:8" x14ac:dyDescent="0.2">
      <c r="A57" s="62"/>
      <c r="B57" s="220">
        <v>51744</v>
      </c>
      <c r="C57" s="213">
        <v>42899</v>
      </c>
      <c r="D57" s="200" t="s">
        <v>476</v>
      </c>
      <c r="E57" s="208">
        <v>6150</v>
      </c>
      <c r="F57" s="209">
        <f>IFERROR(MATCH($D$2:$D$83,' Accting USE Data Entry Form'!$B$10:$B$99,0),0)</f>
        <v>85</v>
      </c>
      <c r="G57" s="214">
        <v>42969</v>
      </c>
      <c r="H57" s="200"/>
    </row>
    <row r="58" spans="1:8" x14ac:dyDescent="0.2">
      <c r="A58" s="62"/>
      <c r="B58" s="219">
        <v>51754</v>
      </c>
      <c r="C58" s="203">
        <v>42884</v>
      </c>
      <c r="D58" s="201" t="s">
        <v>184</v>
      </c>
      <c r="E58" s="204">
        <v>11000</v>
      </c>
      <c r="F58" s="205">
        <f>IFERROR(MATCH($D$2:$D$83,' Accting USE Data Entry Form'!$B$10:$B$99,0),0)</f>
        <v>24</v>
      </c>
      <c r="G58" s="206">
        <v>42930</v>
      </c>
      <c r="H58" s="201"/>
    </row>
    <row r="59" spans="1:8" x14ac:dyDescent="0.2">
      <c r="A59" s="62"/>
      <c r="B59" s="220">
        <v>51754</v>
      </c>
      <c r="C59" s="207">
        <v>42884</v>
      </c>
      <c r="D59" s="200" t="s">
        <v>63</v>
      </c>
      <c r="E59" s="208">
        <v>120562.5</v>
      </c>
      <c r="F59" s="209">
        <f>IFERROR(MATCH($D$2:$D$83,' Accting USE Data Entry Form'!$B$10:$B$99,0),0)</f>
        <v>31</v>
      </c>
      <c r="G59" s="210">
        <v>42930</v>
      </c>
      <c r="H59" s="200"/>
    </row>
    <row r="60" spans="1:8" x14ac:dyDescent="0.2">
      <c r="A60" s="62"/>
      <c r="B60" s="219">
        <v>51754</v>
      </c>
      <c r="C60" s="203">
        <v>42884</v>
      </c>
      <c r="D60" s="201" t="s">
        <v>64</v>
      </c>
      <c r="E60" s="204">
        <v>160750</v>
      </c>
      <c r="F60" s="205">
        <f>IFERROR(MATCH($D$2:$D$83,' Accting USE Data Entry Form'!$B$10:$B$99,0),0)</f>
        <v>32</v>
      </c>
      <c r="G60" s="206">
        <v>42930</v>
      </c>
      <c r="H60" s="201"/>
    </row>
    <row r="61" spans="1:8" x14ac:dyDescent="0.2">
      <c r="A61" s="62"/>
      <c r="B61" s="220">
        <v>51754</v>
      </c>
      <c r="C61" s="207">
        <v>42884</v>
      </c>
      <c r="D61" s="200" t="s">
        <v>65</v>
      </c>
      <c r="E61" s="208">
        <v>160750</v>
      </c>
      <c r="F61" s="209">
        <f>IFERROR(MATCH($D$2:$D$83,' Accting USE Data Entry Form'!$B$10:$B$99,0),0)</f>
        <v>33</v>
      </c>
      <c r="G61" s="210">
        <v>42930</v>
      </c>
      <c r="H61" s="200"/>
    </row>
    <row r="62" spans="1:8" x14ac:dyDescent="0.2">
      <c r="A62" s="62"/>
      <c r="B62" s="219">
        <v>51754</v>
      </c>
      <c r="C62" s="203">
        <v>42884</v>
      </c>
      <c r="D62" s="201" t="s">
        <v>196</v>
      </c>
      <c r="E62" s="204">
        <v>47114.98</v>
      </c>
      <c r="F62" s="205">
        <f>IFERROR(MATCH($D$2:$D$83,' Accting USE Data Entry Form'!$B$10:$B$99,0),0)</f>
        <v>48</v>
      </c>
      <c r="G62" s="206">
        <v>42930</v>
      </c>
      <c r="H62" s="201"/>
    </row>
    <row r="63" spans="1:8" x14ac:dyDescent="0.2">
      <c r="A63" s="63"/>
      <c r="B63" s="220">
        <v>51754</v>
      </c>
      <c r="C63" s="207">
        <v>42884</v>
      </c>
      <c r="D63" s="200" t="s">
        <v>364</v>
      </c>
      <c r="E63" s="208">
        <v>5390</v>
      </c>
      <c r="F63" s="209">
        <f>IFERROR(MATCH($D$2:$D$83,' Accting USE Data Entry Form'!$B$10:$B$99,0),0)</f>
        <v>49</v>
      </c>
      <c r="G63" s="210">
        <v>42930</v>
      </c>
      <c r="H63" s="200"/>
    </row>
    <row r="64" spans="1:8" x14ac:dyDescent="0.2">
      <c r="B64" s="219">
        <v>51780</v>
      </c>
      <c r="C64" s="215">
        <v>42912</v>
      </c>
      <c r="D64" s="201" t="s">
        <v>89</v>
      </c>
      <c r="E64" s="204">
        <v>27600</v>
      </c>
      <c r="F64" s="205">
        <f>IFERROR(MATCH($D$2:$D$83,' Accting USE Data Entry Form'!$B$10:$B$99,0),0)</f>
        <v>25</v>
      </c>
      <c r="G64" s="212">
        <v>42969</v>
      </c>
      <c r="H64" s="201"/>
    </row>
    <row r="65" spans="2:8" x14ac:dyDescent="0.2">
      <c r="B65" s="220">
        <v>51781</v>
      </c>
      <c r="C65" s="207">
        <v>42912</v>
      </c>
      <c r="D65" s="200" t="s">
        <v>194</v>
      </c>
      <c r="E65" s="208">
        <v>2475</v>
      </c>
      <c r="F65" s="209">
        <f>IFERROR(MATCH($D$2:$D$83,' Accting USE Data Entry Form'!$B$10:$B$99,0),0)</f>
        <v>22</v>
      </c>
      <c r="G65" s="214">
        <v>42969</v>
      </c>
      <c r="H65" s="200" t="s">
        <v>486</v>
      </c>
    </row>
    <row r="66" spans="2:8" x14ac:dyDescent="0.2">
      <c r="B66" s="219">
        <v>51781</v>
      </c>
      <c r="C66" s="203">
        <v>42912</v>
      </c>
      <c r="D66" s="201" t="s">
        <v>194</v>
      </c>
      <c r="E66" s="204">
        <v>2475</v>
      </c>
      <c r="F66" s="205">
        <f>IFERROR(MATCH($D$2:$D$83,' Accting USE Data Entry Form'!$B$10:$B$99,0),0)</f>
        <v>22</v>
      </c>
      <c r="G66" s="212">
        <v>42969</v>
      </c>
      <c r="H66" s="201" t="s">
        <v>487</v>
      </c>
    </row>
    <row r="67" spans="2:8" x14ac:dyDescent="0.2">
      <c r="B67" s="220">
        <v>51781</v>
      </c>
      <c r="C67" s="207">
        <v>42912</v>
      </c>
      <c r="D67" s="200" t="s">
        <v>194</v>
      </c>
      <c r="E67" s="208">
        <v>7425</v>
      </c>
      <c r="F67" s="209">
        <f>IFERROR(MATCH($D$2:$D$83,' Accting USE Data Entry Form'!$B$10:$B$99,0),0)</f>
        <v>22</v>
      </c>
      <c r="G67" s="214">
        <v>42969</v>
      </c>
      <c r="H67" s="200" t="s">
        <v>488</v>
      </c>
    </row>
    <row r="68" spans="2:8" x14ac:dyDescent="0.2">
      <c r="B68" s="219">
        <v>51799</v>
      </c>
      <c r="C68" s="203">
        <v>42915</v>
      </c>
      <c r="D68" s="201" t="s">
        <v>205</v>
      </c>
      <c r="E68" s="204">
        <v>129500</v>
      </c>
      <c r="F68" s="205">
        <f>IFERROR(MATCH($D$2:$D$83,' Accting USE Data Entry Form'!$B$10:$B$99,0),0)</f>
        <v>52</v>
      </c>
      <c r="G68" s="212">
        <v>42969</v>
      </c>
      <c r="H68" s="201"/>
    </row>
    <row r="69" spans="2:8" x14ac:dyDescent="0.2">
      <c r="B69" s="220">
        <v>51799</v>
      </c>
      <c r="C69" s="207">
        <v>42915</v>
      </c>
      <c r="D69" s="200" t="s">
        <v>206</v>
      </c>
      <c r="E69" s="208">
        <v>15630</v>
      </c>
      <c r="F69" s="209">
        <f>IFERROR(MATCH($D$2:$D$83,' Accting USE Data Entry Form'!$B$10:$B$99,0),0)</f>
        <v>53</v>
      </c>
      <c r="G69" s="214">
        <v>42969</v>
      </c>
      <c r="H69" s="200" t="s">
        <v>489</v>
      </c>
    </row>
    <row r="70" spans="2:8" x14ac:dyDescent="0.2">
      <c r="B70" s="219">
        <v>51808</v>
      </c>
      <c r="C70" s="203">
        <v>42916</v>
      </c>
      <c r="D70" s="201" t="s">
        <v>66</v>
      </c>
      <c r="E70" s="216">
        <v>160750</v>
      </c>
      <c r="F70" s="225">
        <f>IFERROR(MATCH($D$2:$D$83,' Accting USE Data Entry Form'!$B$10:$B$99,0),0)</f>
        <v>34</v>
      </c>
      <c r="G70" s="212">
        <v>42969</v>
      </c>
      <c r="H70" s="201"/>
    </row>
    <row r="71" spans="2:8" x14ac:dyDescent="0.2">
      <c r="B71" s="220">
        <v>51808</v>
      </c>
      <c r="C71" s="207">
        <v>42916</v>
      </c>
      <c r="D71" s="200" t="s">
        <v>67</v>
      </c>
      <c r="E71" s="217">
        <v>160750</v>
      </c>
      <c r="F71" s="226">
        <f>IFERROR(MATCH($D$2:$D$83,' Accting USE Data Entry Form'!$B$10:$B$99,0),0)</f>
        <v>35</v>
      </c>
      <c r="G71" s="214">
        <v>42969</v>
      </c>
      <c r="H71" s="200"/>
    </row>
    <row r="72" spans="2:8" x14ac:dyDescent="0.2">
      <c r="B72" s="219">
        <v>51808</v>
      </c>
      <c r="C72" s="203">
        <v>42916</v>
      </c>
      <c r="D72" s="201" t="s">
        <v>68</v>
      </c>
      <c r="E72" s="216">
        <v>160750</v>
      </c>
      <c r="F72" s="225">
        <f>IFERROR(MATCH($D$2:$D$83,' Accting USE Data Entry Form'!$B$10:$B$99,0),0)</f>
        <v>36</v>
      </c>
      <c r="G72" s="212">
        <v>42969</v>
      </c>
      <c r="H72" s="201"/>
    </row>
    <row r="73" spans="2:8" x14ac:dyDescent="0.2">
      <c r="B73" s="220">
        <v>51808</v>
      </c>
      <c r="C73" s="207">
        <v>42916</v>
      </c>
      <c r="D73" s="200" t="s">
        <v>69</v>
      </c>
      <c r="E73" s="217">
        <v>160750</v>
      </c>
      <c r="F73" s="226">
        <f>IFERROR(MATCH($D$2:$D$83,' Accting USE Data Entry Form'!$B$10:$B$99,0),0)</f>
        <v>37</v>
      </c>
      <c r="G73" s="214">
        <v>42969</v>
      </c>
      <c r="H73" s="200"/>
    </row>
    <row r="74" spans="2:8" x14ac:dyDescent="0.2">
      <c r="B74" s="219">
        <v>51808</v>
      </c>
      <c r="C74" s="203">
        <v>42916</v>
      </c>
      <c r="D74" s="201" t="s">
        <v>70</v>
      </c>
      <c r="E74" s="218">
        <v>80375</v>
      </c>
      <c r="F74" s="225">
        <f>IFERROR(MATCH($D$2:$D$83,' Accting USE Data Entry Form'!$B$10:$B$99,0),0)</f>
        <v>38</v>
      </c>
      <c r="G74" s="212">
        <v>42969</v>
      </c>
      <c r="H74" s="201"/>
    </row>
    <row r="75" spans="2:8" x14ac:dyDescent="0.2">
      <c r="B75" s="220">
        <v>51808</v>
      </c>
      <c r="C75" s="207">
        <v>42916</v>
      </c>
      <c r="D75" s="200" t="s">
        <v>184</v>
      </c>
      <c r="E75" s="208">
        <v>18000</v>
      </c>
      <c r="F75" s="209">
        <f>IFERROR(MATCH($D$2:$D$83,' Accting USE Data Entry Form'!$B$10:$B$99,0),0)</f>
        <v>24</v>
      </c>
      <c r="G75" s="214">
        <v>42969</v>
      </c>
      <c r="H75" s="200"/>
    </row>
    <row r="76" spans="2:8" x14ac:dyDescent="0.2">
      <c r="B76" s="219">
        <v>51808</v>
      </c>
      <c r="C76" s="203">
        <v>42916</v>
      </c>
      <c r="D76" s="201" t="s">
        <v>196</v>
      </c>
      <c r="E76" s="204">
        <v>77097.240000000005</v>
      </c>
      <c r="F76" s="205">
        <f>IFERROR(MATCH($D$2:$D$83,' Accting USE Data Entry Form'!$B$10:$B$99,0),0)</f>
        <v>48</v>
      </c>
      <c r="G76" s="212">
        <v>42969</v>
      </c>
      <c r="H76" s="201"/>
    </row>
    <row r="77" spans="2:8" x14ac:dyDescent="0.2">
      <c r="B77" s="220">
        <v>51808</v>
      </c>
      <c r="C77" s="207">
        <v>42916</v>
      </c>
      <c r="D77" s="200" t="s">
        <v>364</v>
      </c>
      <c r="E77" s="208">
        <v>8820</v>
      </c>
      <c r="F77" s="209">
        <f>IFERROR(MATCH($D$2:$D$83,' Accting USE Data Entry Form'!$B$10:$B$99,0),0)</f>
        <v>49</v>
      </c>
      <c r="G77" s="214">
        <v>42969</v>
      </c>
      <c r="H77" s="200"/>
    </row>
    <row r="78" spans="2:8" x14ac:dyDescent="0.2">
      <c r="B78" s="219">
        <v>51842</v>
      </c>
      <c r="C78" s="203">
        <v>42944</v>
      </c>
      <c r="D78" s="201" t="s">
        <v>70</v>
      </c>
      <c r="E78" s="218">
        <v>80375</v>
      </c>
      <c r="F78" s="225">
        <f>IFERROR(MATCH($D$2:$D$83,' Accting USE Data Entry Form'!$B$10:$B$99,0),0)</f>
        <v>38</v>
      </c>
      <c r="G78" s="212">
        <v>42969</v>
      </c>
      <c r="H78" s="201"/>
    </row>
    <row r="79" spans="2:8" x14ac:dyDescent="0.2">
      <c r="B79" s="220">
        <v>51842</v>
      </c>
      <c r="C79" s="207">
        <v>42944</v>
      </c>
      <c r="D79" s="200" t="s">
        <v>71</v>
      </c>
      <c r="E79" s="217">
        <v>160750</v>
      </c>
      <c r="F79" s="226">
        <f>IFERROR(MATCH($D$2:$D$83,' Accting USE Data Entry Form'!$B$10:$B$99,0),0)</f>
        <v>39</v>
      </c>
      <c r="G79" s="214">
        <v>42969</v>
      </c>
      <c r="H79" s="200"/>
    </row>
    <row r="80" spans="2:8" x14ac:dyDescent="0.2">
      <c r="B80" s="219">
        <v>51842</v>
      </c>
      <c r="C80" s="203">
        <v>42944</v>
      </c>
      <c r="D80" s="201" t="s">
        <v>72</v>
      </c>
      <c r="E80" s="218">
        <v>80375</v>
      </c>
      <c r="F80" s="225">
        <f>IFERROR(MATCH($D$2:$D$83,' Accting USE Data Entry Form'!$B$10:$B$99,0),0)</f>
        <v>40</v>
      </c>
      <c r="G80" s="212">
        <v>42969</v>
      </c>
      <c r="H80" s="201"/>
    </row>
    <row r="81" spans="2:8" x14ac:dyDescent="0.2">
      <c r="B81" s="220">
        <v>51842</v>
      </c>
      <c r="C81" s="207">
        <v>42944</v>
      </c>
      <c r="D81" s="200" t="s">
        <v>184</v>
      </c>
      <c r="E81" s="208">
        <v>8000</v>
      </c>
      <c r="F81" s="209">
        <f>IFERROR(MATCH($D$2:$D$83,' Accting USE Data Entry Form'!$B$10:$B$99,0),0)</f>
        <v>24</v>
      </c>
      <c r="G81" s="214">
        <v>42969</v>
      </c>
      <c r="H81" s="200"/>
    </row>
    <row r="82" spans="2:8" x14ac:dyDescent="0.2">
      <c r="B82" s="219">
        <v>51842</v>
      </c>
      <c r="C82" s="203">
        <v>42944</v>
      </c>
      <c r="D82" s="201" t="s">
        <v>196</v>
      </c>
      <c r="E82" s="204">
        <v>34265.440000000002</v>
      </c>
      <c r="F82" s="205">
        <f>IFERROR(MATCH($D$2:$D$83,' Accting USE Data Entry Form'!$B$10:$B$99,0),0)</f>
        <v>48</v>
      </c>
      <c r="G82" s="212">
        <v>42969</v>
      </c>
      <c r="H82" s="201"/>
    </row>
    <row r="83" spans="2:8" x14ac:dyDescent="0.2">
      <c r="B83" s="220">
        <v>51842</v>
      </c>
      <c r="C83" s="207">
        <v>42944</v>
      </c>
      <c r="D83" s="200" t="s">
        <v>364</v>
      </c>
      <c r="E83" s="208">
        <v>3920</v>
      </c>
      <c r="F83" s="209">
        <f>IFERROR(MATCH($D$2:$D$83,' Accting USE Data Entry Form'!$B$10:$B$99,0),0)</f>
        <v>49</v>
      </c>
      <c r="G83" s="214">
        <v>42969</v>
      </c>
      <c r="H83" s="200"/>
    </row>
  </sheetData>
  <conditionalFormatting sqref="E63:F64">
    <cfRule type="expression" dxfId="77" priority="10" stopIfTrue="1">
      <formula>AND($Q63=100%,$S63=0)</formula>
    </cfRule>
    <cfRule type="expression" dxfId="76" priority="11">
      <formula>$Q63=100%</formula>
    </cfRule>
    <cfRule type="expression" dxfId="75" priority="12">
      <formula>$Q63&gt;0%</formula>
    </cfRule>
  </conditionalFormatting>
  <conditionalFormatting sqref="E65:F65">
    <cfRule type="expression" dxfId="74" priority="7" stopIfTrue="1">
      <formula>AND($Q65=100%,$S65=0)</formula>
    </cfRule>
    <cfRule type="expression" dxfId="73" priority="8">
      <formula>$Q65=100%</formula>
    </cfRule>
    <cfRule type="expression" dxfId="72" priority="9">
      <formula>$Q65&gt;0%</formula>
    </cfRule>
  </conditionalFormatting>
  <conditionalFormatting sqref="E69:F72">
    <cfRule type="expression" dxfId="71" priority="4" stopIfTrue="1">
      <formula>AND($Q69=100%,$S69=0)</formula>
    </cfRule>
    <cfRule type="expression" dxfId="70" priority="5">
      <formula>$Q69=100%</formula>
    </cfRule>
    <cfRule type="expression" dxfId="69" priority="6">
      <formula>$Q69&gt;0%</formula>
    </cfRule>
  </conditionalFormatting>
  <conditionalFormatting sqref="E73:F73">
    <cfRule type="expression" dxfId="68" priority="1" stopIfTrue="1">
      <formula>AND($Q73=100%,$S73=0)</formula>
    </cfRule>
    <cfRule type="expression" dxfId="67" priority="2">
      <formula>$Q73=100%</formula>
    </cfRule>
    <cfRule type="expression" dxfId="66" priority="3">
      <formula>$Q73&gt;0%</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error="Must choose a milestone (PO line) in the drop down menu.">
          <x14:formula1>
            <xm:f>' Accting USE Data Entry Form'!$B$10:$B$99</xm:f>
          </x14:formula1>
          <xm:sqref>D2:D76</xm:sqref>
        </x14:dataValidation>
        <x14:dataValidation type="list" allowBlank="1" showErrorMessage="1" error="Must choose a milestone (PO line) in the drop down menu.">
          <x14:formula1>
            <xm:f>' Accting USE Data Entry Form'!$B$10:$B$99</xm:f>
          </x14:formula1>
          <xm:sqref>D77:D1048576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2.75" x14ac:dyDescent="0.2"/>
  <cols>
    <col min="6" max="6" width="12.42578125" bestFit="1" customWidth="1"/>
  </cols>
  <sheetData>
    <row r="9" spans="6:7" x14ac:dyDescent="0.2">
      <c r="F9" t="s">
        <v>198</v>
      </c>
      <c r="G9" t="s">
        <v>199</v>
      </c>
    </row>
    <row r="10" spans="6:7" x14ac:dyDescent="0.2">
      <c r="F10" s="82">
        <v>101080</v>
      </c>
      <c r="G10">
        <v>24</v>
      </c>
    </row>
    <row r="11" spans="6:7" x14ac:dyDescent="0.2">
      <c r="F11" s="82">
        <v>160750</v>
      </c>
      <c r="G11">
        <v>13</v>
      </c>
    </row>
    <row r="12" spans="6:7" x14ac:dyDescent="0.2">
      <c r="F12" s="82">
        <v>160750</v>
      </c>
      <c r="G12">
        <v>14</v>
      </c>
    </row>
    <row r="13" spans="6:7" x14ac:dyDescent="0.2">
      <c r="F13" s="82">
        <v>160750</v>
      </c>
      <c r="G13">
        <v>15</v>
      </c>
    </row>
    <row r="14" spans="6:7" x14ac:dyDescent="0.2">
      <c r="F14" s="82">
        <v>160750</v>
      </c>
      <c r="G14">
        <v>16</v>
      </c>
    </row>
    <row r="15" spans="6:7" x14ac:dyDescent="0.2">
      <c r="F15" s="82">
        <v>160750</v>
      </c>
      <c r="G15">
        <v>17</v>
      </c>
    </row>
    <row r="16" spans="6:7" x14ac:dyDescent="0.2">
      <c r="F16" s="82">
        <v>160750</v>
      </c>
      <c r="G16">
        <v>18</v>
      </c>
    </row>
    <row r="17" spans="6:7" x14ac:dyDescent="0.2">
      <c r="F17" s="82">
        <v>102796.32</v>
      </c>
      <c r="G17">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0"/>
  <sheetViews>
    <sheetView showGridLines="0" zoomScaleNormal="100" workbookViewId="0">
      <pane xSplit="1" ySplit="3" topLeftCell="B220" activePane="bottomRight" state="frozen"/>
      <selection activeCell="D72" sqref="D72"/>
      <selection pane="topRight" activeCell="D72" sqref="D72"/>
      <selection pane="bottomLeft" activeCell="D72" sqref="D72"/>
      <selection pane="bottomRight" activeCell="E231" sqref="E231"/>
    </sheetView>
  </sheetViews>
  <sheetFormatPr defaultColWidth="9.140625" defaultRowHeight="18.75" x14ac:dyDescent="0.2"/>
  <cols>
    <col min="1" max="1" width="7.85546875" style="67" customWidth="1"/>
    <col min="2" max="2" width="12.5703125" style="67" bestFit="1" customWidth="1"/>
    <col min="3" max="3" width="20.140625" style="67" hidden="1" customWidth="1"/>
    <col min="4" max="4" width="13.7109375" style="97" hidden="1" customWidth="1"/>
    <col min="5" max="5" width="13.7109375" style="67" customWidth="1"/>
    <col min="6" max="6" width="8.7109375" style="90" hidden="1" customWidth="1"/>
    <col min="7" max="7" width="10.7109375" style="67" hidden="1" customWidth="1"/>
    <col min="8" max="10" width="13.5703125" style="78" hidden="1" customWidth="1"/>
    <col min="11" max="11" width="16.7109375" style="78" customWidth="1"/>
    <col min="12" max="12" width="14.7109375" style="78" customWidth="1"/>
    <col min="13" max="13" width="16" style="97" customWidth="1"/>
    <col min="14" max="14" width="15.140625" style="97" customWidth="1"/>
    <col min="15" max="15" width="17.28515625" style="97" customWidth="1"/>
    <col min="16" max="16" width="17.7109375" style="97" customWidth="1"/>
    <col min="17" max="17" width="14.28515625" style="97" customWidth="1"/>
    <col min="18" max="16384" width="9.140625" style="97"/>
  </cols>
  <sheetData>
    <row r="1" spans="1:17" ht="30.6" customHeight="1" thickBot="1" x14ac:dyDescent="0.25">
      <c r="A1" s="257" t="s">
        <v>366</v>
      </c>
      <c r="B1" s="258"/>
      <c r="C1" s="258"/>
      <c r="D1" s="258"/>
      <c r="E1" s="258"/>
      <c r="F1" s="258"/>
      <c r="G1" s="258"/>
      <c r="H1" s="258"/>
      <c r="I1" s="258"/>
      <c r="J1" s="258"/>
      <c r="K1" s="258"/>
      <c r="L1" s="258"/>
      <c r="M1" s="258"/>
      <c r="N1" s="258"/>
      <c r="O1" s="258"/>
      <c r="P1" s="258"/>
      <c r="Q1" s="258"/>
    </row>
    <row r="2" spans="1:17" ht="4.1500000000000004" customHeight="1" thickBot="1" x14ac:dyDescent="0.25"/>
    <row r="3" spans="1:17" s="70" customFormat="1" ht="59.45" customHeight="1" thickBot="1" x14ac:dyDescent="0.25">
      <c r="A3" s="91" t="s">
        <v>186</v>
      </c>
      <c r="B3" s="92" t="s">
        <v>189</v>
      </c>
      <c r="C3" s="121" t="s">
        <v>36</v>
      </c>
      <c r="D3" s="91" t="s">
        <v>187</v>
      </c>
      <c r="E3" s="93" t="s">
        <v>190</v>
      </c>
      <c r="F3" s="94" t="s">
        <v>365</v>
      </c>
      <c r="G3" s="95" t="s">
        <v>200</v>
      </c>
      <c r="H3" s="93" t="s">
        <v>475</v>
      </c>
      <c r="I3" s="93" t="s">
        <v>473</v>
      </c>
      <c r="J3" s="93" t="s">
        <v>474</v>
      </c>
      <c r="K3" s="93" t="s">
        <v>188</v>
      </c>
      <c r="L3" s="93" t="s">
        <v>96</v>
      </c>
      <c r="M3" s="96" t="s">
        <v>191</v>
      </c>
      <c r="N3" s="96" t="s">
        <v>193</v>
      </c>
      <c r="O3" s="96" t="s">
        <v>443</v>
      </c>
      <c r="P3" s="96" t="s">
        <v>87</v>
      </c>
      <c r="Q3" s="94" t="s">
        <v>192</v>
      </c>
    </row>
    <row r="4" spans="1:17" ht="18" customHeight="1" x14ac:dyDescent="0.2">
      <c r="A4" s="106">
        <v>1</v>
      </c>
      <c r="B4" s="107" t="s">
        <v>207</v>
      </c>
      <c r="C4" s="107" t="s">
        <v>367</v>
      </c>
      <c r="D4" s="108">
        <v>42917</v>
      </c>
      <c r="E4" s="108">
        <v>42552</v>
      </c>
      <c r="F4" s="109">
        <v>1</v>
      </c>
      <c r="G4" s="109">
        <v>0</v>
      </c>
      <c r="H4" s="110">
        <f>VLOOKUP(CavityStatus[[#This Row],[Unit '#]],IncentiveTable[],3)</f>
        <v>20196</v>
      </c>
      <c r="I4" s="110">
        <v>20196</v>
      </c>
      <c r="J4" s="110"/>
      <c r="K4" s="110"/>
      <c r="L4" s="111">
        <v>42528</v>
      </c>
      <c r="M4" s="112"/>
      <c r="N4" s="112"/>
      <c r="O4" s="110">
        <f t="shared" ref="O4:O67" si="0">RICavMilestoneVal</f>
        <v>40187.5</v>
      </c>
      <c r="P4" s="112">
        <f>RICavMilestoneVal+CavityStatus[[#This Row],[Incentive Earned]]+CavityStatus[[#This Row],[Recipe Modification (Mod 9)]]+N4</f>
        <v>40187.5</v>
      </c>
      <c r="Q4" s="111">
        <v>42587</v>
      </c>
    </row>
    <row r="5" spans="1:17" ht="18" customHeight="1" x14ac:dyDescent="0.2">
      <c r="A5" s="113">
        <v>2</v>
      </c>
      <c r="B5" s="98" t="s">
        <v>208</v>
      </c>
      <c r="C5" s="98" t="s">
        <v>367</v>
      </c>
      <c r="D5" s="100">
        <v>42552</v>
      </c>
      <c r="E5" s="100">
        <v>42552</v>
      </c>
      <c r="F5" s="99">
        <v>1</v>
      </c>
      <c r="G5" s="99">
        <f>IF(CavityStatus[[#This Row],[Actual Ship Date]]&lt;&gt;0,($E5-$D5)/7,0)</f>
        <v>0</v>
      </c>
      <c r="H5" s="101">
        <f>VLOOKUP(CavityStatus[[#This Row],[Unit '#]],IncentiveTable[],3)</f>
        <v>20196</v>
      </c>
      <c r="I5" s="101">
        <v>20196</v>
      </c>
      <c r="J5" s="101"/>
      <c r="K5" s="101"/>
      <c r="L5" s="102">
        <v>42528</v>
      </c>
      <c r="M5" s="103"/>
      <c r="N5" s="103"/>
      <c r="O5" s="101">
        <f t="shared" si="0"/>
        <v>40187.5</v>
      </c>
      <c r="P5" s="103">
        <f>RICavMilestoneVal+CavityStatus[[#This Row],[Incentive Earned]]+CavityStatus[[#This Row],[Recipe Modification (Mod 9)]]+N5</f>
        <v>40187.5</v>
      </c>
      <c r="Q5" s="102">
        <v>42587</v>
      </c>
    </row>
    <row r="6" spans="1:17" ht="18" customHeight="1" x14ac:dyDescent="0.2">
      <c r="A6" s="113">
        <v>3</v>
      </c>
      <c r="B6" s="98" t="s">
        <v>210</v>
      </c>
      <c r="C6" s="98" t="s">
        <v>367</v>
      </c>
      <c r="D6" s="100">
        <v>42552</v>
      </c>
      <c r="E6" s="100">
        <v>42552</v>
      </c>
      <c r="F6" s="99">
        <v>1</v>
      </c>
      <c r="G6" s="99">
        <f>IF(CavityStatus[[#This Row],[Actual Ship Date]]&lt;&gt;0,($E6-$D6)/7,0)</f>
        <v>0</v>
      </c>
      <c r="H6" s="101">
        <f>VLOOKUP(CavityStatus[[#This Row],[Unit '#]],IncentiveTable[],3)</f>
        <v>20196</v>
      </c>
      <c r="I6" s="101">
        <v>20196</v>
      </c>
      <c r="J6" s="101"/>
      <c r="K6" s="101"/>
      <c r="L6" s="102">
        <v>42528</v>
      </c>
      <c r="M6" s="103"/>
      <c r="N6" s="103"/>
      <c r="O6" s="101">
        <f t="shared" si="0"/>
        <v>40187.5</v>
      </c>
      <c r="P6" s="103">
        <f>RICavMilestoneVal+CavityStatus[[#This Row],[Incentive Earned]]+CavityStatus[[#This Row],[Recipe Modification (Mod 9)]]+N6</f>
        <v>40187.5</v>
      </c>
      <c r="Q6" s="102">
        <v>42587</v>
      </c>
    </row>
    <row r="7" spans="1:17" ht="18" customHeight="1" x14ac:dyDescent="0.2">
      <c r="A7" s="113">
        <v>4</v>
      </c>
      <c r="B7" s="98" t="s">
        <v>211</v>
      </c>
      <c r="C7" s="98" t="s">
        <v>367</v>
      </c>
      <c r="D7" s="100">
        <v>42552</v>
      </c>
      <c r="E7" s="100">
        <v>42552</v>
      </c>
      <c r="F7" s="99">
        <v>1</v>
      </c>
      <c r="G7" s="99">
        <f>IF(CavityStatus[[#This Row],[Actual Ship Date]]&lt;&gt;0,($E7-$D7)/7,0)</f>
        <v>0</v>
      </c>
      <c r="H7" s="101">
        <f>VLOOKUP(CavityStatus[[#This Row],[Unit '#]],IncentiveTable[],3)</f>
        <v>20196</v>
      </c>
      <c r="I7" s="101">
        <v>20196</v>
      </c>
      <c r="J7" s="101"/>
      <c r="K7" s="101"/>
      <c r="L7" s="102">
        <v>42528</v>
      </c>
      <c r="M7" s="103"/>
      <c r="N7" s="103"/>
      <c r="O7" s="101">
        <f t="shared" si="0"/>
        <v>40187.5</v>
      </c>
      <c r="P7" s="103">
        <f>RICavMilestoneVal+CavityStatus[[#This Row],[Incentive Earned]]+CavityStatus[[#This Row],[Recipe Modification (Mod 9)]]+N7</f>
        <v>40187.5</v>
      </c>
      <c r="Q7" s="102">
        <v>42587</v>
      </c>
    </row>
    <row r="8" spans="1:17" ht="18" customHeight="1" x14ac:dyDescent="0.2">
      <c r="A8" s="113">
        <v>5</v>
      </c>
      <c r="B8" s="98" t="s">
        <v>209</v>
      </c>
      <c r="C8" s="98" t="s">
        <v>367</v>
      </c>
      <c r="D8" s="100">
        <v>42552</v>
      </c>
      <c r="E8" s="100">
        <v>42552</v>
      </c>
      <c r="F8" s="99">
        <v>2</v>
      </c>
      <c r="G8" s="99">
        <f>IF(CavityStatus[[#This Row],[Actual Ship Date]]&lt;&gt;0,($E8-$D8)/7,0)</f>
        <v>0</v>
      </c>
      <c r="H8" s="101">
        <f>VLOOKUP(CavityStatus[[#This Row],[Unit '#]],IncentiveTable[],3)</f>
        <v>20196</v>
      </c>
      <c r="I8" s="101">
        <v>20196</v>
      </c>
      <c r="J8" s="101"/>
      <c r="K8" s="101"/>
      <c r="L8" s="102">
        <v>42528</v>
      </c>
      <c r="M8" s="103"/>
      <c r="N8" s="103"/>
      <c r="O8" s="101">
        <f t="shared" si="0"/>
        <v>40187.5</v>
      </c>
      <c r="P8" s="103">
        <f>RICavMilestoneVal+CavityStatus[[#This Row],[Incentive Earned]]+CavityStatus[[#This Row],[Recipe Modification (Mod 9)]]+N8</f>
        <v>40187.5</v>
      </c>
      <c r="Q8" s="102">
        <v>42587</v>
      </c>
    </row>
    <row r="9" spans="1:17" ht="18" customHeight="1" x14ac:dyDescent="0.2">
      <c r="A9" s="113">
        <v>6</v>
      </c>
      <c r="B9" s="98" t="s">
        <v>212</v>
      </c>
      <c r="C9" s="98" t="s">
        <v>367</v>
      </c>
      <c r="D9" s="100">
        <v>42552</v>
      </c>
      <c r="E9" s="100">
        <v>42552</v>
      </c>
      <c r="F9" s="99">
        <v>2</v>
      </c>
      <c r="G9" s="99">
        <f>IF(CavityStatus[[#This Row],[Actual Ship Date]]&lt;&gt;0,($E9-$D9)/7,0)</f>
        <v>0</v>
      </c>
      <c r="H9" s="101">
        <f>VLOOKUP(CavityStatus[[#This Row],[Unit '#]],IncentiveTable[],3)</f>
        <v>20196</v>
      </c>
      <c r="I9" s="101">
        <v>20196</v>
      </c>
      <c r="J9" s="101"/>
      <c r="K9" s="101"/>
      <c r="L9" s="102">
        <v>42528</v>
      </c>
      <c r="M9" s="103"/>
      <c r="N9" s="103"/>
      <c r="O9" s="101">
        <f t="shared" si="0"/>
        <v>40187.5</v>
      </c>
      <c r="P9" s="103">
        <f>RICavMilestoneVal+CavityStatus[[#This Row],[Incentive Earned]]+CavityStatus[[#This Row],[Recipe Modification (Mod 9)]]+N9</f>
        <v>40187.5</v>
      </c>
      <c r="Q9" s="102">
        <v>42587</v>
      </c>
    </row>
    <row r="10" spans="1:17" ht="18" customHeight="1" x14ac:dyDescent="0.2">
      <c r="A10" s="113">
        <v>7</v>
      </c>
      <c r="B10" s="98" t="s">
        <v>213</v>
      </c>
      <c r="C10" s="98" t="s">
        <v>367</v>
      </c>
      <c r="D10" s="100">
        <v>42552</v>
      </c>
      <c r="E10" s="100">
        <v>42552</v>
      </c>
      <c r="F10" s="99">
        <v>2</v>
      </c>
      <c r="G10" s="99">
        <f>IF(CavityStatus[[#This Row],[Actual Ship Date]]&lt;&gt;0,($E10-$D10)/7,0)</f>
        <v>0</v>
      </c>
      <c r="H10" s="101">
        <f>VLOOKUP(CavityStatus[[#This Row],[Unit '#]],IncentiveTable[],3)</f>
        <v>20196</v>
      </c>
      <c r="I10" s="101">
        <v>20196</v>
      </c>
      <c r="J10" s="101"/>
      <c r="K10" s="101"/>
      <c r="L10" s="102">
        <v>42528</v>
      </c>
      <c r="M10" s="103"/>
      <c r="N10" s="103"/>
      <c r="O10" s="101">
        <f t="shared" si="0"/>
        <v>40187.5</v>
      </c>
      <c r="P10" s="103">
        <f>RICavMilestoneVal+CavityStatus[[#This Row],[Incentive Earned]]+CavityStatus[[#This Row],[Recipe Modification (Mod 9)]]+N10</f>
        <v>40187.5</v>
      </c>
      <c r="Q10" s="102">
        <v>42587</v>
      </c>
    </row>
    <row r="11" spans="1:17" ht="18" customHeight="1" x14ac:dyDescent="0.2">
      <c r="A11" s="113">
        <v>8</v>
      </c>
      <c r="B11" s="98" t="s">
        <v>214</v>
      </c>
      <c r="C11" s="98" t="s">
        <v>367</v>
      </c>
      <c r="D11" s="100">
        <v>42552</v>
      </c>
      <c r="E11" s="100">
        <v>42552</v>
      </c>
      <c r="F11" s="99">
        <v>2</v>
      </c>
      <c r="G11" s="99">
        <f>IF(CavityStatus[[#This Row],[Actual Ship Date]]&lt;&gt;0,($E11-$D11)/7,0)</f>
        <v>0</v>
      </c>
      <c r="H11" s="101">
        <f>VLOOKUP(CavityStatus[[#This Row],[Unit '#]],IncentiveTable[],3)</f>
        <v>20196</v>
      </c>
      <c r="I11" s="101">
        <v>20196</v>
      </c>
      <c r="J11" s="101"/>
      <c r="K11" s="101"/>
      <c r="L11" s="102">
        <v>42528</v>
      </c>
      <c r="M11" s="103"/>
      <c r="N11" s="103"/>
      <c r="O11" s="101">
        <f t="shared" si="0"/>
        <v>40187.5</v>
      </c>
      <c r="P11" s="103">
        <f>RICavMilestoneVal+CavityStatus[[#This Row],[Incentive Earned]]+CavityStatus[[#This Row],[Recipe Modification (Mod 9)]]+N11</f>
        <v>40187.5</v>
      </c>
      <c r="Q11" s="102">
        <v>42587</v>
      </c>
    </row>
    <row r="12" spans="1:17" ht="18" customHeight="1" x14ac:dyDescent="0.2">
      <c r="A12" s="113">
        <v>9</v>
      </c>
      <c r="B12" s="98" t="s">
        <v>215</v>
      </c>
      <c r="C12" s="98" t="s">
        <v>367</v>
      </c>
      <c r="D12" s="100">
        <v>42583</v>
      </c>
      <c r="E12" s="100">
        <v>42583</v>
      </c>
      <c r="F12" s="99">
        <v>3</v>
      </c>
      <c r="G12" s="99">
        <f>IF(CavityStatus[[#This Row],[Actual Ship Date]]&lt;&gt;0,($E12-$D12)/7,0)</f>
        <v>0</v>
      </c>
      <c r="H12" s="101">
        <f>VLOOKUP(CavityStatus[[#This Row],[Unit '#]],IncentiveTable[],3)</f>
        <v>20196</v>
      </c>
      <c r="I12" s="101">
        <v>20196</v>
      </c>
      <c r="J12" s="101"/>
      <c r="K12" s="101"/>
      <c r="L12" s="102">
        <v>42589</v>
      </c>
      <c r="M12" s="103"/>
      <c r="N12" s="103"/>
      <c r="O12" s="101">
        <f t="shared" si="0"/>
        <v>40187.5</v>
      </c>
      <c r="P12" s="103">
        <f>RICavMilestoneVal+CavityStatus[[#This Row],[Incentive Earned]]+CavityStatus[[#This Row],[Recipe Modification (Mod 9)]]+N12</f>
        <v>40187.5</v>
      </c>
      <c r="Q12" s="102">
        <v>42587</v>
      </c>
    </row>
    <row r="13" spans="1:17" ht="18" customHeight="1" x14ac:dyDescent="0.2">
      <c r="A13" s="113">
        <v>10</v>
      </c>
      <c r="B13" s="98" t="s">
        <v>216</v>
      </c>
      <c r="C13" s="98" t="s">
        <v>367</v>
      </c>
      <c r="D13" s="100">
        <v>42583</v>
      </c>
      <c r="E13" s="100">
        <v>42583</v>
      </c>
      <c r="F13" s="99">
        <v>3</v>
      </c>
      <c r="G13" s="99">
        <f>IF(CavityStatus[[#This Row],[Actual Ship Date]]&lt;&gt;0,($E13-$D13)/7,0)</f>
        <v>0</v>
      </c>
      <c r="H13" s="101">
        <f>VLOOKUP(CavityStatus[[#This Row],[Unit '#]],IncentiveTable[],3)</f>
        <v>20196</v>
      </c>
      <c r="I13" s="101">
        <v>20196</v>
      </c>
      <c r="J13" s="101"/>
      <c r="K13" s="101"/>
      <c r="L13" s="102">
        <v>42589</v>
      </c>
      <c r="M13" s="103"/>
      <c r="N13" s="103"/>
      <c r="O13" s="101">
        <f t="shared" si="0"/>
        <v>40187.5</v>
      </c>
      <c r="P13" s="103">
        <f>RICavMilestoneVal+CavityStatus[[#This Row],[Incentive Earned]]+CavityStatus[[#This Row],[Recipe Modification (Mod 9)]]+N13</f>
        <v>40187.5</v>
      </c>
      <c r="Q13" s="102">
        <v>42587</v>
      </c>
    </row>
    <row r="14" spans="1:17" ht="18" customHeight="1" x14ac:dyDescent="0.2">
      <c r="A14" s="113">
        <v>11</v>
      </c>
      <c r="B14" s="98" t="s">
        <v>218</v>
      </c>
      <c r="C14" s="98" t="s">
        <v>367</v>
      </c>
      <c r="D14" s="100">
        <v>42583</v>
      </c>
      <c r="E14" s="100">
        <v>42583</v>
      </c>
      <c r="F14" s="99">
        <v>3</v>
      </c>
      <c r="G14" s="99">
        <f>IF(CavityStatus[[#This Row],[Actual Ship Date]]&lt;&gt;0,($E14-$D14)/7,0)</f>
        <v>0</v>
      </c>
      <c r="H14" s="101">
        <f>VLOOKUP(CavityStatus[[#This Row],[Unit '#]],IncentiveTable[],3)</f>
        <v>20196</v>
      </c>
      <c r="I14" s="101">
        <v>20196</v>
      </c>
      <c r="J14" s="101"/>
      <c r="K14" s="101"/>
      <c r="L14" s="102">
        <v>42589</v>
      </c>
      <c r="M14" s="103"/>
      <c r="N14" s="103"/>
      <c r="O14" s="101">
        <f t="shared" si="0"/>
        <v>40187.5</v>
      </c>
      <c r="P14" s="103">
        <f>RICavMilestoneVal+CavityStatus[[#This Row],[Incentive Earned]]+CavityStatus[[#This Row],[Recipe Modification (Mod 9)]]+N14</f>
        <v>40187.5</v>
      </c>
      <c r="Q14" s="102">
        <v>42587</v>
      </c>
    </row>
    <row r="15" spans="1:17" ht="18" customHeight="1" x14ac:dyDescent="0.2">
      <c r="A15" s="113">
        <v>12</v>
      </c>
      <c r="B15" s="98" t="s">
        <v>220</v>
      </c>
      <c r="C15" s="98" t="s">
        <v>367</v>
      </c>
      <c r="D15" s="100">
        <v>42583</v>
      </c>
      <c r="E15" s="100">
        <v>42583</v>
      </c>
      <c r="F15" s="99">
        <v>3</v>
      </c>
      <c r="G15" s="99">
        <f>IF(CavityStatus[[#This Row],[Actual Ship Date]]&lt;&gt;0,($E15-$D15)/7,0)</f>
        <v>0</v>
      </c>
      <c r="H15" s="101">
        <f>VLOOKUP(CavityStatus[[#This Row],[Unit '#]],IncentiveTable[],3)</f>
        <v>20196</v>
      </c>
      <c r="I15" s="101">
        <v>20196</v>
      </c>
      <c r="J15" s="101"/>
      <c r="K15" s="101"/>
      <c r="L15" s="102">
        <v>42589</v>
      </c>
      <c r="M15" s="103"/>
      <c r="N15" s="103"/>
      <c r="O15" s="101">
        <f t="shared" si="0"/>
        <v>40187.5</v>
      </c>
      <c r="P15" s="103">
        <f>RICavMilestoneVal+CavityStatus[[#This Row],[Incentive Earned]]+CavityStatus[[#This Row],[Recipe Modification (Mod 9)]]+N15</f>
        <v>40187.5</v>
      </c>
      <c r="Q15" s="102">
        <v>42587</v>
      </c>
    </row>
    <row r="16" spans="1:17" ht="18" customHeight="1" x14ac:dyDescent="0.2">
      <c r="A16" s="113">
        <v>13</v>
      </c>
      <c r="B16" s="98" t="s">
        <v>217</v>
      </c>
      <c r="C16" s="98" t="s">
        <v>367</v>
      </c>
      <c r="D16" s="100">
        <v>42583</v>
      </c>
      <c r="E16" s="100">
        <v>42583</v>
      </c>
      <c r="F16" s="99">
        <v>4</v>
      </c>
      <c r="G16" s="99">
        <f>IF(CavityStatus[[#This Row],[Actual Ship Date]]&lt;&gt;0,($E16-$D16)/7,0)</f>
        <v>0</v>
      </c>
      <c r="H16" s="101">
        <f>VLOOKUP(CavityStatus[[#This Row],[Unit '#]],IncentiveTable[],3)</f>
        <v>20196</v>
      </c>
      <c r="I16" s="101">
        <v>20196</v>
      </c>
      <c r="J16" s="101"/>
      <c r="K16" s="101"/>
      <c r="L16" s="102">
        <v>42589</v>
      </c>
      <c r="M16" s="103"/>
      <c r="N16" s="103"/>
      <c r="O16" s="101">
        <f t="shared" si="0"/>
        <v>40187.5</v>
      </c>
      <c r="P16" s="103">
        <f>RICavMilestoneVal+CavityStatus[[#This Row],[Incentive Earned]]+CavityStatus[[#This Row],[Recipe Modification (Mod 9)]]+N16</f>
        <v>40187.5</v>
      </c>
      <c r="Q16" s="102">
        <v>42587</v>
      </c>
    </row>
    <row r="17" spans="1:17" ht="18" customHeight="1" x14ac:dyDescent="0.2">
      <c r="A17" s="113">
        <v>14</v>
      </c>
      <c r="B17" s="98" t="s">
        <v>219</v>
      </c>
      <c r="C17" s="98" t="s">
        <v>367</v>
      </c>
      <c r="D17" s="100">
        <v>42583</v>
      </c>
      <c r="E17" s="100">
        <v>42583</v>
      </c>
      <c r="F17" s="99">
        <v>4</v>
      </c>
      <c r="G17" s="99">
        <f>IF(CavityStatus[[#This Row],[Actual Ship Date]]&lt;&gt;0,($E17-$D17)/7,0)</f>
        <v>0</v>
      </c>
      <c r="H17" s="101">
        <f>VLOOKUP(CavityStatus[[#This Row],[Unit '#]],IncentiveTable[],3)</f>
        <v>20196</v>
      </c>
      <c r="I17" s="101">
        <v>20196</v>
      </c>
      <c r="J17" s="101"/>
      <c r="K17" s="101"/>
      <c r="L17" s="102">
        <v>42589</v>
      </c>
      <c r="M17" s="103"/>
      <c r="N17" s="103"/>
      <c r="O17" s="101">
        <f t="shared" si="0"/>
        <v>40187.5</v>
      </c>
      <c r="P17" s="103">
        <f>RICavMilestoneVal+CavityStatus[[#This Row],[Incentive Earned]]+CavityStatus[[#This Row],[Recipe Modification (Mod 9)]]+N17</f>
        <v>40187.5</v>
      </c>
      <c r="Q17" s="102">
        <v>42587</v>
      </c>
    </row>
    <row r="18" spans="1:17" ht="18" customHeight="1" x14ac:dyDescent="0.2">
      <c r="A18" s="113">
        <v>15</v>
      </c>
      <c r="B18" s="98" t="s">
        <v>221</v>
      </c>
      <c r="C18" s="98" t="s">
        <v>367</v>
      </c>
      <c r="D18" s="100">
        <v>42583</v>
      </c>
      <c r="E18" s="100">
        <v>42583</v>
      </c>
      <c r="F18" s="99">
        <v>4</v>
      </c>
      <c r="G18" s="99">
        <f>IF(CavityStatus[[#This Row],[Actual Ship Date]]&lt;&gt;0,($E18-$D18)/7,0)</f>
        <v>0</v>
      </c>
      <c r="H18" s="101">
        <f>VLOOKUP(CavityStatus[[#This Row],[Unit '#]],IncentiveTable[],3)</f>
        <v>20196</v>
      </c>
      <c r="I18" s="101">
        <v>20196</v>
      </c>
      <c r="J18" s="101"/>
      <c r="K18" s="101"/>
      <c r="L18" s="102">
        <v>42589</v>
      </c>
      <c r="M18" s="103"/>
      <c r="N18" s="103"/>
      <c r="O18" s="101">
        <f t="shared" si="0"/>
        <v>40187.5</v>
      </c>
      <c r="P18" s="103">
        <f>RICavMilestoneVal+CavityStatus[[#This Row],[Incentive Earned]]+CavityStatus[[#This Row],[Recipe Modification (Mod 9)]]+N18</f>
        <v>40187.5</v>
      </c>
      <c r="Q18" s="102">
        <v>42587</v>
      </c>
    </row>
    <row r="19" spans="1:17" ht="18" customHeight="1" x14ac:dyDescent="0.2">
      <c r="A19" s="113">
        <v>16</v>
      </c>
      <c r="B19" s="98" t="s">
        <v>222</v>
      </c>
      <c r="C19" s="98" t="s">
        <v>367</v>
      </c>
      <c r="D19" s="100">
        <v>42583</v>
      </c>
      <c r="E19" s="100">
        <v>42583</v>
      </c>
      <c r="F19" s="99">
        <v>4</v>
      </c>
      <c r="G19" s="99">
        <f>IF(CavityStatus[[#This Row],[Actual Ship Date]]&lt;&gt;0,($E19-$D19)/7,0)</f>
        <v>0</v>
      </c>
      <c r="H19" s="101">
        <f>VLOOKUP(CavityStatus[[#This Row],[Unit '#]],IncentiveTable[],3)</f>
        <v>20196</v>
      </c>
      <c r="I19" s="101">
        <v>20196</v>
      </c>
      <c r="J19" s="101"/>
      <c r="K19" s="101"/>
      <c r="L19" s="102">
        <v>42589</v>
      </c>
      <c r="M19" s="103"/>
      <c r="N19" s="103"/>
      <c r="O19" s="101">
        <f t="shared" si="0"/>
        <v>40187.5</v>
      </c>
      <c r="P19" s="103">
        <f>RICavMilestoneVal+CavityStatus[[#This Row],[Incentive Earned]]+CavityStatus[[#This Row],[Recipe Modification (Mod 9)]]+N19</f>
        <v>40187.5</v>
      </c>
      <c r="Q19" s="102">
        <v>42587</v>
      </c>
    </row>
    <row r="20" spans="1:17" ht="18" customHeight="1" x14ac:dyDescent="0.2">
      <c r="A20" s="113">
        <v>17</v>
      </c>
      <c r="B20" s="98" t="s">
        <v>223</v>
      </c>
      <c r="C20" s="98" t="s">
        <v>368</v>
      </c>
      <c r="D20" s="100">
        <v>42676</v>
      </c>
      <c r="E20" s="100">
        <v>42650</v>
      </c>
      <c r="F20" s="99">
        <v>5</v>
      </c>
      <c r="G20" s="99">
        <f>IF(CavityStatus[[#This Row],[Actual Ship Date]]&lt;&gt;0,($E20-$D20)/7,0)</f>
        <v>-3.7142857142857144</v>
      </c>
      <c r="H20" s="101"/>
      <c r="I20" s="101"/>
      <c r="J20" s="101">
        <v>5750</v>
      </c>
      <c r="K20" s="101">
        <v>5750</v>
      </c>
      <c r="L20" s="102">
        <v>42669</v>
      </c>
      <c r="M20" s="103"/>
      <c r="N20" s="101">
        <v>490</v>
      </c>
      <c r="O20" s="101">
        <f t="shared" si="0"/>
        <v>40187.5</v>
      </c>
      <c r="P20" s="103">
        <f>RICavMilestoneVal+CavityStatus[[#This Row],[Incentive Earned]]+CavityStatus[[#This Row],[Recipe Modification (Mod 9)]]+N20</f>
        <v>46427.5</v>
      </c>
      <c r="Q20" s="104">
        <v>42705</v>
      </c>
    </row>
    <row r="21" spans="1:17" ht="18" customHeight="1" x14ac:dyDescent="0.2">
      <c r="A21" s="113">
        <v>18</v>
      </c>
      <c r="B21" s="98" t="s">
        <v>224</v>
      </c>
      <c r="C21" s="98" t="s">
        <v>368</v>
      </c>
      <c r="D21" s="100">
        <v>42676</v>
      </c>
      <c r="E21" s="100">
        <v>42650</v>
      </c>
      <c r="F21" s="99">
        <v>5</v>
      </c>
      <c r="G21" s="99">
        <f>IF(CavityStatus[[#This Row],[Actual Ship Date]]&lt;&gt;0,($E21-$D21)/7,0)</f>
        <v>-3.7142857142857144</v>
      </c>
      <c r="H21" s="101"/>
      <c r="I21" s="101"/>
      <c r="J21" s="101">
        <v>5750</v>
      </c>
      <c r="K21" s="101">
        <v>5750</v>
      </c>
      <c r="L21" s="102">
        <v>42669</v>
      </c>
      <c r="M21" s="103"/>
      <c r="N21" s="101">
        <v>490</v>
      </c>
      <c r="O21" s="101">
        <f t="shared" si="0"/>
        <v>40187.5</v>
      </c>
      <c r="P21" s="103">
        <f>RICavMilestoneVal+CavityStatus[[#This Row],[Incentive Earned]]+CavityStatus[[#This Row],[Recipe Modification (Mod 9)]]+N21</f>
        <v>46427.5</v>
      </c>
      <c r="Q21" s="104">
        <v>42675</v>
      </c>
    </row>
    <row r="22" spans="1:17" ht="18" customHeight="1" x14ac:dyDescent="0.2">
      <c r="A22" s="113">
        <v>19</v>
      </c>
      <c r="B22" s="98" t="s">
        <v>225</v>
      </c>
      <c r="C22" s="98" t="s">
        <v>368</v>
      </c>
      <c r="D22" s="100">
        <v>42676</v>
      </c>
      <c r="E22" s="100">
        <v>42662</v>
      </c>
      <c r="F22" s="99">
        <v>6</v>
      </c>
      <c r="G22" s="99">
        <f>IF(CavityStatus[[#This Row],[Actual Ship Date]]&lt;&gt;0,($E22-$D22)/7,0)</f>
        <v>-2</v>
      </c>
      <c r="H22" s="101"/>
      <c r="I22" s="101"/>
      <c r="J22" s="101">
        <v>5750</v>
      </c>
      <c r="K22" s="101">
        <v>5750</v>
      </c>
      <c r="L22" s="102">
        <v>42669</v>
      </c>
      <c r="M22" s="103"/>
      <c r="N22" s="101">
        <v>490</v>
      </c>
      <c r="O22" s="101">
        <f t="shared" si="0"/>
        <v>40187.5</v>
      </c>
      <c r="P22" s="103">
        <f>RICavMilestoneVal+CavityStatus[[#This Row],[Incentive Earned]]+CavityStatus[[#This Row],[Recipe Modification (Mod 9)]]+N22</f>
        <v>46427.5</v>
      </c>
      <c r="Q22" s="104">
        <v>42675</v>
      </c>
    </row>
    <row r="23" spans="1:17" ht="18" customHeight="1" x14ac:dyDescent="0.2">
      <c r="A23" s="113">
        <v>20</v>
      </c>
      <c r="B23" s="98" t="s">
        <v>226</v>
      </c>
      <c r="C23" s="98" t="s">
        <v>368</v>
      </c>
      <c r="D23" s="100">
        <v>42676</v>
      </c>
      <c r="E23" s="100">
        <v>42662</v>
      </c>
      <c r="F23" s="99">
        <v>6</v>
      </c>
      <c r="G23" s="99">
        <f>IF(CavityStatus[[#This Row],[Actual Ship Date]]&lt;&gt;0,($E23-$D23)/7,0)</f>
        <v>-2</v>
      </c>
      <c r="H23" s="101"/>
      <c r="I23" s="101"/>
      <c r="J23" s="101">
        <v>5750</v>
      </c>
      <c r="K23" s="101">
        <v>5750</v>
      </c>
      <c r="L23" s="102">
        <v>42669</v>
      </c>
      <c r="M23" s="103"/>
      <c r="N23" s="101">
        <v>490</v>
      </c>
      <c r="O23" s="101">
        <f t="shared" si="0"/>
        <v>40187.5</v>
      </c>
      <c r="P23" s="103">
        <f>RICavMilestoneVal+CavityStatus[[#This Row],[Incentive Earned]]+CavityStatus[[#This Row],[Recipe Modification (Mod 9)]]+N23</f>
        <v>46427.5</v>
      </c>
      <c r="Q23" s="104">
        <v>42675</v>
      </c>
    </row>
    <row r="24" spans="1:17" ht="18" customHeight="1" x14ac:dyDescent="0.2">
      <c r="A24" s="113">
        <v>21</v>
      </c>
      <c r="B24" s="98" t="s">
        <v>227</v>
      </c>
      <c r="C24" s="98" t="s">
        <v>368</v>
      </c>
      <c r="D24" s="100">
        <v>42676</v>
      </c>
      <c r="E24" s="100">
        <v>42676</v>
      </c>
      <c r="F24" s="99">
        <v>7</v>
      </c>
      <c r="G24" s="99">
        <f>IF(CavityStatus[[#This Row],[Actual Ship Date]]&lt;&gt;0,($E24-$D24)/7,0)</f>
        <v>0</v>
      </c>
      <c r="H24" s="101"/>
      <c r="I24" s="101"/>
      <c r="J24" s="101">
        <v>5750</v>
      </c>
      <c r="K24" s="101">
        <v>5750</v>
      </c>
      <c r="L24" s="102">
        <v>42685</v>
      </c>
      <c r="M24" s="103">
        <v>4283.18</v>
      </c>
      <c r="N24" s="101">
        <v>490</v>
      </c>
      <c r="O24" s="101">
        <f t="shared" si="0"/>
        <v>40187.5</v>
      </c>
      <c r="P24" s="103">
        <f>RICavMilestoneVal+CavityStatus[[#This Row],[Incentive Earned]]+CavityStatus[[#This Row],[Recipe Modification (Mod 9)]]+N24</f>
        <v>50710.68</v>
      </c>
      <c r="Q24" s="104">
        <v>42675</v>
      </c>
    </row>
    <row r="25" spans="1:17" ht="18" customHeight="1" x14ac:dyDescent="0.2">
      <c r="A25" s="113">
        <v>22</v>
      </c>
      <c r="B25" s="98" t="s">
        <v>229</v>
      </c>
      <c r="C25" s="98" t="s">
        <v>368</v>
      </c>
      <c r="D25" s="100">
        <v>42676</v>
      </c>
      <c r="E25" s="100">
        <v>42676</v>
      </c>
      <c r="F25" s="99">
        <v>7</v>
      </c>
      <c r="G25" s="99">
        <f>IF(CavityStatus[[#This Row],[Actual Ship Date]]&lt;&gt;0,($E25-$D25)/7,0)</f>
        <v>0</v>
      </c>
      <c r="H25" s="101"/>
      <c r="I25" s="101"/>
      <c r="J25" s="101">
        <v>5750</v>
      </c>
      <c r="K25" s="101">
        <v>5750</v>
      </c>
      <c r="L25" s="102">
        <v>42685</v>
      </c>
      <c r="M25" s="103">
        <v>4283.18</v>
      </c>
      <c r="N25" s="101">
        <v>490</v>
      </c>
      <c r="O25" s="101">
        <f t="shared" si="0"/>
        <v>40187.5</v>
      </c>
      <c r="P25" s="103">
        <f>RICavMilestoneVal+CavityStatus[[#This Row],[Incentive Earned]]+CavityStatus[[#This Row],[Recipe Modification (Mod 9)]]+N25</f>
        <v>50710.68</v>
      </c>
      <c r="Q25" s="104">
        <v>42675</v>
      </c>
    </row>
    <row r="26" spans="1:17" ht="18" customHeight="1" x14ac:dyDescent="0.2">
      <c r="A26" s="113">
        <v>23</v>
      </c>
      <c r="B26" s="98" t="s">
        <v>230</v>
      </c>
      <c r="C26" s="98" t="s">
        <v>368</v>
      </c>
      <c r="D26" s="100">
        <v>42676</v>
      </c>
      <c r="E26" s="100">
        <v>42676</v>
      </c>
      <c r="F26" s="99">
        <v>7</v>
      </c>
      <c r="G26" s="99">
        <f>IF(CavityStatus[[#This Row],[Actual Ship Date]]&lt;&gt;0,($E26-$D26)/7,0)</f>
        <v>0</v>
      </c>
      <c r="H26" s="101"/>
      <c r="I26" s="101"/>
      <c r="J26" s="101">
        <v>5750</v>
      </c>
      <c r="K26" s="101">
        <v>5750</v>
      </c>
      <c r="L26" s="102">
        <v>42685</v>
      </c>
      <c r="M26" s="103">
        <v>4283.18</v>
      </c>
      <c r="N26" s="101">
        <v>490</v>
      </c>
      <c r="O26" s="101">
        <f t="shared" si="0"/>
        <v>40187.5</v>
      </c>
      <c r="P26" s="103">
        <f>RICavMilestoneVal+CavityStatus[[#This Row],[Incentive Earned]]+CavityStatus[[#This Row],[Recipe Modification (Mod 9)]]+N26</f>
        <v>50710.68</v>
      </c>
      <c r="Q26" s="102">
        <v>42675</v>
      </c>
    </row>
    <row r="27" spans="1:17" ht="18" customHeight="1" x14ac:dyDescent="0.2">
      <c r="A27" s="113">
        <v>24</v>
      </c>
      <c r="B27" s="98" t="s">
        <v>234</v>
      </c>
      <c r="C27" s="98" t="s">
        <v>368</v>
      </c>
      <c r="D27" s="100">
        <v>42676</v>
      </c>
      <c r="E27" s="100">
        <v>42676</v>
      </c>
      <c r="F27" s="99">
        <v>7</v>
      </c>
      <c r="G27" s="99">
        <f>IF(CavityStatus[[#This Row],[Actual Ship Date]]&lt;&gt;0,($E27-$D27)/7,0)</f>
        <v>0</v>
      </c>
      <c r="H27" s="101"/>
      <c r="I27" s="101"/>
      <c r="J27" s="101">
        <v>5750</v>
      </c>
      <c r="K27" s="101">
        <v>5750</v>
      </c>
      <c r="L27" s="102">
        <v>42685</v>
      </c>
      <c r="M27" s="103">
        <v>4283.18</v>
      </c>
      <c r="N27" s="101">
        <v>490</v>
      </c>
      <c r="O27" s="101">
        <f t="shared" si="0"/>
        <v>40187.5</v>
      </c>
      <c r="P27" s="103">
        <f>RICavMilestoneVal+CavityStatus[[#This Row],[Incentive Earned]]+CavityStatus[[#This Row],[Recipe Modification (Mod 9)]]+N27</f>
        <v>50710.68</v>
      </c>
      <c r="Q27" s="102">
        <v>42675</v>
      </c>
    </row>
    <row r="28" spans="1:17" ht="18" customHeight="1" x14ac:dyDescent="0.2">
      <c r="A28" s="113">
        <v>25</v>
      </c>
      <c r="B28" s="98" t="s">
        <v>232</v>
      </c>
      <c r="C28" s="98" t="s">
        <v>368</v>
      </c>
      <c r="D28" s="100">
        <v>42676</v>
      </c>
      <c r="E28" s="100">
        <v>42688</v>
      </c>
      <c r="F28" s="99">
        <v>8</v>
      </c>
      <c r="G28" s="99">
        <f>IF(CavityStatus[[#This Row],[Actual Ship Date]]&lt;&gt;0,($E28-$D28)/7,0)</f>
        <v>1.7142857142857142</v>
      </c>
      <c r="H28" s="101"/>
      <c r="I28" s="101"/>
      <c r="J28" s="101">
        <v>5750</v>
      </c>
      <c r="K28" s="101">
        <v>5750</v>
      </c>
      <c r="L28" s="102">
        <v>42695</v>
      </c>
      <c r="M28" s="103">
        <v>4283.18</v>
      </c>
      <c r="N28" s="101">
        <v>490</v>
      </c>
      <c r="O28" s="101">
        <f t="shared" si="0"/>
        <v>40187.5</v>
      </c>
      <c r="P28" s="103">
        <f>RICavMilestoneVal+CavityStatus[[#This Row],[Incentive Earned]]+CavityStatus[[#This Row],[Recipe Modification (Mod 9)]]+N28</f>
        <v>50710.68</v>
      </c>
      <c r="Q28" s="102">
        <v>42705</v>
      </c>
    </row>
    <row r="29" spans="1:17" ht="18" customHeight="1" x14ac:dyDescent="0.2">
      <c r="A29" s="113">
        <v>26</v>
      </c>
      <c r="B29" s="98" t="s">
        <v>233</v>
      </c>
      <c r="C29" s="98" t="s">
        <v>368</v>
      </c>
      <c r="D29" s="100">
        <v>42676</v>
      </c>
      <c r="E29" s="100">
        <v>42688</v>
      </c>
      <c r="F29" s="99">
        <v>8</v>
      </c>
      <c r="G29" s="99">
        <f>IF(CavityStatus[[#This Row],[Actual Ship Date]]&lt;&gt;0,($E29-$D29)/7,0)</f>
        <v>1.7142857142857142</v>
      </c>
      <c r="H29" s="101"/>
      <c r="I29" s="101"/>
      <c r="J29" s="101">
        <v>5750</v>
      </c>
      <c r="K29" s="101">
        <v>5750</v>
      </c>
      <c r="L29" s="102">
        <v>42695</v>
      </c>
      <c r="M29" s="103">
        <v>4283.18</v>
      </c>
      <c r="N29" s="101">
        <v>490</v>
      </c>
      <c r="O29" s="101">
        <f t="shared" si="0"/>
        <v>40187.5</v>
      </c>
      <c r="P29" s="103">
        <f>RICavMilestoneVal+CavityStatus[[#This Row],[Incentive Earned]]+CavityStatus[[#This Row],[Recipe Modification (Mod 9)]]+N29</f>
        <v>50710.68</v>
      </c>
      <c r="Q29" s="102">
        <v>42705</v>
      </c>
    </row>
    <row r="30" spans="1:17" ht="18" customHeight="1" x14ac:dyDescent="0.2">
      <c r="A30" s="113">
        <v>27</v>
      </c>
      <c r="B30" s="98" t="s">
        <v>235</v>
      </c>
      <c r="C30" s="98" t="s">
        <v>368</v>
      </c>
      <c r="D30" s="100">
        <v>42676</v>
      </c>
      <c r="E30" s="100">
        <v>42688</v>
      </c>
      <c r="F30" s="99">
        <v>8</v>
      </c>
      <c r="G30" s="99">
        <f>IF(CavityStatus[[#This Row],[Actual Ship Date]]&lt;&gt;0,($E30-$D30)/7,0)</f>
        <v>1.7142857142857142</v>
      </c>
      <c r="H30" s="101"/>
      <c r="I30" s="101"/>
      <c r="J30" s="101">
        <v>5750</v>
      </c>
      <c r="K30" s="101">
        <v>5750</v>
      </c>
      <c r="L30" s="102">
        <v>42695</v>
      </c>
      <c r="M30" s="103">
        <v>4283.18</v>
      </c>
      <c r="N30" s="101">
        <v>490</v>
      </c>
      <c r="O30" s="101">
        <f t="shared" si="0"/>
        <v>40187.5</v>
      </c>
      <c r="P30" s="103">
        <f>RICavMilestoneVal+CavityStatus[[#This Row],[Incentive Earned]]+CavityStatus[[#This Row],[Recipe Modification (Mod 9)]]+N30</f>
        <v>50710.68</v>
      </c>
      <c r="Q30" s="102">
        <v>42705</v>
      </c>
    </row>
    <row r="31" spans="1:17" ht="18" customHeight="1" x14ac:dyDescent="0.2">
      <c r="A31" s="113">
        <v>28</v>
      </c>
      <c r="B31" s="98" t="s">
        <v>238</v>
      </c>
      <c r="C31" s="98" t="s">
        <v>368</v>
      </c>
      <c r="D31" s="100">
        <v>42676</v>
      </c>
      <c r="E31" s="100">
        <v>42688</v>
      </c>
      <c r="F31" s="99">
        <v>8</v>
      </c>
      <c r="G31" s="99">
        <f>IF(CavityStatus[[#This Row],[Actual Ship Date]]&lt;&gt;0,($E31-$D31)/7,0)</f>
        <v>1.7142857142857142</v>
      </c>
      <c r="H31" s="101"/>
      <c r="I31" s="101"/>
      <c r="J31" s="101">
        <v>5750</v>
      </c>
      <c r="K31" s="101">
        <v>5750</v>
      </c>
      <c r="L31" s="102">
        <v>42695</v>
      </c>
      <c r="M31" s="103">
        <v>4283.18</v>
      </c>
      <c r="N31" s="101">
        <v>490</v>
      </c>
      <c r="O31" s="101">
        <f t="shared" si="0"/>
        <v>40187.5</v>
      </c>
      <c r="P31" s="103">
        <f>RICavMilestoneVal+CavityStatus[[#This Row],[Incentive Earned]]+CavityStatus[[#This Row],[Recipe Modification (Mod 9)]]+N31</f>
        <v>50710.68</v>
      </c>
      <c r="Q31" s="102">
        <v>42705</v>
      </c>
    </row>
    <row r="32" spans="1:17" ht="18" customHeight="1" x14ac:dyDescent="0.2">
      <c r="A32" s="113">
        <v>29</v>
      </c>
      <c r="B32" s="98" t="s">
        <v>228</v>
      </c>
      <c r="C32" s="98" t="s">
        <v>368</v>
      </c>
      <c r="D32" s="100">
        <v>42704</v>
      </c>
      <c r="E32" s="100">
        <v>42690</v>
      </c>
      <c r="F32" s="99">
        <v>9</v>
      </c>
      <c r="G32" s="99">
        <f>IF(CavityStatus[[#This Row],[Actual Ship Date]]&lt;&gt;0,($E32-$D32)/7,0)</f>
        <v>-2</v>
      </c>
      <c r="H32" s="101"/>
      <c r="I32" s="101"/>
      <c r="J32" s="101">
        <v>5750</v>
      </c>
      <c r="K32" s="101">
        <v>5750</v>
      </c>
      <c r="L32" s="102">
        <v>42702</v>
      </c>
      <c r="M32" s="103">
        <v>4283.18</v>
      </c>
      <c r="N32" s="101">
        <v>490</v>
      </c>
      <c r="O32" s="101">
        <f t="shared" si="0"/>
        <v>40187.5</v>
      </c>
      <c r="P32" s="103">
        <f>RICavMilestoneVal+CavityStatus[[#This Row],[Incentive Earned]]+CavityStatus[[#This Row],[Recipe Modification (Mod 9)]]+N32</f>
        <v>50710.68</v>
      </c>
      <c r="Q32" s="102">
        <v>42705</v>
      </c>
    </row>
    <row r="33" spans="1:17" ht="18" customHeight="1" x14ac:dyDescent="0.2">
      <c r="A33" s="113">
        <v>30</v>
      </c>
      <c r="B33" s="98" t="s">
        <v>237</v>
      </c>
      <c r="C33" s="98" t="s">
        <v>368</v>
      </c>
      <c r="D33" s="100">
        <v>42704</v>
      </c>
      <c r="E33" s="100">
        <v>42690</v>
      </c>
      <c r="F33" s="99">
        <v>9</v>
      </c>
      <c r="G33" s="99">
        <f>IF(CavityStatus[[#This Row],[Actual Ship Date]]&lt;&gt;0,($E33-$D33)/7,0)</f>
        <v>-2</v>
      </c>
      <c r="H33" s="101"/>
      <c r="I33" s="101"/>
      <c r="J33" s="101">
        <v>5750</v>
      </c>
      <c r="K33" s="101">
        <v>5750</v>
      </c>
      <c r="L33" s="102">
        <v>42702</v>
      </c>
      <c r="M33" s="103">
        <v>4283.18</v>
      </c>
      <c r="N33" s="101">
        <v>490</v>
      </c>
      <c r="O33" s="101">
        <f t="shared" si="0"/>
        <v>40187.5</v>
      </c>
      <c r="P33" s="103">
        <f>RICavMilestoneVal+CavityStatus[[#This Row],[Incentive Earned]]+CavityStatus[[#This Row],[Recipe Modification (Mod 9)]]+N33</f>
        <v>50710.68</v>
      </c>
      <c r="Q33" s="102">
        <v>42705</v>
      </c>
    </row>
    <row r="34" spans="1:17" ht="18" customHeight="1" x14ac:dyDescent="0.2">
      <c r="A34" s="113">
        <v>31</v>
      </c>
      <c r="B34" s="98" t="s">
        <v>239</v>
      </c>
      <c r="C34" s="98" t="s">
        <v>368</v>
      </c>
      <c r="D34" s="100">
        <v>42704</v>
      </c>
      <c r="E34" s="100">
        <v>42690</v>
      </c>
      <c r="F34" s="99">
        <v>9</v>
      </c>
      <c r="G34" s="99">
        <f>IF(CavityStatus[[#This Row],[Actual Ship Date]]&lt;&gt;0,($E34-$D34)/7,0)</f>
        <v>-2</v>
      </c>
      <c r="H34" s="101"/>
      <c r="I34" s="101"/>
      <c r="J34" s="101">
        <v>5750</v>
      </c>
      <c r="K34" s="101">
        <v>5750</v>
      </c>
      <c r="L34" s="102">
        <v>42702</v>
      </c>
      <c r="M34" s="103">
        <v>4283.18</v>
      </c>
      <c r="N34" s="101">
        <v>490</v>
      </c>
      <c r="O34" s="101">
        <f t="shared" si="0"/>
        <v>40187.5</v>
      </c>
      <c r="P34" s="103">
        <f>RICavMilestoneVal+CavityStatus[[#This Row],[Incentive Earned]]+CavityStatus[[#This Row],[Recipe Modification (Mod 9)]]+N34</f>
        <v>50710.68</v>
      </c>
      <c r="Q34" s="102">
        <v>42705</v>
      </c>
    </row>
    <row r="35" spans="1:17" ht="18" customHeight="1" x14ac:dyDescent="0.2">
      <c r="A35" s="113">
        <v>32</v>
      </c>
      <c r="B35" s="98" t="s">
        <v>241</v>
      </c>
      <c r="C35" s="98" t="s">
        <v>368</v>
      </c>
      <c r="D35" s="100">
        <v>42704</v>
      </c>
      <c r="E35" s="100">
        <v>42690</v>
      </c>
      <c r="F35" s="99">
        <v>9</v>
      </c>
      <c r="G35" s="99">
        <f>IF(CavityStatus[[#This Row],[Actual Ship Date]]&lt;&gt;0,($E35-$D35)/7,0)</f>
        <v>-2</v>
      </c>
      <c r="H35" s="101"/>
      <c r="I35" s="101"/>
      <c r="J35" s="101">
        <v>5750</v>
      </c>
      <c r="K35" s="101">
        <v>5750</v>
      </c>
      <c r="L35" s="102">
        <v>42702</v>
      </c>
      <c r="M35" s="103">
        <v>4283.18</v>
      </c>
      <c r="N35" s="101">
        <v>490</v>
      </c>
      <c r="O35" s="101">
        <f t="shared" si="0"/>
        <v>40187.5</v>
      </c>
      <c r="P35" s="103">
        <f>RICavMilestoneVal+CavityStatus[[#This Row],[Incentive Earned]]+CavityStatus[[#This Row],[Recipe Modification (Mod 9)]]+N35</f>
        <v>50710.68</v>
      </c>
      <c r="Q35" s="102">
        <v>42705</v>
      </c>
    </row>
    <row r="36" spans="1:17" ht="18" customHeight="1" x14ac:dyDescent="0.2">
      <c r="A36" s="113">
        <v>33</v>
      </c>
      <c r="B36" s="98" t="s">
        <v>231</v>
      </c>
      <c r="C36" s="98" t="s">
        <v>368</v>
      </c>
      <c r="D36" s="100">
        <v>42704</v>
      </c>
      <c r="E36" s="100">
        <v>42698</v>
      </c>
      <c r="F36" s="99">
        <v>10</v>
      </c>
      <c r="G36" s="99">
        <f>IF(CavityStatus[[#This Row],[Actual Ship Date]]&lt;&gt;0,($E36-$D36)/7,0)</f>
        <v>-0.8571428571428571</v>
      </c>
      <c r="H36" s="101"/>
      <c r="I36" s="101"/>
      <c r="J36" s="101">
        <v>5750</v>
      </c>
      <c r="K36" s="101">
        <v>5750</v>
      </c>
      <c r="L36" s="102">
        <v>42705</v>
      </c>
      <c r="M36" s="103">
        <v>4283.18</v>
      </c>
      <c r="N36" s="101">
        <v>490</v>
      </c>
      <c r="O36" s="101">
        <f t="shared" si="0"/>
        <v>40187.5</v>
      </c>
      <c r="P36" s="103">
        <f>RICavMilestoneVal+CavityStatus[[#This Row],[Incentive Earned]]+CavityStatus[[#This Row],[Recipe Modification (Mod 9)]]+N36</f>
        <v>50710.68</v>
      </c>
      <c r="Q36" s="102">
        <v>42705</v>
      </c>
    </row>
    <row r="37" spans="1:17" ht="18" customHeight="1" x14ac:dyDescent="0.2">
      <c r="A37" s="113">
        <v>34</v>
      </c>
      <c r="B37" s="98" t="s">
        <v>236</v>
      </c>
      <c r="C37" s="98" t="s">
        <v>368</v>
      </c>
      <c r="D37" s="100">
        <v>42704</v>
      </c>
      <c r="E37" s="100">
        <v>42698</v>
      </c>
      <c r="F37" s="99">
        <v>10</v>
      </c>
      <c r="G37" s="99">
        <f>IF(CavityStatus[[#This Row],[Actual Ship Date]]&lt;&gt;0,($E37-$D37)/7,0)</f>
        <v>-0.8571428571428571</v>
      </c>
      <c r="H37" s="101"/>
      <c r="I37" s="101"/>
      <c r="J37" s="101">
        <v>5750</v>
      </c>
      <c r="K37" s="101">
        <v>5750</v>
      </c>
      <c r="L37" s="102">
        <v>42705</v>
      </c>
      <c r="M37" s="103">
        <v>4283.18</v>
      </c>
      <c r="N37" s="101">
        <v>490</v>
      </c>
      <c r="O37" s="101">
        <f t="shared" si="0"/>
        <v>40187.5</v>
      </c>
      <c r="P37" s="103">
        <f>RICavMilestoneVal+CavityStatus[[#This Row],[Incentive Earned]]+CavityStatus[[#This Row],[Recipe Modification (Mod 9)]]+N37</f>
        <v>50710.68</v>
      </c>
      <c r="Q37" s="102">
        <v>42705</v>
      </c>
    </row>
    <row r="38" spans="1:17" ht="18" customHeight="1" x14ac:dyDescent="0.2">
      <c r="A38" s="113">
        <v>35</v>
      </c>
      <c r="B38" s="98" t="s">
        <v>240</v>
      </c>
      <c r="C38" s="98" t="s">
        <v>368</v>
      </c>
      <c r="D38" s="100">
        <v>42704</v>
      </c>
      <c r="E38" s="100">
        <v>42698</v>
      </c>
      <c r="F38" s="99">
        <v>10</v>
      </c>
      <c r="G38" s="99">
        <f>IF(CavityStatus[[#This Row],[Actual Ship Date]]&lt;&gt;0,($E38-$D38)/7,0)</f>
        <v>-0.8571428571428571</v>
      </c>
      <c r="H38" s="101"/>
      <c r="I38" s="101"/>
      <c r="J38" s="101">
        <v>5750</v>
      </c>
      <c r="K38" s="101">
        <v>5750</v>
      </c>
      <c r="L38" s="102">
        <v>42705</v>
      </c>
      <c r="M38" s="103">
        <v>4283.18</v>
      </c>
      <c r="N38" s="101">
        <v>490</v>
      </c>
      <c r="O38" s="101">
        <f t="shared" si="0"/>
        <v>40187.5</v>
      </c>
      <c r="P38" s="103">
        <f>RICavMilestoneVal+CavityStatus[[#This Row],[Incentive Earned]]+CavityStatus[[#This Row],[Recipe Modification (Mod 9)]]+N38</f>
        <v>50710.68</v>
      </c>
      <c r="Q38" s="102">
        <v>42705</v>
      </c>
    </row>
    <row r="39" spans="1:17" ht="18" customHeight="1" x14ac:dyDescent="0.2">
      <c r="A39" s="113">
        <v>36</v>
      </c>
      <c r="B39" s="98" t="s">
        <v>242</v>
      </c>
      <c r="C39" s="98" t="s">
        <v>368</v>
      </c>
      <c r="D39" s="100">
        <v>42704</v>
      </c>
      <c r="E39" s="100">
        <v>42698</v>
      </c>
      <c r="F39" s="99">
        <v>10</v>
      </c>
      <c r="G39" s="99">
        <f>IF(CavityStatus[[#This Row],[Actual Ship Date]]&lt;&gt;0,($E39-$D39)/7,0)</f>
        <v>-0.8571428571428571</v>
      </c>
      <c r="H39" s="101"/>
      <c r="I39" s="101"/>
      <c r="J39" s="101">
        <v>5750</v>
      </c>
      <c r="K39" s="101">
        <v>5750</v>
      </c>
      <c r="L39" s="102">
        <v>42705</v>
      </c>
      <c r="M39" s="103">
        <v>4283.18</v>
      </c>
      <c r="N39" s="101">
        <v>490</v>
      </c>
      <c r="O39" s="101">
        <f t="shared" si="0"/>
        <v>40187.5</v>
      </c>
      <c r="P39" s="103">
        <f>RICavMilestoneVal+CavityStatus[[#This Row],[Incentive Earned]]+CavityStatus[[#This Row],[Recipe Modification (Mod 9)]]+N39</f>
        <v>50710.68</v>
      </c>
      <c r="Q39" s="102">
        <v>42705</v>
      </c>
    </row>
    <row r="40" spans="1:17" ht="18" customHeight="1" x14ac:dyDescent="0.2">
      <c r="A40" s="113">
        <v>37</v>
      </c>
      <c r="B40" s="98" t="s">
        <v>243</v>
      </c>
      <c r="C40" s="98" t="s">
        <v>368</v>
      </c>
      <c r="D40" s="100">
        <v>42704</v>
      </c>
      <c r="E40" s="100">
        <v>42702</v>
      </c>
      <c r="F40" s="99">
        <v>11</v>
      </c>
      <c r="G40" s="99">
        <f>IF(CavityStatus[[#This Row],[Actual Ship Date]]&lt;&gt;0,($E40-$D40)/7,0)</f>
        <v>-0.2857142857142857</v>
      </c>
      <c r="H40" s="101"/>
      <c r="I40" s="101"/>
      <c r="J40" s="101">
        <v>5750</v>
      </c>
      <c r="K40" s="101">
        <v>5750</v>
      </c>
      <c r="L40" s="102">
        <v>42709</v>
      </c>
      <c r="M40" s="103">
        <v>4283.18</v>
      </c>
      <c r="N40" s="101">
        <v>490</v>
      </c>
      <c r="O40" s="101">
        <f t="shared" si="0"/>
        <v>40187.5</v>
      </c>
      <c r="P40" s="103">
        <f>RICavMilestoneVal+CavityStatus[[#This Row],[Incentive Earned]]+CavityStatus[[#This Row],[Recipe Modification (Mod 9)]]+N40</f>
        <v>50710.68</v>
      </c>
      <c r="Q40" s="102">
        <v>42705</v>
      </c>
    </row>
    <row r="41" spans="1:17" ht="18" customHeight="1" x14ac:dyDescent="0.2">
      <c r="A41" s="113">
        <v>38</v>
      </c>
      <c r="B41" s="98" t="s">
        <v>244</v>
      </c>
      <c r="C41" s="98" t="s">
        <v>368</v>
      </c>
      <c r="D41" s="100">
        <v>42704</v>
      </c>
      <c r="E41" s="100">
        <v>42702</v>
      </c>
      <c r="F41" s="99">
        <v>11</v>
      </c>
      <c r="G41" s="99">
        <f>IF(CavityStatus[[#This Row],[Actual Ship Date]]&lt;&gt;0,($E41-$D41)/7,0)</f>
        <v>-0.2857142857142857</v>
      </c>
      <c r="H41" s="101"/>
      <c r="I41" s="101"/>
      <c r="J41" s="101">
        <v>5750</v>
      </c>
      <c r="K41" s="101">
        <v>5750</v>
      </c>
      <c r="L41" s="102">
        <v>42709</v>
      </c>
      <c r="M41" s="103">
        <v>4283.18</v>
      </c>
      <c r="N41" s="101">
        <v>490</v>
      </c>
      <c r="O41" s="101">
        <f t="shared" si="0"/>
        <v>40187.5</v>
      </c>
      <c r="P41" s="103">
        <f>RICavMilestoneVal+CavityStatus[[#This Row],[Incentive Earned]]+CavityStatus[[#This Row],[Recipe Modification (Mod 9)]]+N41</f>
        <v>50710.68</v>
      </c>
      <c r="Q41" s="102">
        <v>42705</v>
      </c>
    </row>
    <row r="42" spans="1:17" ht="18" customHeight="1" x14ac:dyDescent="0.2">
      <c r="A42" s="113">
        <v>39</v>
      </c>
      <c r="B42" s="98" t="s">
        <v>251</v>
      </c>
      <c r="C42" s="98" t="s">
        <v>368</v>
      </c>
      <c r="D42" s="100">
        <v>42704</v>
      </c>
      <c r="E42" s="100">
        <v>42702</v>
      </c>
      <c r="F42" s="99">
        <v>11</v>
      </c>
      <c r="G42" s="99">
        <f>IF(CavityStatus[[#This Row],[Actual Ship Date]]&lt;&gt;0,($E42-$D42)/7,0)</f>
        <v>-0.2857142857142857</v>
      </c>
      <c r="H42" s="101"/>
      <c r="I42" s="101"/>
      <c r="J42" s="101">
        <v>5750</v>
      </c>
      <c r="K42" s="101">
        <v>5750</v>
      </c>
      <c r="L42" s="102">
        <v>42709</v>
      </c>
      <c r="M42" s="103">
        <v>4283.18</v>
      </c>
      <c r="N42" s="101">
        <v>490</v>
      </c>
      <c r="O42" s="101">
        <f t="shared" si="0"/>
        <v>40187.5</v>
      </c>
      <c r="P42" s="103">
        <f>RICavMilestoneVal+CavityStatus[[#This Row],[Incentive Earned]]+CavityStatus[[#This Row],[Recipe Modification (Mod 9)]]+N42</f>
        <v>50710.68</v>
      </c>
      <c r="Q42" s="102">
        <v>42705</v>
      </c>
    </row>
    <row r="43" spans="1:17" ht="18" customHeight="1" x14ac:dyDescent="0.2">
      <c r="A43" s="113">
        <v>40</v>
      </c>
      <c r="B43" s="98" t="s">
        <v>255</v>
      </c>
      <c r="C43" s="98" t="s">
        <v>368</v>
      </c>
      <c r="D43" s="100">
        <v>42704</v>
      </c>
      <c r="E43" s="100">
        <v>42702</v>
      </c>
      <c r="F43" s="99">
        <v>11</v>
      </c>
      <c r="G43" s="99">
        <f>IF(CavityStatus[[#This Row],[Actual Ship Date]]&lt;&gt;0,($E43-$D43)/7,0)</f>
        <v>-0.2857142857142857</v>
      </c>
      <c r="H43" s="101"/>
      <c r="I43" s="101"/>
      <c r="J43" s="101">
        <v>5750</v>
      </c>
      <c r="K43" s="101">
        <v>5750</v>
      </c>
      <c r="L43" s="102">
        <v>42709</v>
      </c>
      <c r="M43" s="103">
        <v>4283.18</v>
      </c>
      <c r="N43" s="101">
        <v>490</v>
      </c>
      <c r="O43" s="101">
        <f t="shared" si="0"/>
        <v>40187.5</v>
      </c>
      <c r="P43" s="103">
        <f>RICavMilestoneVal+CavityStatus[[#This Row],[Incentive Earned]]+CavityStatus[[#This Row],[Recipe Modification (Mod 9)]]+N43</f>
        <v>50710.68</v>
      </c>
      <c r="Q43" s="102">
        <v>42705</v>
      </c>
    </row>
    <row r="44" spans="1:17" ht="18" customHeight="1" x14ac:dyDescent="0.2">
      <c r="A44" s="113">
        <v>41</v>
      </c>
      <c r="B44" s="98" t="s">
        <v>245</v>
      </c>
      <c r="C44" s="98" t="s">
        <v>368</v>
      </c>
      <c r="D44" s="100">
        <v>42732</v>
      </c>
      <c r="E44" s="100">
        <v>42704</v>
      </c>
      <c r="F44" s="99">
        <v>12</v>
      </c>
      <c r="G44" s="99">
        <f>IF(CavityStatus[[#This Row],[Actual Ship Date]]&lt;&gt;0,($E44-$D44)/7,0)</f>
        <v>-4</v>
      </c>
      <c r="H44" s="101"/>
      <c r="I44" s="101"/>
      <c r="J44" s="101">
        <v>2270</v>
      </c>
      <c r="K44" s="101">
        <v>2270</v>
      </c>
      <c r="L44" s="102">
        <v>42711</v>
      </c>
      <c r="M44" s="103">
        <v>4283.18</v>
      </c>
      <c r="N44" s="101">
        <v>490</v>
      </c>
      <c r="O44" s="101">
        <f t="shared" si="0"/>
        <v>40187.5</v>
      </c>
      <c r="P44" s="103">
        <f>RICavMilestoneVal+CavityStatus[[#This Row],[Incentive Earned]]+CavityStatus[[#This Row],[Recipe Modification (Mod 9)]]+N44</f>
        <v>47230.68</v>
      </c>
      <c r="Q44" s="102">
        <v>42705</v>
      </c>
    </row>
    <row r="45" spans="1:17" ht="18" customHeight="1" x14ac:dyDescent="0.2">
      <c r="A45" s="113">
        <v>42</v>
      </c>
      <c r="B45" s="98" t="s">
        <v>246</v>
      </c>
      <c r="C45" s="98" t="s">
        <v>368</v>
      </c>
      <c r="D45" s="100">
        <v>42732</v>
      </c>
      <c r="E45" s="100">
        <v>42704</v>
      </c>
      <c r="F45" s="99">
        <v>12</v>
      </c>
      <c r="G45" s="99">
        <f>IF(CavityStatus[[#This Row],[Actual Ship Date]]&lt;&gt;0,($E45-$D45)/7,0)</f>
        <v>-4</v>
      </c>
      <c r="H45" s="101"/>
      <c r="I45" s="101"/>
      <c r="J45" s="101">
        <v>2270</v>
      </c>
      <c r="K45" s="101">
        <v>2270</v>
      </c>
      <c r="L45" s="102">
        <v>42711</v>
      </c>
      <c r="M45" s="103">
        <v>4283.18</v>
      </c>
      <c r="N45" s="101">
        <v>490</v>
      </c>
      <c r="O45" s="101">
        <f t="shared" si="0"/>
        <v>40187.5</v>
      </c>
      <c r="P45" s="103">
        <f>RICavMilestoneVal+CavityStatus[[#This Row],[Incentive Earned]]+CavityStatus[[#This Row],[Recipe Modification (Mod 9)]]+N45</f>
        <v>47230.68</v>
      </c>
      <c r="Q45" s="102">
        <v>42705</v>
      </c>
    </row>
    <row r="46" spans="1:17" ht="18" customHeight="1" x14ac:dyDescent="0.2">
      <c r="A46" s="113">
        <v>43</v>
      </c>
      <c r="B46" s="98" t="s">
        <v>247</v>
      </c>
      <c r="C46" s="98" t="s">
        <v>368</v>
      </c>
      <c r="D46" s="100">
        <v>42732</v>
      </c>
      <c r="E46" s="100">
        <v>42704</v>
      </c>
      <c r="F46" s="99">
        <v>12</v>
      </c>
      <c r="G46" s="99">
        <f>IF(CavityStatus[[#This Row],[Actual Ship Date]]&lt;&gt;0,($E46-$D46)/7,0)</f>
        <v>-4</v>
      </c>
      <c r="H46" s="101"/>
      <c r="I46" s="101"/>
      <c r="J46" s="101">
        <v>2270</v>
      </c>
      <c r="K46" s="101">
        <v>2270</v>
      </c>
      <c r="L46" s="102">
        <v>42711</v>
      </c>
      <c r="M46" s="103">
        <v>4283.18</v>
      </c>
      <c r="N46" s="101">
        <v>490</v>
      </c>
      <c r="O46" s="101">
        <f t="shared" si="0"/>
        <v>40187.5</v>
      </c>
      <c r="P46" s="103">
        <f>RICavMilestoneVal+CavityStatus[[#This Row],[Incentive Earned]]+CavityStatus[[#This Row],[Recipe Modification (Mod 9)]]+N46</f>
        <v>47230.68</v>
      </c>
      <c r="Q46" s="102">
        <v>42705</v>
      </c>
    </row>
    <row r="47" spans="1:17" ht="18" customHeight="1" x14ac:dyDescent="0.2">
      <c r="A47" s="113">
        <v>44</v>
      </c>
      <c r="B47" s="98" t="s">
        <v>248</v>
      </c>
      <c r="C47" s="98" t="s">
        <v>368</v>
      </c>
      <c r="D47" s="100">
        <v>42732</v>
      </c>
      <c r="E47" s="100">
        <v>42704</v>
      </c>
      <c r="F47" s="99">
        <v>12</v>
      </c>
      <c r="G47" s="99">
        <f>IF(CavityStatus[[#This Row],[Actual Ship Date]]&lt;&gt;0,($E47-$D47)/7,0)</f>
        <v>-4</v>
      </c>
      <c r="H47" s="101"/>
      <c r="I47" s="101"/>
      <c r="J47" s="101">
        <v>2270</v>
      </c>
      <c r="K47" s="101">
        <v>2270</v>
      </c>
      <c r="L47" s="102">
        <v>42711</v>
      </c>
      <c r="M47" s="103">
        <v>4283.18</v>
      </c>
      <c r="N47" s="101">
        <v>490</v>
      </c>
      <c r="O47" s="101">
        <f t="shared" si="0"/>
        <v>40187.5</v>
      </c>
      <c r="P47" s="103">
        <f>RICavMilestoneVal+CavityStatus[[#This Row],[Incentive Earned]]+CavityStatus[[#This Row],[Recipe Modification (Mod 9)]]+N47</f>
        <v>47230.68</v>
      </c>
      <c r="Q47" s="102">
        <v>42705</v>
      </c>
    </row>
    <row r="48" spans="1:17" ht="18" customHeight="1" x14ac:dyDescent="0.2">
      <c r="A48" s="113">
        <v>45</v>
      </c>
      <c r="B48" s="98" t="s">
        <v>249</v>
      </c>
      <c r="C48" s="98" t="s">
        <v>368</v>
      </c>
      <c r="D48" s="100">
        <v>42732</v>
      </c>
      <c r="E48" s="100">
        <v>42720</v>
      </c>
      <c r="F48" s="99">
        <v>13</v>
      </c>
      <c r="G48" s="99">
        <f>IF(CavityStatus[[#This Row],[Actual Ship Date]]&lt;&gt;0,($E48-$D48)/7,0)</f>
        <v>-1.7142857142857142</v>
      </c>
      <c r="H48" s="101"/>
      <c r="I48" s="101"/>
      <c r="J48" s="101">
        <v>2270</v>
      </c>
      <c r="K48" s="101">
        <v>2270</v>
      </c>
      <c r="L48" s="102">
        <v>42746</v>
      </c>
      <c r="M48" s="103">
        <v>4283.18</v>
      </c>
      <c r="N48" s="101">
        <v>490</v>
      </c>
      <c r="O48" s="105">
        <f t="shared" si="0"/>
        <v>40187.5</v>
      </c>
      <c r="P48" s="103">
        <f>RICavMilestoneVal+CavityStatus[[#This Row],[Incentive Earned]]+CavityStatus[[#This Row],[Recipe Modification (Mod 9)]]+N48</f>
        <v>47230.68</v>
      </c>
      <c r="Q48" s="102">
        <v>42788</v>
      </c>
    </row>
    <row r="49" spans="1:17" ht="18" customHeight="1" x14ac:dyDescent="0.2">
      <c r="A49" s="113">
        <v>46</v>
      </c>
      <c r="B49" s="98" t="s">
        <v>250</v>
      </c>
      <c r="C49" s="98" t="s">
        <v>368</v>
      </c>
      <c r="D49" s="100">
        <v>42732</v>
      </c>
      <c r="E49" s="100">
        <v>42720</v>
      </c>
      <c r="F49" s="99">
        <v>13</v>
      </c>
      <c r="G49" s="99">
        <f>IF(CavityStatus[[#This Row],[Actual Ship Date]]&lt;&gt;0,($E49-$D49)/7,0)</f>
        <v>-1.7142857142857142</v>
      </c>
      <c r="H49" s="101"/>
      <c r="I49" s="101"/>
      <c r="J49" s="101">
        <v>2270</v>
      </c>
      <c r="K49" s="101">
        <v>2270</v>
      </c>
      <c r="L49" s="102">
        <v>42746</v>
      </c>
      <c r="M49" s="103">
        <v>4283.18</v>
      </c>
      <c r="N49" s="101">
        <v>490</v>
      </c>
      <c r="O49" s="105">
        <f t="shared" si="0"/>
        <v>40187.5</v>
      </c>
      <c r="P49" s="103">
        <f>RICavMilestoneVal+CavityStatus[[#This Row],[Incentive Earned]]+CavityStatus[[#This Row],[Recipe Modification (Mod 9)]]+N49</f>
        <v>47230.68</v>
      </c>
      <c r="Q49" s="102">
        <v>42788</v>
      </c>
    </row>
    <row r="50" spans="1:17" x14ac:dyDescent="0.2">
      <c r="A50" s="113">
        <v>47</v>
      </c>
      <c r="B50" s="98" t="s">
        <v>253</v>
      </c>
      <c r="C50" s="98" t="s">
        <v>368</v>
      </c>
      <c r="D50" s="100">
        <v>42732</v>
      </c>
      <c r="E50" s="100">
        <v>42720</v>
      </c>
      <c r="F50" s="99">
        <v>13</v>
      </c>
      <c r="G50" s="99">
        <f>IF(CavityStatus[[#This Row],[Actual Ship Date]]&lt;&gt;0,($E50-$D50)/7,0)</f>
        <v>-1.7142857142857142</v>
      </c>
      <c r="H50" s="101"/>
      <c r="I50" s="101"/>
      <c r="J50" s="101">
        <v>2270</v>
      </c>
      <c r="K50" s="101">
        <v>2270</v>
      </c>
      <c r="L50" s="102">
        <v>42746</v>
      </c>
      <c r="M50" s="103">
        <v>4283.18</v>
      </c>
      <c r="N50" s="101">
        <v>490</v>
      </c>
      <c r="O50" s="105">
        <f t="shared" si="0"/>
        <v>40187.5</v>
      </c>
      <c r="P50" s="103">
        <f>RICavMilestoneVal+CavityStatus[[#This Row],[Incentive Earned]]+CavityStatus[[#This Row],[Recipe Modification (Mod 9)]]+N50</f>
        <v>47230.68</v>
      </c>
      <c r="Q50" s="102">
        <v>42788</v>
      </c>
    </row>
    <row r="51" spans="1:17" x14ac:dyDescent="0.2">
      <c r="A51" s="113">
        <v>48</v>
      </c>
      <c r="B51" s="98" t="s">
        <v>254</v>
      </c>
      <c r="C51" s="98" t="s">
        <v>368</v>
      </c>
      <c r="D51" s="100">
        <v>42732</v>
      </c>
      <c r="E51" s="100">
        <v>42720</v>
      </c>
      <c r="F51" s="99">
        <v>13</v>
      </c>
      <c r="G51" s="99">
        <f>IF(CavityStatus[[#This Row],[Actual Ship Date]]&lt;&gt;0,($E51-$D51)/7,0)</f>
        <v>-1.7142857142857142</v>
      </c>
      <c r="H51" s="101"/>
      <c r="I51" s="101"/>
      <c r="J51" s="101">
        <v>2270</v>
      </c>
      <c r="K51" s="101">
        <v>2270</v>
      </c>
      <c r="L51" s="102">
        <v>42746</v>
      </c>
      <c r="M51" s="103">
        <v>4283.18</v>
      </c>
      <c r="N51" s="101">
        <v>490</v>
      </c>
      <c r="O51" s="105">
        <f t="shared" si="0"/>
        <v>40187.5</v>
      </c>
      <c r="P51" s="103">
        <f>RICavMilestoneVal+CavityStatus[[#This Row],[Incentive Earned]]+CavityStatus[[#This Row],[Recipe Modification (Mod 9)]]+N51</f>
        <v>47230.68</v>
      </c>
      <c r="Q51" s="102">
        <v>42788</v>
      </c>
    </row>
    <row r="52" spans="1:17" x14ac:dyDescent="0.2">
      <c r="A52" s="113">
        <v>49</v>
      </c>
      <c r="B52" s="98" t="s">
        <v>252</v>
      </c>
      <c r="C52" s="98" t="s">
        <v>368</v>
      </c>
      <c r="D52" s="100">
        <v>42732</v>
      </c>
      <c r="E52" s="100">
        <v>42746</v>
      </c>
      <c r="F52" s="99">
        <v>14</v>
      </c>
      <c r="G52" s="99">
        <f>IF(CavityStatus[[#This Row],[Actual Ship Date]]&lt;&gt;0,($E52-$D52)/7,0)</f>
        <v>2</v>
      </c>
      <c r="H52" s="101"/>
      <c r="I52" s="101"/>
      <c r="J52" s="101">
        <v>2270</v>
      </c>
      <c r="K52" s="101">
        <v>2270</v>
      </c>
      <c r="L52" s="102">
        <v>42754</v>
      </c>
      <c r="M52" s="103">
        <v>4283.18</v>
      </c>
      <c r="N52" s="101">
        <v>490</v>
      </c>
      <c r="O52" s="105">
        <f t="shared" si="0"/>
        <v>40187.5</v>
      </c>
      <c r="P52" s="103">
        <f>RICavMilestoneVal+CavityStatus[[#This Row],[Incentive Earned]]+CavityStatus[[#This Row],[Recipe Modification (Mod 9)]]+N52</f>
        <v>47230.68</v>
      </c>
      <c r="Q52" s="102">
        <v>42788</v>
      </c>
    </row>
    <row r="53" spans="1:17" x14ac:dyDescent="0.2">
      <c r="A53" s="113">
        <v>50</v>
      </c>
      <c r="B53" s="98" t="s">
        <v>256</v>
      </c>
      <c r="C53" s="98" t="s">
        <v>368</v>
      </c>
      <c r="D53" s="100">
        <v>42732</v>
      </c>
      <c r="E53" s="100">
        <v>42746</v>
      </c>
      <c r="F53" s="99">
        <v>14</v>
      </c>
      <c r="G53" s="99">
        <f>IF(CavityStatus[[#This Row],[Actual Ship Date]]&lt;&gt;0,($E53-$D53)/7,0)</f>
        <v>2</v>
      </c>
      <c r="H53" s="101"/>
      <c r="I53" s="101"/>
      <c r="J53" s="101">
        <v>2270</v>
      </c>
      <c r="K53" s="101">
        <v>2270</v>
      </c>
      <c r="L53" s="102">
        <v>42754</v>
      </c>
      <c r="M53" s="103">
        <v>4283.18</v>
      </c>
      <c r="N53" s="101">
        <v>490</v>
      </c>
      <c r="O53" s="105">
        <f t="shared" si="0"/>
        <v>40187.5</v>
      </c>
      <c r="P53" s="103">
        <f>RICavMilestoneVal+CavityStatus[[#This Row],[Incentive Earned]]+CavityStatus[[#This Row],[Recipe Modification (Mod 9)]]+N53</f>
        <v>47230.68</v>
      </c>
      <c r="Q53" s="102">
        <v>42788</v>
      </c>
    </row>
    <row r="54" spans="1:17" x14ac:dyDescent="0.2">
      <c r="A54" s="113">
        <v>51</v>
      </c>
      <c r="B54" s="98" t="s">
        <v>257</v>
      </c>
      <c r="C54" s="98" t="s">
        <v>368</v>
      </c>
      <c r="D54" s="100">
        <v>42732</v>
      </c>
      <c r="E54" s="100">
        <v>42746</v>
      </c>
      <c r="F54" s="99">
        <v>14</v>
      </c>
      <c r="G54" s="99">
        <f>IF(CavityStatus[[#This Row],[Actual Ship Date]]&lt;&gt;0,($E54-$D54)/7,0)</f>
        <v>2</v>
      </c>
      <c r="H54" s="101"/>
      <c r="I54" s="101"/>
      <c r="J54" s="101">
        <v>2270</v>
      </c>
      <c r="K54" s="101">
        <v>2270</v>
      </c>
      <c r="L54" s="102">
        <v>42754</v>
      </c>
      <c r="M54" s="103">
        <v>4283.18</v>
      </c>
      <c r="N54" s="101">
        <v>490</v>
      </c>
      <c r="O54" s="105">
        <f t="shared" si="0"/>
        <v>40187.5</v>
      </c>
      <c r="P54" s="103">
        <f>RICavMilestoneVal+CavityStatus[[#This Row],[Incentive Earned]]+CavityStatus[[#This Row],[Recipe Modification (Mod 9)]]+N54</f>
        <v>47230.68</v>
      </c>
      <c r="Q54" s="102">
        <v>42788</v>
      </c>
    </row>
    <row r="55" spans="1:17" x14ac:dyDescent="0.2">
      <c r="A55" s="113">
        <v>52</v>
      </c>
      <c r="B55" s="98" t="s">
        <v>258</v>
      </c>
      <c r="C55" s="98" t="s">
        <v>368</v>
      </c>
      <c r="D55" s="100">
        <v>42732</v>
      </c>
      <c r="E55" s="100">
        <v>42746</v>
      </c>
      <c r="F55" s="99">
        <v>14</v>
      </c>
      <c r="G55" s="99">
        <f>IF(CavityStatus[[#This Row],[Actual Ship Date]]&lt;&gt;0,($E55-$D55)/7,0)</f>
        <v>2</v>
      </c>
      <c r="H55" s="101"/>
      <c r="I55" s="101"/>
      <c r="J55" s="101">
        <v>2270</v>
      </c>
      <c r="K55" s="101">
        <v>2270</v>
      </c>
      <c r="L55" s="102">
        <v>42754</v>
      </c>
      <c r="M55" s="103">
        <v>4283.18</v>
      </c>
      <c r="N55" s="103">
        <v>490</v>
      </c>
      <c r="O55" s="105">
        <f t="shared" si="0"/>
        <v>40187.5</v>
      </c>
      <c r="P55" s="103">
        <f>RICavMilestoneVal+CavityStatus[[#This Row],[Incentive Earned]]+CavityStatus[[#This Row],[Recipe Modification (Mod 9)]]+N55</f>
        <v>47230.68</v>
      </c>
      <c r="Q55" s="102">
        <v>42788</v>
      </c>
    </row>
    <row r="56" spans="1:17" x14ac:dyDescent="0.2">
      <c r="A56" s="113">
        <v>53</v>
      </c>
      <c r="B56" s="98" t="s">
        <v>260</v>
      </c>
      <c r="C56" s="98" t="s">
        <v>368</v>
      </c>
      <c r="D56" s="100">
        <v>42760</v>
      </c>
      <c r="E56" s="100">
        <v>42782</v>
      </c>
      <c r="F56" s="99">
        <v>15</v>
      </c>
      <c r="G56" s="99">
        <f>IF(CavityStatus[[#This Row],[Actual Ship Date]]&lt;&gt;0,($E56-$D56)/7,0)</f>
        <v>3.1428571428571428</v>
      </c>
      <c r="H56" s="101"/>
      <c r="I56" s="101"/>
      <c r="J56" s="101">
        <v>1000</v>
      </c>
      <c r="K56" s="101">
        <v>1000</v>
      </c>
      <c r="L56" s="102">
        <v>42783</v>
      </c>
      <c r="M56" s="103">
        <v>4283.18</v>
      </c>
      <c r="N56" s="103">
        <v>490</v>
      </c>
      <c r="O56" s="103">
        <f t="shared" si="0"/>
        <v>40187.5</v>
      </c>
      <c r="P56" s="103">
        <f>RICavMilestoneVal+CavityStatus[[#This Row],[Incentive Earned]]+CavityStatus[[#This Row],[Recipe Modification (Mod 9)]]+N56</f>
        <v>45960.68</v>
      </c>
      <c r="Q56" s="102">
        <v>42814</v>
      </c>
    </row>
    <row r="57" spans="1:17" x14ac:dyDescent="0.2">
      <c r="A57" s="113">
        <v>54</v>
      </c>
      <c r="B57" s="98" t="s">
        <v>261</v>
      </c>
      <c r="C57" s="98" t="s">
        <v>368</v>
      </c>
      <c r="D57" s="100">
        <v>42760</v>
      </c>
      <c r="E57" s="100">
        <v>42782</v>
      </c>
      <c r="F57" s="99">
        <v>15</v>
      </c>
      <c r="G57" s="99">
        <f>IF(CavityStatus[[#This Row],[Actual Ship Date]]&lt;&gt;0,($E57-$D57)/7,0)</f>
        <v>3.1428571428571428</v>
      </c>
      <c r="H57" s="101"/>
      <c r="I57" s="101"/>
      <c r="J57" s="101">
        <v>1000</v>
      </c>
      <c r="K57" s="101">
        <v>1000</v>
      </c>
      <c r="L57" s="102">
        <v>42783</v>
      </c>
      <c r="M57" s="103">
        <v>4283.18</v>
      </c>
      <c r="N57" s="103">
        <v>490</v>
      </c>
      <c r="O57" s="103">
        <f t="shared" si="0"/>
        <v>40187.5</v>
      </c>
      <c r="P57" s="103">
        <f>RICavMilestoneVal+CavityStatus[[#This Row],[Incentive Earned]]+CavityStatus[[#This Row],[Recipe Modification (Mod 9)]]+N57</f>
        <v>45960.68</v>
      </c>
      <c r="Q57" s="102">
        <v>42814</v>
      </c>
    </row>
    <row r="58" spans="1:17" x14ac:dyDescent="0.2">
      <c r="A58" s="113">
        <v>55</v>
      </c>
      <c r="B58" s="98" t="s">
        <v>270</v>
      </c>
      <c r="C58" s="98" t="s">
        <v>368</v>
      </c>
      <c r="D58" s="100">
        <v>42760</v>
      </c>
      <c r="E58" s="100">
        <v>42793</v>
      </c>
      <c r="F58" s="99">
        <v>16</v>
      </c>
      <c r="G58" s="99">
        <f>IF(CavityStatus[[#This Row],[Actual Ship Date]]&lt;&gt;0,($E58-$D58)/7,0)</f>
        <v>4.7142857142857144</v>
      </c>
      <c r="H58" s="101"/>
      <c r="I58" s="101"/>
      <c r="J58" s="101">
        <v>1000</v>
      </c>
      <c r="K58" s="101">
        <v>1000</v>
      </c>
      <c r="L58" s="102">
        <v>42793</v>
      </c>
      <c r="M58" s="103">
        <v>4283.18</v>
      </c>
      <c r="N58" s="103">
        <v>490</v>
      </c>
      <c r="O58" s="103">
        <f t="shared" si="0"/>
        <v>40187.5</v>
      </c>
      <c r="P58" s="103">
        <f>RICavMilestoneVal+CavityStatus[[#This Row],[Incentive Earned]]+CavityStatus[[#This Row],[Recipe Modification (Mod 9)]]+N58</f>
        <v>45960.68</v>
      </c>
      <c r="Q58" s="102">
        <v>42814</v>
      </c>
    </row>
    <row r="59" spans="1:17" x14ac:dyDescent="0.2">
      <c r="A59" s="113">
        <v>56</v>
      </c>
      <c r="B59" s="98" t="s">
        <v>272</v>
      </c>
      <c r="C59" s="98" t="s">
        <v>368</v>
      </c>
      <c r="D59" s="100">
        <v>42760</v>
      </c>
      <c r="E59" s="100">
        <v>42793</v>
      </c>
      <c r="F59" s="99">
        <v>16</v>
      </c>
      <c r="G59" s="99">
        <f>IF(CavityStatus[[#This Row],[Actual Ship Date]]&lt;&gt;0,($E59-$D59)/7,0)</f>
        <v>4.7142857142857144</v>
      </c>
      <c r="H59" s="101"/>
      <c r="I59" s="101"/>
      <c r="J59" s="101">
        <v>1000</v>
      </c>
      <c r="K59" s="101">
        <v>1000</v>
      </c>
      <c r="L59" s="102">
        <v>42793</v>
      </c>
      <c r="M59" s="103">
        <v>4283.18</v>
      </c>
      <c r="N59" s="103">
        <v>490</v>
      </c>
      <c r="O59" s="103">
        <f t="shared" si="0"/>
        <v>40187.5</v>
      </c>
      <c r="P59" s="103">
        <f>RICavMilestoneVal+CavityStatus[[#This Row],[Incentive Earned]]+CavityStatus[[#This Row],[Recipe Modification (Mod 9)]]+N59</f>
        <v>45960.68</v>
      </c>
      <c r="Q59" s="102">
        <v>42814</v>
      </c>
    </row>
    <row r="60" spans="1:17" x14ac:dyDescent="0.2">
      <c r="A60" s="113">
        <v>57</v>
      </c>
      <c r="B60" s="98" t="s">
        <v>273</v>
      </c>
      <c r="C60" s="98" t="s">
        <v>368</v>
      </c>
      <c r="D60" s="100">
        <v>42760</v>
      </c>
      <c r="E60" s="100">
        <v>42793</v>
      </c>
      <c r="F60" s="99">
        <v>16</v>
      </c>
      <c r="G60" s="99">
        <f>IF(CavityStatus[[#This Row],[Actual Ship Date]]&lt;&gt;0,($E60-$D60)/7,0)</f>
        <v>4.7142857142857144</v>
      </c>
      <c r="H60" s="101"/>
      <c r="I60" s="101"/>
      <c r="J60" s="101">
        <v>1000</v>
      </c>
      <c r="K60" s="101">
        <v>1000</v>
      </c>
      <c r="L60" s="102">
        <v>42793</v>
      </c>
      <c r="M60" s="103">
        <v>4283.18</v>
      </c>
      <c r="N60" s="103">
        <v>490</v>
      </c>
      <c r="O60" s="103">
        <f t="shared" si="0"/>
        <v>40187.5</v>
      </c>
      <c r="P60" s="103">
        <f>RICavMilestoneVal+CavityStatus[[#This Row],[Incentive Earned]]+CavityStatus[[#This Row],[Recipe Modification (Mod 9)]]+N60</f>
        <v>45960.68</v>
      </c>
      <c r="Q60" s="102">
        <v>42814</v>
      </c>
    </row>
    <row r="61" spans="1:17" x14ac:dyDescent="0.2">
      <c r="A61" s="113">
        <v>58</v>
      </c>
      <c r="B61" s="98" t="s">
        <v>274</v>
      </c>
      <c r="C61" s="98" t="s">
        <v>368</v>
      </c>
      <c r="D61" s="100">
        <v>42760</v>
      </c>
      <c r="E61" s="100">
        <v>42793</v>
      </c>
      <c r="F61" s="99">
        <v>16</v>
      </c>
      <c r="G61" s="99">
        <f>IF(CavityStatus[[#This Row],[Actual Ship Date]]&lt;&gt;0,($E61-$D61)/7,0)</f>
        <v>4.7142857142857144</v>
      </c>
      <c r="H61" s="101"/>
      <c r="I61" s="101"/>
      <c r="J61" s="101">
        <v>1000</v>
      </c>
      <c r="K61" s="101">
        <v>1000</v>
      </c>
      <c r="L61" s="102">
        <v>42793</v>
      </c>
      <c r="M61" s="103">
        <v>4283.18</v>
      </c>
      <c r="N61" s="103">
        <v>490</v>
      </c>
      <c r="O61" s="103">
        <f t="shared" si="0"/>
        <v>40187.5</v>
      </c>
      <c r="P61" s="103">
        <f>RICavMilestoneVal+CavityStatus[[#This Row],[Incentive Earned]]+CavityStatus[[#This Row],[Recipe Modification (Mod 9)]]+N61</f>
        <v>45960.68</v>
      </c>
      <c r="Q61" s="102">
        <v>42814</v>
      </c>
    </row>
    <row r="62" spans="1:17" x14ac:dyDescent="0.2">
      <c r="A62" s="113">
        <v>59</v>
      </c>
      <c r="B62" s="98" t="s">
        <v>271</v>
      </c>
      <c r="C62" s="98" t="s">
        <v>368</v>
      </c>
      <c r="D62" s="100">
        <v>42760</v>
      </c>
      <c r="E62" s="100">
        <v>42803</v>
      </c>
      <c r="F62" s="99">
        <v>17</v>
      </c>
      <c r="G62" s="99">
        <f>IF(CavityStatus[[#This Row],[Actual Ship Date]]&lt;&gt;0,($E62-$D62)/7,0)</f>
        <v>6.1428571428571432</v>
      </c>
      <c r="H62" s="101"/>
      <c r="I62" s="101"/>
      <c r="J62" s="101">
        <v>1000</v>
      </c>
      <c r="K62" s="101">
        <v>1000</v>
      </c>
      <c r="L62" s="102">
        <v>42781</v>
      </c>
      <c r="M62" s="103">
        <v>4283.18</v>
      </c>
      <c r="N62" s="103">
        <v>490</v>
      </c>
      <c r="O62" s="103">
        <f t="shared" si="0"/>
        <v>40187.5</v>
      </c>
      <c r="P62" s="103">
        <f>RICavMilestoneVal+CavityStatus[[#This Row],[Incentive Earned]]+CavityStatus[[#This Row],[Recipe Modification (Mod 9)]]+N62</f>
        <v>45960.68</v>
      </c>
      <c r="Q62" s="102">
        <v>42846</v>
      </c>
    </row>
    <row r="63" spans="1:17" x14ac:dyDescent="0.2">
      <c r="A63" s="113">
        <v>60</v>
      </c>
      <c r="B63" s="98" t="s">
        <v>275</v>
      </c>
      <c r="C63" s="98" t="s">
        <v>368</v>
      </c>
      <c r="D63" s="100">
        <v>42760</v>
      </c>
      <c r="E63" s="100">
        <v>42803</v>
      </c>
      <c r="F63" s="99">
        <v>17</v>
      </c>
      <c r="G63" s="99">
        <f>IF(CavityStatus[[#This Row],[Actual Ship Date]]&lt;&gt;0,($E63-$D63)/7,0)</f>
        <v>6.1428571428571432</v>
      </c>
      <c r="H63" s="101"/>
      <c r="I63" s="101"/>
      <c r="J63" s="101">
        <v>1000</v>
      </c>
      <c r="K63" s="101">
        <v>1000</v>
      </c>
      <c r="L63" s="102">
        <v>42781</v>
      </c>
      <c r="M63" s="103">
        <v>4283.18</v>
      </c>
      <c r="N63" s="103">
        <v>490</v>
      </c>
      <c r="O63" s="103">
        <f t="shared" si="0"/>
        <v>40187.5</v>
      </c>
      <c r="P63" s="103">
        <f>RICavMilestoneVal+CavityStatus[[#This Row],[Incentive Earned]]+CavityStatus[[#This Row],[Recipe Modification (Mod 9)]]+N63</f>
        <v>45960.68</v>
      </c>
      <c r="Q63" s="102">
        <v>42846</v>
      </c>
    </row>
    <row r="64" spans="1:17" x14ac:dyDescent="0.2">
      <c r="A64" s="113">
        <v>61</v>
      </c>
      <c r="B64" s="98" t="s">
        <v>277</v>
      </c>
      <c r="C64" s="98" t="s">
        <v>368</v>
      </c>
      <c r="D64" s="100">
        <v>42760</v>
      </c>
      <c r="E64" s="100">
        <v>42803</v>
      </c>
      <c r="F64" s="99">
        <v>17</v>
      </c>
      <c r="G64" s="99">
        <f>IF(CavityStatus[[#This Row],[Actual Ship Date]]&lt;&gt;0,($E64-$D64)/7,0)</f>
        <v>6.1428571428571432</v>
      </c>
      <c r="H64" s="101"/>
      <c r="I64" s="101"/>
      <c r="J64" s="101">
        <v>1000</v>
      </c>
      <c r="K64" s="101">
        <v>1000</v>
      </c>
      <c r="L64" s="102">
        <v>42781</v>
      </c>
      <c r="M64" s="103">
        <v>4283.18</v>
      </c>
      <c r="N64" s="103">
        <v>490</v>
      </c>
      <c r="O64" s="103">
        <f t="shared" si="0"/>
        <v>40187.5</v>
      </c>
      <c r="P64" s="103">
        <f>RICavMilestoneVal+CavityStatus[[#This Row],[Incentive Earned]]+CavityStatus[[#This Row],[Recipe Modification (Mod 9)]]+N64</f>
        <v>45960.68</v>
      </c>
      <c r="Q64" s="102">
        <v>42846</v>
      </c>
    </row>
    <row r="65" spans="1:17" x14ac:dyDescent="0.2">
      <c r="A65" s="113">
        <v>62</v>
      </c>
      <c r="B65" s="98" t="s">
        <v>276</v>
      </c>
      <c r="C65" s="98" t="s">
        <v>368</v>
      </c>
      <c r="D65" s="100">
        <v>42760</v>
      </c>
      <c r="E65" s="100">
        <v>42816</v>
      </c>
      <c r="F65" s="99">
        <v>18</v>
      </c>
      <c r="G65" s="99">
        <f>IF(CavityStatus[[#This Row],[Actual Ship Date]]&lt;&gt;0,($E65-$D65)/7,0)</f>
        <v>8</v>
      </c>
      <c r="H65" s="101"/>
      <c r="I65" s="101"/>
      <c r="J65" s="101">
        <v>1000</v>
      </c>
      <c r="K65" s="101">
        <v>1000</v>
      </c>
      <c r="L65" s="102">
        <v>42829</v>
      </c>
      <c r="M65" s="103">
        <v>4283.18</v>
      </c>
      <c r="N65" s="103">
        <v>490</v>
      </c>
      <c r="O65" s="103">
        <f t="shared" si="0"/>
        <v>40187.5</v>
      </c>
      <c r="P65" s="103">
        <f>RICavMilestoneVal+CavityStatus[[#This Row],[Incentive Earned]]+CavityStatus[[#This Row],[Recipe Modification (Mod 9)]]+N65</f>
        <v>45960.68</v>
      </c>
      <c r="Q65" s="102">
        <v>42846</v>
      </c>
    </row>
    <row r="66" spans="1:17" x14ac:dyDescent="0.2">
      <c r="A66" s="113">
        <v>63</v>
      </c>
      <c r="B66" s="98" t="s">
        <v>278</v>
      </c>
      <c r="C66" s="98" t="s">
        <v>368</v>
      </c>
      <c r="D66" s="100">
        <v>42760</v>
      </c>
      <c r="E66" s="100">
        <v>42816</v>
      </c>
      <c r="F66" s="99">
        <v>18</v>
      </c>
      <c r="G66" s="99">
        <f>IF(CavityStatus[[#This Row],[Actual Ship Date]]&lt;&gt;0,($E66-$D66)/7,0)</f>
        <v>8</v>
      </c>
      <c r="H66" s="101"/>
      <c r="I66" s="101"/>
      <c r="J66" s="101">
        <v>1000</v>
      </c>
      <c r="K66" s="101">
        <v>1000</v>
      </c>
      <c r="L66" s="102">
        <v>42829</v>
      </c>
      <c r="M66" s="103">
        <v>4283.18</v>
      </c>
      <c r="N66" s="103">
        <v>490</v>
      </c>
      <c r="O66" s="103">
        <f t="shared" si="0"/>
        <v>40187.5</v>
      </c>
      <c r="P66" s="103">
        <f>RICavMilestoneVal+CavityStatus[[#This Row],[Incentive Earned]]+CavityStatus[[#This Row],[Recipe Modification (Mod 9)]]+N66</f>
        <v>45960.68</v>
      </c>
      <c r="Q66" s="102">
        <v>42846</v>
      </c>
    </row>
    <row r="67" spans="1:17" x14ac:dyDescent="0.2">
      <c r="A67" s="113">
        <v>64</v>
      </c>
      <c r="B67" s="98" t="s">
        <v>279</v>
      </c>
      <c r="C67" s="98" t="s">
        <v>368</v>
      </c>
      <c r="D67" s="100">
        <v>42760</v>
      </c>
      <c r="E67" s="100">
        <v>42816</v>
      </c>
      <c r="F67" s="99">
        <v>18</v>
      </c>
      <c r="G67" s="99">
        <f>IF(CavityStatus[[#This Row],[Actual Ship Date]]&lt;&gt;0,($E67-$D67)/7,0)</f>
        <v>8</v>
      </c>
      <c r="H67" s="101"/>
      <c r="I67" s="101"/>
      <c r="J67" s="101">
        <v>1000</v>
      </c>
      <c r="K67" s="101">
        <v>1000</v>
      </c>
      <c r="L67" s="102">
        <v>42829</v>
      </c>
      <c r="M67" s="103">
        <v>4283.18</v>
      </c>
      <c r="N67" s="103">
        <v>490</v>
      </c>
      <c r="O67" s="103">
        <f t="shared" si="0"/>
        <v>40187.5</v>
      </c>
      <c r="P67" s="103">
        <f>RICavMilestoneVal+CavityStatus[[#This Row],[Incentive Earned]]+CavityStatus[[#This Row],[Recipe Modification (Mod 9)]]+N67</f>
        <v>45960.68</v>
      </c>
      <c r="Q67" s="102">
        <v>42846</v>
      </c>
    </row>
    <row r="68" spans="1:17" x14ac:dyDescent="0.2">
      <c r="A68" s="113">
        <v>65</v>
      </c>
      <c r="B68" s="98" t="s">
        <v>281</v>
      </c>
      <c r="C68" s="98" t="s">
        <v>368</v>
      </c>
      <c r="D68" s="100">
        <v>42788</v>
      </c>
      <c r="E68" s="100">
        <v>42816</v>
      </c>
      <c r="F68" s="99">
        <v>18</v>
      </c>
      <c r="G68" s="99">
        <f>IF(CavityStatus[[#This Row],[Actual Ship Date]]&lt;&gt;0,($E68-$D68)/7,0)</f>
        <v>4</v>
      </c>
      <c r="H68" s="101"/>
      <c r="I68" s="101"/>
      <c r="J68" s="101">
        <v>1000</v>
      </c>
      <c r="K68" s="101">
        <v>1000</v>
      </c>
      <c r="L68" s="102">
        <v>42829</v>
      </c>
      <c r="M68" s="103">
        <v>4283.18</v>
      </c>
      <c r="N68" s="103">
        <v>490</v>
      </c>
      <c r="O68" s="103">
        <f t="shared" ref="O68:O131" si="1">RICavMilestoneVal</f>
        <v>40187.5</v>
      </c>
      <c r="P68" s="103">
        <f>RICavMilestoneVal+CavityStatus[[#This Row],[Incentive Earned]]+CavityStatus[[#This Row],[Recipe Modification (Mod 9)]]+N68</f>
        <v>45960.68</v>
      </c>
      <c r="Q68" s="102">
        <v>42846</v>
      </c>
    </row>
    <row r="69" spans="1:17" x14ac:dyDescent="0.2">
      <c r="A69" s="113">
        <v>66</v>
      </c>
      <c r="B69" s="98" t="s">
        <v>280</v>
      </c>
      <c r="C69" s="98" t="s">
        <v>368</v>
      </c>
      <c r="D69" s="100">
        <v>42788</v>
      </c>
      <c r="E69" s="100">
        <v>42818</v>
      </c>
      <c r="F69" s="99">
        <v>19</v>
      </c>
      <c r="G69" s="99">
        <f>IF(CavityStatus[[#This Row],[Actual Ship Date]]&lt;&gt;0,($E69-$D69)/7,0)</f>
        <v>4.2857142857142856</v>
      </c>
      <c r="H69" s="101"/>
      <c r="I69" s="101"/>
      <c r="J69" s="101">
        <v>1000</v>
      </c>
      <c r="K69" s="101">
        <v>1000</v>
      </c>
      <c r="L69" s="102">
        <v>42832</v>
      </c>
      <c r="M69" s="103">
        <v>4283.18</v>
      </c>
      <c r="N69" s="103">
        <v>490</v>
      </c>
      <c r="O69" s="103">
        <f t="shared" si="1"/>
        <v>40187.5</v>
      </c>
      <c r="P69" s="103">
        <f>RICavMilestoneVal+CavityStatus[[#This Row],[Incentive Earned]]+CavityStatus[[#This Row],[Recipe Modification (Mod 9)]]+N69</f>
        <v>45960.68</v>
      </c>
      <c r="Q69" s="102">
        <v>42846</v>
      </c>
    </row>
    <row r="70" spans="1:17" x14ac:dyDescent="0.2">
      <c r="A70" s="113">
        <v>67</v>
      </c>
      <c r="B70" s="98" t="s">
        <v>282</v>
      </c>
      <c r="C70" s="98" t="s">
        <v>368</v>
      </c>
      <c r="D70" s="100">
        <v>42788</v>
      </c>
      <c r="E70" s="100">
        <v>42818</v>
      </c>
      <c r="F70" s="99">
        <v>19</v>
      </c>
      <c r="G70" s="99">
        <f>IF(CavityStatus[[#This Row],[Actual Ship Date]]&lt;&gt;0,($E70-$D70)/7,0)</f>
        <v>4.2857142857142856</v>
      </c>
      <c r="H70" s="101"/>
      <c r="I70" s="101"/>
      <c r="J70" s="101">
        <v>1000</v>
      </c>
      <c r="K70" s="101">
        <v>1000</v>
      </c>
      <c r="L70" s="102">
        <v>42832</v>
      </c>
      <c r="M70" s="103">
        <v>4283.18</v>
      </c>
      <c r="N70" s="103">
        <v>490</v>
      </c>
      <c r="O70" s="103">
        <f t="shared" si="1"/>
        <v>40187.5</v>
      </c>
      <c r="P70" s="103">
        <f>RICavMilestoneVal+CavityStatus[[#This Row],[Incentive Earned]]+CavityStatus[[#This Row],[Recipe Modification (Mod 9)]]+N70</f>
        <v>45960.68</v>
      </c>
      <c r="Q70" s="102">
        <v>42846</v>
      </c>
    </row>
    <row r="71" spans="1:17" x14ac:dyDescent="0.2">
      <c r="A71" s="113">
        <v>68</v>
      </c>
      <c r="B71" s="98" t="s">
        <v>283</v>
      </c>
      <c r="C71" s="98" t="s">
        <v>368</v>
      </c>
      <c r="D71" s="100">
        <v>42788</v>
      </c>
      <c r="E71" s="100">
        <v>42818</v>
      </c>
      <c r="F71" s="99">
        <v>19</v>
      </c>
      <c r="G71" s="99">
        <f>IF(CavityStatus[[#This Row],[Actual Ship Date]]&lt;&gt;0,($E71-$D71)/7,0)</f>
        <v>4.2857142857142856</v>
      </c>
      <c r="H71" s="101"/>
      <c r="I71" s="101"/>
      <c r="J71" s="101">
        <v>1000</v>
      </c>
      <c r="K71" s="101">
        <v>1000</v>
      </c>
      <c r="L71" s="102">
        <v>42832</v>
      </c>
      <c r="M71" s="103">
        <v>4283.18</v>
      </c>
      <c r="N71" s="103">
        <v>490</v>
      </c>
      <c r="O71" s="103">
        <f t="shared" si="1"/>
        <v>40187.5</v>
      </c>
      <c r="P71" s="103">
        <f>RICavMilestoneVal+CavityStatus[[#This Row],[Incentive Earned]]+CavityStatus[[#This Row],[Recipe Modification (Mod 9)]]+N71</f>
        <v>45960.68</v>
      </c>
      <c r="Q71" s="102">
        <v>42846</v>
      </c>
    </row>
    <row r="72" spans="1:17" x14ac:dyDescent="0.2">
      <c r="A72" s="113">
        <v>69</v>
      </c>
      <c r="B72" s="98" t="s">
        <v>284</v>
      </c>
      <c r="C72" s="98" t="s">
        <v>368</v>
      </c>
      <c r="D72" s="100">
        <v>42788</v>
      </c>
      <c r="E72" s="100">
        <v>42818</v>
      </c>
      <c r="F72" s="99">
        <v>19</v>
      </c>
      <c r="G72" s="99">
        <f>IF(CavityStatus[[#This Row],[Actual Ship Date]]&lt;&gt;0,($E72-$D72)/7,0)</f>
        <v>4.2857142857142856</v>
      </c>
      <c r="H72" s="101"/>
      <c r="I72" s="101"/>
      <c r="J72" s="101">
        <v>1000</v>
      </c>
      <c r="K72" s="101">
        <v>1000</v>
      </c>
      <c r="L72" s="102">
        <v>42832</v>
      </c>
      <c r="M72" s="103">
        <v>4283.18</v>
      </c>
      <c r="N72" s="103">
        <v>490</v>
      </c>
      <c r="O72" s="103">
        <f t="shared" si="1"/>
        <v>40187.5</v>
      </c>
      <c r="P72" s="103">
        <f>RICavMilestoneVal+CavityStatus[[#This Row],[Incentive Earned]]+CavityStatus[[#This Row],[Recipe Modification (Mod 9)]]+N72</f>
        <v>45960.68</v>
      </c>
      <c r="Q72" s="102">
        <v>42846</v>
      </c>
    </row>
    <row r="73" spans="1:17" x14ac:dyDescent="0.2">
      <c r="A73" s="113">
        <v>70</v>
      </c>
      <c r="B73" s="98" t="s">
        <v>285</v>
      </c>
      <c r="C73" s="98" t="s">
        <v>368</v>
      </c>
      <c r="D73" s="100">
        <v>42788</v>
      </c>
      <c r="E73" s="100">
        <v>42825</v>
      </c>
      <c r="F73" s="99">
        <v>20</v>
      </c>
      <c r="G73" s="99">
        <f>IF(CavityStatus[[#This Row],[Actual Ship Date]]&lt;&gt;0,($E73-$D73)/7,0)</f>
        <v>5.2857142857142856</v>
      </c>
      <c r="H73" s="101"/>
      <c r="I73" s="101"/>
      <c r="J73" s="101">
        <v>1000</v>
      </c>
      <c r="K73" s="101">
        <v>1000</v>
      </c>
      <c r="L73" s="102">
        <v>42838</v>
      </c>
      <c r="M73" s="103">
        <v>4283.18</v>
      </c>
      <c r="N73" s="103">
        <v>490</v>
      </c>
      <c r="O73" s="103">
        <f t="shared" si="1"/>
        <v>40187.5</v>
      </c>
      <c r="P73" s="103">
        <f>RICavMilestoneVal+CavityStatus[[#This Row],[Incentive Earned]]+CavityStatus[[#This Row],[Recipe Modification (Mod 9)]]+N73</f>
        <v>45960.68</v>
      </c>
      <c r="Q73" s="102">
        <v>42846</v>
      </c>
    </row>
    <row r="74" spans="1:17" x14ac:dyDescent="0.2">
      <c r="A74" s="113">
        <v>71</v>
      </c>
      <c r="B74" s="98" t="s">
        <v>286</v>
      </c>
      <c r="C74" s="98" t="s">
        <v>368</v>
      </c>
      <c r="D74" s="100">
        <v>42788</v>
      </c>
      <c r="E74" s="100">
        <v>42825</v>
      </c>
      <c r="F74" s="99">
        <v>20</v>
      </c>
      <c r="G74" s="99">
        <f>IF(CavityStatus[[#This Row],[Actual Ship Date]]&lt;&gt;0,($E74-$D74)/7,0)</f>
        <v>5.2857142857142856</v>
      </c>
      <c r="H74" s="101"/>
      <c r="I74" s="101"/>
      <c r="J74" s="101">
        <v>1000</v>
      </c>
      <c r="K74" s="101">
        <v>1000</v>
      </c>
      <c r="L74" s="102">
        <v>42838</v>
      </c>
      <c r="M74" s="103">
        <v>4283.18</v>
      </c>
      <c r="N74" s="103">
        <v>490</v>
      </c>
      <c r="O74" s="103">
        <f t="shared" si="1"/>
        <v>40187.5</v>
      </c>
      <c r="P74" s="103">
        <f>RICavMilestoneVal+CavityStatus[[#This Row],[Incentive Earned]]+CavityStatus[[#This Row],[Recipe Modification (Mod 9)]]+N74</f>
        <v>45960.68</v>
      </c>
      <c r="Q74" s="102">
        <v>42846</v>
      </c>
    </row>
    <row r="75" spans="1:17" x14ac:dyDescent="0.2">
      <c r="A75" s="113">
        <v>72</v>
      </c>
      <c r="B75" s="98" t="s">
        <v>288</v>
      </c>
      <c r="C75" s="98" t="s">
        <v>368</v>
      </c>
      <c r="D75" s="100">
        <v>42788</v>
      </c>
      <c r="E75" s="100">
        <v>42825</v>
      </c>
      <c r="F75" s="99">
        <v>20</v>
      </c>
      <c r="G75" s="99">
        <f>IF(CavityStatus[[#This Row],[Actual Ship Date]]&lt;&gt;0,($E75-$D75)/7,0)</f>
        <v>5.2857142857142856</v>
      </c>
      <c r="H75" s="101"/>
      <c r="I75" s="101"/>
      <c r="J75" s="101">
        <v>1000</v>
      </c>
      <c r="K75" s="101">
        <v>1000</v>
      </c>
      <c r="L75" s="102">
        <v>42838</v>
      </c>
      <c r="M75" s="103">
        <v>4283.18</v>
      </c>
      <c r="N75" s="103">
        <v>490</v>
      </c>
      <c r="O75" s="103">
        <f t="shared" si="1"/>
        <v>40187.5</v>
      </c>
      <c r="P75" s="103">
        <f>RICavMilestoneVal+CavityStatus[[#This Row],[Incentive Earned]]+CavityStatus[[#This Row],[Recipe Modification (Mod 9)]]+N75</f>
        <v>45960.68</v>
      </c>
      <c r="Q75" s="102">
        <v>42846</v>
      </c>
    </row>
    <row r="76" spans="1:17" x14ac:dyDescent="0.2">
      <c r="A76" s="113">
        <v>73</v>
      </c>
      <c r="B76" s="98" t="s">
        <v>289</v>
      </c>
      <c r="C76" s="98" t="s">
        <v>368</v>
      </c>
      <c r="D76" s="100">
        <v>42788</v>
      </c>
      <c r="E76" s="100">
        <v>42825</v>
      </c>
      <c r="F76" s="99">
        <v>20</v>
      </c>
      <c r="G76" s="99">
        <f>IF(CavityStatus[[#This Row],[Actual Ship Date]]&lt;&gt;0,($E76-$D76)/7,0)</f>
        <v>5.2857142857142856</v>
      </c>
      <c r="H76" s="101"/>
      <c r="I76" s="101"/>
      <c r="J76" s="101">
        <v>1000</v>
      </c>
      <c r="K76" s="101">
        <v>1000</v>
      </c>
      <c r="L76" s="102">
        <v>42838</v>
      </c>
      <c r="M76" s="103">
        <v>4283.18</v>
      </c>
      <c r="N76" s="103">
        <v>490</v>
      </c>
      <c r="O76" s="103">
        <f t="shared" si="1"/>
        <v>40187.5</v>
      </c>
      <c r="P76" s="103">
        <f>RICavMilestoneVal+CavityStatus[[#This Row],[Incentive Earned]]+CavityStatus[[#This Row],[Recipe Modification (Mod 9)]]+N76</f>
        <v>45960.68</v>
      </c>
      <c r="Q76" s="102">
        <v>42846</v>
      </c>
    </row>
    <row r="77" spans="1:17" x14ac:dyDescent="0.2">
      <c r="A77" s="113">
        <v>74</v>
      </c>
      <c r="B77" s="98" t="s">
        <v>287</v>
      </c>
      <c r="C77" s="98" t="s">
        <v>368</v>
      </c>
      <c r="D77" s="100">
        <v>42788</v>
      </c>
      <c r="E77" s="100">
        <v>42843</v>
      </c>
      <c r="F77" s="99">
        <v>21</v>
      </c>
      <c r="G77" s="99">
        <f>IF(CavityStatus[[#This Row],[Actual Ship Date]]&lt;&gt;0,($E77-$D77)/7,0)</f>
        <v>7.8571428571428568</v>
      </c>
      <c r="H77" s="101"/>
      <c r="I77" s="101"/>
      <c r="J77" s="101">
        <v>1000</v>
      </c>
      <c r="K77" s="101">
        <v>1000</v>
      </c>
      <c r="L77" s="102">
        <v>42880</v>
      </c>
      <c r="M77" s="103">
        <v>4283.18</v>
      </c>
      <c r="N77" s="103">
        <v>490</v>
      </c>
      <c r="O77" s="103">
        <f t="shared" si="1"/>
        <v>40187.5</v>
      </c>
      <c r="P77" s="103">
        <f>RICavMilestoneVal+CavityStatus[[#This Row],[Incentive Earned]]+CavityStatus[[#This Row],[Recipe Modification (Mod 9)]]+N77</f>
        <v>45960.68</v>
      </c>
      <c r="Q77" s="102">
        <v>42878</v>
      </c>
    </row>
    <row r="78" spans="1:17" x14ac:dyDescent="0.2">
      <c r="A78" s="113">
        <v>75</v>
      </c>
      <c r="B78" s="98" t="s">
        <v>291</v>
      </c>
      <c r="C78" s="98" t="s">
        <v>368</v>
      </c>
      <c r="D78" s="100">
        <v>42788</v>
      </c>
      <c r="E78" s="100">
        <v>42843</v>
      </c>
      <c r="F78" s="99">
        <v>21</v>
      </c>
      <c r="G78" s="99">
        <f>IF(CavityStatus[[#This Row],[Actual Ship Date]]&lt;&gt;0,($E78-$D78)/7,0)</f>
        <v>7.8571428571428568</v>
      </c>
      <c r="H78" s="101"/>
      <c r="I78" s="101"/>
      <c r="J78" s="101">
        <v>1000</v>
      </c>
      <c r="K78" s="101">
        <v>1000</v>
      </c>
      <c r="L78" s="102">
        <v>42880</v>
      </c>
      <c r="M78" s="103">
        <v>4283.18</v>
      </c>
      <c r="N78" s="103">
        <v>490</v>
      </c>
      <c r="O78" s="103">
        <f t="shared" si="1"/>
        <v>40187.5</v>
      </c>
      <c r="P78" s="103">
        <f>RICavMilestoneVal+CavityStatus[[#This Row],[Incentive Earned]]+CavityStatus[[#This Row],[Recipe Modification (Mod 9)]]+N78</f>
        <v>45960.68</v>
      </c>
      <c r="Q78" s="102">
        <v>42878</v>
      </c>
    </row>
    <row r="79" spans="1:17" x14ac:dyDescent="0.2">
      <c r="A79" s="113">
        <v>76</v>
      </c>
      <c r="B79" s="98" t="s">
        <v>292</v>
      </c>
      <c r="C79" s="98" t="s">
        <v>368</v>
      </c>
      <c r="D79" s="100">
        <v>42788</v>
      </c>
      <c r="E79" s="100">
        <v>42843</v>
      </c>
      <c r="F79" s="99">
        <v>21</v>
      </c>
      <c r="G79" s="99">
        <f>IF(CavityStatus[[#This Row],[Actual Ship Date]]&lt;&gt;0,($E79-$D79)/7,0)</f>
        <v>7.8571428571428568</v>
      </c>
      <c r="H79" s="101"/>
      <c r="I79" s="101"/>
      <c r="J79" s="101">
        <v>1000</v>
      </c>
      <c r="K79" s="101">
        <v>1000</v>
      </c>
      <c r="L79" s="102">
        <v>42880</v>
      </c>
      <c r="M79" s="103">
        <v>4283.18</v>
      </c>
      <c r="N79" s="103">
        <v>490</v>
      </c>
      <c r="O79" s="103">
        <f t="shared" si="1"/>
        <v>40187.5</v>
      </c>
      <c r="P79" s="103">
        <f>RICavMilestoneVal+CavityStatus[[#This Row],[Incentive Earned]]+CavityStatus[[#This Row],[Recipe Modification (Mod 9)]]+N79</f>
        <v>45960.68</v>
      </c>
      <c r="Q79" s="102">
        <v>42878</v>
      </c>
    </row>
    <row r="80" spans="1:17" x14ac:dyDescent="0.2">
      <c r="A80" s="113">
        <v>77</v>
      </c>
      <c r="B80" s="98" t="s">
        <v>263</v>
      </c>
      <c r="C80" s="98" t="s">
        <v>368</v>
      </c>
      <c r="D80" s="100">
        <v>42816</v>
      </c>
      <c r="E80" s="100">
        <v>42853</v>
      </c>
      <c r="F80" s="99">
        <v>22</v>
      </c>
      <c r="G80" s="99">
        <f>IF(CavityStatus[[#This Row],[Actual Ship Date]]&lt;&gt;0,($E80-$D80)/7,0)</f>
        <v>5.2857142857142856</v>
      </c>
      <c r="H80" s="101"/>
      <c r="I80" s="101"/>
      <c r="J80" s="101">
        <v>1000</v>
      </c>
      <c r="K80" s="101">
        <v>1000</v>
      </c>
      <c r="L80" s="102">
        <v>42860</v>
      </c>
      <c r="M80" s="103">
        <v>4283.18</v>
      </c>
      <c r="N80" s="103">
        <v>490</v>
      </c>
      <c r="O80" s="103">
        <f t="shared" si="1"/>
        <v>40187.5</v>
      </c>
      <c r="P80" s="103">
        <f>RICavMilestoneVal+CavityStatus[[#This Row],[Incentive Earned]]+CavityStatus[[#This Row],[Recipe Modification (Mod 9)]]+N80</f>
        <v>45960.68</v>
      </c>
      <c r="Q80" s="102">
        <v>42878</v>
      </c>
    </row>
    <row r="81" spans="1:17" x14ac:dyDescent="0.2">
      <c r="A81" s="113">
        <v>78</v>
      </c>
      <c r="B81" s="98" t="s">
        <v>267</v>
      </c>
      <c r="C81" s="98" t="s">
        <v>368</v>
      </c>
      <c r="D81" s="100">
        <v>42816</v>
      </c>
      <c r="E81" s="100">
        <v>42853</v>
      </c>
      <c r="F81" s="99">
        <v>22</v>
      </c>
      <c r="G81" s="99">
        <f>IF(CavityStatus[[#This Row],[Actual Ship Date]]&lt;&gt;0,($E81-$D81)/7,0)</f>
        <v>5.2857142857142856</v>
      </c>
      <c r="H81" s="101"/>
      <c r="I81" s="101"/>
      <c r="J81" s="101">
        <v>1000</v>
      </c>
      <c r="K81" s="101">
        <v>1000</v>
      </c>
      <c r="L81" s="102">
        <v>42860</v>
      </c>
      <c r="M81" s="103">
        <v>4283.18</v>
      </c>
      <c r="N81" s="103">
        <v>490</v>
      </c>
      <c r="O81" s="103">
        <f t="shared" si="1"/>
        <v>40187.5</v>
      </c>
      <c r="P81" s="103">
        <f>RICavMilestoneVal+CavityStatus[[#This Row],[Incentive Earned]]+CavityStatus[[#This Row],[Recipe Modification (Mod 9)]]+N81</f>
        <v>45960.68</v>
      </c>
      <c r="Q81" s="102">
        <v>42878</v>
      </c>
    </row>
    <row r="82" spans="1:17" x14ac:dyDescent="0.2">
      <c r="A82" s="113">
        <v>79</v>
      </c>
      <c r="B82" s="98" t="s">
        <v>268</v>
      </c>
      <c r="C82" s="98" t="s">
        <v>368</v>
      </c>
      <c r="D82" s="100">
        <v>42816</v>
      </c>
      <c r="E82" s="100">
        <v>42853</v>
      </c>
      <c r="F82" s="99">
        <v>22</v>
      </c>
      <c r="G82" s="99">
        <f>IF(CavityStatus[[#This Row],[Actual Ship Date]]&lt;&gt;0,($E82-$D82)/7,0)</f>
        <v>5.2857142857142856</v>
      </c>
      <c r="H82" s="101"/>
      <c r="I82" s="101"/>
      <c r="J82" s="101">
        <v>1000</v>
      </c>
      <c r="K82" s="101">
        <v>1000</v>
      </c>
      <c r="L82" s="102">
        <v>42860</v>
      </c>
      <c r="M82" s="103">
        <v>4283.18</v>
      </c>
      <c r="N82" s="103">
        <v>490</v>
      </c>
      <c r="O82" s="103">
        <f t="shared" si="1"/>
        <v>40187.5</v>
      </c>
      <c r="P82" s="103">
        <f>RICavMilestoneVal+CavityStatus[[#This Row],[Incentive Earned]]+CavityStatus[[#This Row],[Recipe Modification (Mod 9)]]+N82</f>
        <v>45960.68</v>
      </c>
      <c r="Q82" s="102">
        <v>42878</v>
      </c>
    </row>
    <row r="83" spans="1:17" x14ac:dyDescent="0.2">
      <c r="A83" s="113">
        <v>80</v>
      </c>
      <c r="B83" s="98" t="s">
        <v>269</v>
      </c>
      <c r="C83" s="98" t="s">
        <v>368</v>
      </c>
      <c r="D83" s="100">
        <v>42816</v>
      </c>
      <c r="E83" s="100">
        <v>42853</v>
      </c>
      <c r="F83" s="99">
        <v>22</v>
      </c>
      <c r="G83" s="99">
        <f>IF(CavityStatus[[#This Row],[Actual Ship Date]]&lt;&gt;0,($E83-$D83)/7,0)</f>
        <v>5.2857142857142856</v>
      </c>
      <c r="H83" s="101"/>
      <c r="I83" s="101"/>
      <c r="J83" s="101">
        <v>1000</v>
      </c>
      <c r="K83" s="101">
        <v>1000</v>
      </c>
      <c r="L83" s="102">
        <v>42860</v>
      </c>
      <c r="M83" s="103">
        <v>4283.18</v>
      </c>
      <c r="N83" s="103">
        <v>490</v>
      </c>
      <c r="O83" s="103">
        <f t="shared" si="1"/>
        <v>40187.5</v>
      </c>
      <c r="P83" s="103">
        <f>RICavMilestoneVal+CavityStatus[[#This Row],[Incentive Earned]]+CavityStatus[[#This Row],[Recipe Modification (Mod 9)]]+N83</f>
        <v>45960.68</v>
      </c>
      <c r="Q83" s="102">
        <v>42878</v>
      </c>
    </row>
    <row r="84" spans="1:17" x14ac:dyDescent="0.2">
      <c r="A84" s="113">
        <v>81</v>
      </c>
      <c r="B84" s="98" t="s">
        <v>259</v>
      </c>
      <c r="C84" s="98" t="s">
        <v>368</v>
      </c>
      <c r="D84" s="100">
        <v>42816</v>
      </c>
      <c r="E84" s="100">
        <v>42865</v>
      </c>
      <c r="F84" s="99">
        <v>23</v>
      </c>
      <c r="G84" s="99">
        <f>IF(CavityStatus[[#This Row],[Actual Ship Date]]&lt;&gt;0,($E84-$D84)/7,0)</f>
        <v>7</v>
      </c>
      <c r="H84" s="101"/>
      <c r="I84" s="101"/>
      <c r="J84" s="101">
        <v>1000</v>
      </c>
      <c r="K84" s="101">
        <v>1000</v>
      </c>
      <c r="L84" s="102">
        <v>42872</v>
      </c>
      <c r="M84" s="103">
        <v>4283.18</v>
      </c>
      <c r="N84" s="103">
        <v>490</v>
      </c>
      <c r="O84" s="103">
        <f t="shared" si="1"/>
        <v>40187.5</v>
      </c>
      <c r="P84" s="103">
        <f>RICavMilestoneVal+CavityStatus[[#This Row],[Incentive Earned]]+CavityStatus[[#This Row],[Recipe Modification (Mod 9)]]+N84</f>
        <v>45960.68</v>
      </c>
      <c r="Q84" s="102">
        <v>42878</v>
      </c>
    </row>
    <row r="85" spans="1:17" x14ac:dyDescent="0.2">
      <c r="A85" s="113">
        <v>82</v>
      </c>
      <c r="B85" s="98" t="s">
        <v>262</v>
      </c>
      <c r="C85" s="98" t="s">
        <v>368</v>
      </c>
      <c r="D85" s="100">
        <v>42816</v>
      </c>
      <c r="E85" s="100">
        <v>42865</v>
      </c>
      <c r="F85" s="99">
        <v>23</v>
      </c>
      <c r="G85" s="99">
        <f>IF(CavityStatus[[#This Row],[Actual Ship Date]]&lt;&gt;0,($E85-$D85)/7,0)</f>
        <v>7</v>
      </c>
      <c r="H85" s="101"/>
      <c r="I85" s="101"/>
      <c r="J85" s="101">
        <v>1000</v>
      </c>
      <c r="K85" s="101">
        <v>1000</v>
      </c>
      <c r="L85" s="102">
        <v>42872</v>
      </c>
      <c r="M85" s="103">
        <v>4283.18</v>
      </c>
      <c r="N85" s="103">
        <v>490</v>
      </c>
      <c r="O85" s="103">
        <f t="shared" si="1"/>
        <v>40187.5</v>
      </c>
      <c r="P85" s="103">
        <f>RICavMilestoneVal+CavityStatus[[#This Row],[Incentive Earned]]+CavityStatus[[#This Row],[Recipe Modification (Mod 9)]]+N85</f>
        <v>45960.68</v>
      </c>
      <c r="Q85" s="102">
        <v>42878</v>
      </c>
    </row>
    <row r="86" spans="1:17" x14ac:dyDescent="0.2">
      <c r="A86" s="113">
        <v>83</v>
      </c>
      <c r="B86" s="98" t="s">
        <v>265</v>
      </c>
      <c r="C86" s="98" t="s">
        <v>368</v>
      </c>
      <c r="D86" s="100">
        <v>42816</v>
      </c>
      <c r="E86" s="100">
        <v>42865</v>
      </c>
      <c r="F86" s="99">
        <v>23</v>
      </c>
      <c r="G86" s="99">
        <f>IF(CavityStatus[[#This Row],[Actual Ship Date]]&lt;&gt;0,($E86-$D86)/7,0)</f>
        <v>7</v>
      </c>
      <c r="H86" s="101"/>
      <c r="I86" s="101"/>
      <c r="J86" s="101">
        <v>1000</v>
      </c>
      <c r="K86" s="101">
        <v>1000</v>
      </c>
      <c r="L86" s="102">
        <v>42872</v>
      </c>
      <c r="M86" s="103">
        <v>4283.18</v>
      </c>
      <c r="N86" s="103">
        <v>490</v>
      </c>
      <c r="O86" s="103">
        <f t="shared" si="1"/>
        <v>40187.5</v>
      </c>
      <c r="P86" s="103">
        <f>RICavMilestoneVal+CavityStatus[[#This Row],[Incentive Earned]]+CavityStatus[[#This Row],[Recipe Modification (Mod 9)]]+N86</f>
        <v>45960.68</v>
      </c>
      <c r="Q86" s="102">
        <v>42878</v>
      </c>
    </row>
    <row r="87" spans="1:17" x14ac:dyDescent="0.2">
      <c r="A87" s="113">
        <v>84</v>
      </c>
      <c r="B87" s="98" t="s">
        <v>266</v>
      </c>
      <c r="C87" s="98" t="s">
        <v>368</v>
      </c>
      <c r="D87" s="100">
        <v>42816</v>
      </c>
      <c r="E87" s="100">
        <v>42865</v>
      </c>
      <c r="F87" s="99">
        <v>23</v>
      </c>
      <c r="G87" s="99">
        <f>IF(CavityStatus[[#This Row],[Actual Ship Date]]&lt;&gt;0,($E87-$D87)/7,0)</f>
        <v>7</v>
      </c>
      <c r="H87" s="101"/>
      <c r="I87" s="101"/>
      <c r="J87" s="101">
        <v>1000</v>
      </c>
      <c r="K87" s="101">
        <v>1000</v>
      </c>
      <c r="L87" s="102">
        <v>42872</v>
      </c>
      <c r="M87" s="103">
        <v>4283.18</v>
      </c>
      <c r="N87" s="103">
        <v>490</v>
      </c>
      <c r="O87" s="103">
        <f t="shared" si="1"/>
        <v>40187.5</v>
      </c>
      <c r="P87" s="103">
        <f>RICavMilestoneVal+CavityStatus[[#This Row],[Incentive Earned]]+CavityStatus[[#This Row],[Recipe Modification (Mod 9)]]+N87</f>
        <v>45960.68</v>
      </c>
      <c r="Q87" s="102">
        <v>42878</v>
      </c>
    </row>
    <row r="88" spans="1:17" x14ac:dyDescent="0.2">
      <c r="A88" s="113">
        <v>85</v>
      </c>
      <c r="B88" s="98" t="s">
        <v>264</v>
      </c>
      <c r="C88" s="98" t="s">
        <v>368</v>
      </c>
      <c r="D88" s="100">
        <v>42816</v>
      </c>
      <c r="E88" s="100">
        <v>42870</v>
      </c>
      <c r="F88" s="99">
        <v>24</v>
      </c>
      <c r="G88" s="99">
        <f>IF(CavityStatus[[#This Row],[Actual Ship Date]]&lt;&gt;0,($E88-$D88)/7,0)</f>
        <v>7.7142857142857144</v>
      </c>
      <c r="H88" s="101"/>
      <c r="I88" s="101"/>
      <c r="J88" s="101">
        <v>1000</v>
      </c>
      <c r="K88" s="101">
        <v>1000</v>
      </c>
      <c r="L88" s="102">
        <v>42877</v>
      </c>
      <c r="M88" s="103">
        <v>4283.18</v>
      </c>
      <c r="N88" s="103">
        <v>490</v>
      </c>
      <c r="O88" s="103">
        <f t="shared" si="1"/>
        <v>40187.5</v>
      </c>
      <c r="P88" s="103">
        <f>RICavMilestoneVal+CavityStatus[[#This Row],[Incentive Earned]]+CavityStatus[[#This Row],[Recipe Modification (Mod 9)]]+N88</f>
        <v>45960.68</v>
      </c>
      <c r="Q88" s="102">
        <v>42916</v>
      </c>
    </row>
    <row r="89" spans="1:17" x14ac:dyDescent="0.2">
      <c r="A89" s="113">
        <v>86</v>
      </c>
      <c r="B89" s="98" t="s">
        <v>297</v>
      </c>
      <c r="C89" s="98" t="s">
        <v>368</v>
      </c>
      <c r="D89" s="100">
        <v>42816</v>
      </c>
      <c r="E89" s="100">
        <v>42870</v>
      </c>
      <c r="F89" s="99">
        <v>24</v>
      </c>
      <c r="G89" s="99">
        <f>IF(CavityStatus[[#This Row],[Actual Ship Date]]&lt;&gt;0,($E89-$D89)/7,0)</f>
        <v>7.7142857142857144</v>
      </c>
      <c r="H89" s="101"/>
      <c r="I89" s="101"/>
      <c r="J89" s="101">
        <v>1000</v>
      </c>
      <c r="K89" s="101">
        <v>1000</v>
      </c>
      <c r="L89" s="102">
        <v>42877</v>
      </c>
      <c r="M89" s="103">
        <v>4283.18</v>
      </c>
      <c r="N89" s="103">
        <v>490</v>
      </c>
      <c r="O89" s="103">
        <f t="shared" si="1"/>
        <v>40187.5</v>
      </c>
      <c r="P89" s="103">
        <f>RICavMilestoneVal+CavityStatus[[#This Row],[Incentive Earned]]+CavityStatus[[#This Row],[Recipe Modification (Mod 9)]]+N89</f>
        <v>45960.68</v>
      </c>
      <c r="Q89" s="102">
        <v>42916</v>
      </c>
    </row>
    <row r="90" spans="1:17" x14ac:dyDescent="0.2">
      <c r="A90" s="113">
        <v>87</v>
      </c>
      <c r="B90" s="98" t="s">
        <v>299</v>
      </c>
      <c r="C90" s="98" t="s">
        <v>368</v>
      </c>
      <c r="D90" s="100">
        <v>42816</v>
      </c>
      <c r="E90" s="100">
        <v>42870</v>
      </c>
      <c r="F90" s="99">
        <v>24</v>
      </c>
      <c r="G90" s="99">
        <f>IF(CavityStatus[[#This Row],[Actual Ship Date]]&lt;&gt;0,($E90-$D90)/7,0)</f>
        <v>7.7142857142857144</v>
      </c>
      <c r="H90" s="101"/>
      <c r="I90" s="101"/>
      <c r="J90" s="101">
        <v>1000</v>
      </c>
      <c r="K90" s="101">
        <v>1000</v>
      </c>
      <c r="L90" s="102">
        <v>42877</v>
      </c>
      <c r="M90" s="103">
        <v>4283.18</v>
      </c>
      <c r="N90" s="103">
        <v>490</v>
      </c>
      <c r="O90" s="103">
        <f t="shared" si="1"/>
        <v>40187.5</v>
      </c>
      <c r="P90" s="103">
        <f>RICavMilestoneVal+CavityStatus[[#This Row],[Incentive Earned]]+CavityStatus[[#This Row],[Recipe Modification (Mod 9)]]+N90</f>
        <v>45960.68</v>
      </c>
      <c r="Q90" s="102">
        <v>42916</v>
      </c>
    </row>
    <row r="91" spans="1:17" x14ac:dyDescent="0.2">
      <c r="A91" s="113">
        <v>88</v>
      </c>
      <c r="B91" s="98" t="s">
        <v>304</v>
      </c>
      <c r="C91" s="98" t="s">
        <v>368</v>
      </c>
      <c r="D91" s="100">
        <v>42816</v>
      </c>
      <c r="E91" s="100">
        <v>42870</v>
      </c>
      <c r="F91" s="99">
        <v>24</v>
      </c>
      <c r="G91" s="99">
        <f>IF(CavityStatus[[#This Row],[Actual Ship Date]]&lt;&gt;0,($E91-$D91)/7,0)</f>
        <v>7.7142857142857144</v>
      </c>
      <c r="H91" s="101"/>
      <c r="I91" s="101"/>
      <c r="J91" s="101">
        <v>1000</v>
      </c>
      <c r="K91" s="101">
        <v>1000</v>
      </c>
      <c r="L91" s="102">
        <v>42877</v>
      </c>
      <c r="M91" s="103">
        <v>4283.18</v>
      </c>
      <c r="N91" s="103">
        <v>490</v>
      </c>
      <c r="O91" s="103">
        <f t="shared" si="1"/>
        <v>40187.5</v>
      </c>
      <c r="P91" s="103">
        <f>RICavMilestoneVal+CavityStatus[[#This Row],[Incentive Earned]]+CavityStatus[[#This Row],[Recipe Modification (Mod 9)]]+N91</f>
        <v>45960.68</v>
      </c>
      <c r="Q91" s="102">
        <v>42916</v>
      </c>
    </row>
    <row r="92" spans="1:17" x14ac:dyDescent="0.2">
      <c r="A92" s="113">
        <v>89</v>
      </c>
      <c r="B92" s="98" t="s">
        <v>290</v>
      </c>
      <c r="C92" s="98" t="s">
        <v>368</v>
      </c>
      <c r="D92" s="100">
        <v>42844</v>
      </c>
      <c r="E92" s="100">
        <v>42877</v>
      </c>
      <c r="F92" s="99">
        <v>25</v>
      </c>
      <c r="G92" s="99">
        <f>IF(CavityStatus[[#This Row],[Actual Ship Date]]&lt;&gt;0,($E92-$D92)/7,0)</f>
        <v>4.7142857142857144</v>
      </c>
      <c r="H92" s="101"/>
      <c r="I92" s="101"/>
      <c r="J92" s="101">
        <v>1000</v>
      </c>
      <c r="K92" s="101">
        <v>1000</v>
      </c>
      <c r="L92" s="102">
        <v>42885</v>
      </c>
      <c r="M92" s="103">
        <v>4283.18</v>
      </c>
      <c r="N92" s="103">
        <v>490</v>
      </c>
      <c r="O92" s="103">
        <f t="shared" si="1"/>
        <v>40187.5</v>
      </c>
      <c r="P92" s="103">
        <f>RICavMilestoneVal+CavityStatus[[#This Row],[Incentive Earned]]+CavityStatus[[#This Row],[Recipe Modification (Mod 9)]]+N92</f>
        <v>45960.68</v>
      </c>
      <c r="Q92" s="102">
        <v>42916</v>
      </c>
    </row>
    <row r="93" spans="1:17" x14ac:dyDescent="0.2">
      <c r="A93" s="113">
        <v>90</v>
      </c>
      <c r="B93" s="98" t="s">
        <v>298</v>
      </c>
      <c r="C93" s="98" t="s">
        <v>368</v>
      </c>
      <c r="D93" s="100">
        <v>42844</v>
      </c>
      <c r="E93" s="100">
        <v>42877</v>
      </c>
      <c r="F93" s="99">
        <v>25</v>
      </c>
      <c r="G93" s="99">
        <f>IF(CavityStatus[[#This Row],[Actual Ship Date]]&lt;&gt;0,($E93-$D93)/7,0)</f>
        <v>4.7142857142857144</v>
      </c>
      <c r="H93" s="101"/>
      <c r="I93" s="101"/>
      <c r="J93" s="101">
        <v>1000</v>
      </c>
      <c r="K93" s="101">
        <v>1000</v>
      </c>
      <c r="L93" s="102">
        <v>42885</v>
      </c>
      <c r="M93" s="103">
        <v>4283.18</v>
      </c>
      <c r="N93" s="103">
        <v>490</v>
      </c>
      <c r="O93" s="103">
        <f t="shared" si="1"/>
        <v>40187.5</v>
      </c>
      <c r="P93" s="103">
        <f>RICavMilestoneVal+CavityStatus[[#This Row],[Incentive Earned]]+CavityStatus[[#This Row],[Recipe Modification (Mod 9)]]+N93</f>
        <v>45960.68</v>
      </c>
      <c r="Q93" s="102">
        <v>42916</v>
      </c>
    </row>
    <row r="94" spans="1:17" x14ac:dyDescent="0.2">
      <c r="A94" s="113">
        <v>91</v>
      </c>
      <c r="B94" s="98" t="s">
        <v>300</v>
      </c>
      <c r="C94" s="98" t="s">
        <v>368</v>
      </c>
      <c r="D94" s="100">
        <v>42844</v>
      </c>
      <c r="E94" s="100">
        <v>42877</v>
      </c>
      <c r="F94" s="99">
        <v>25</v>
      </c>
      <c r="G94" s="99">
        <f>IF(CavityStatus[[#This Row],[Actual Ship Date]]&lt;&gt;0,($E94-$D94)/7,0)</f>
        <v>4.7142857142857144</v>
      </c>
      <c r="H94" s="101"/>
      <c r="I94" s="101"/>
      <c r="J94" s="101">
        <v>1000</v>
      </c>
      <c r="K94" s="101">
        <v>1000</v>
      </c>
      <c r="L94" s="102">
        <v>42885</v>
      </c>
      <c r="M94" s="103">
        <v>4283.18</v>
      </c>
      <c r="N94" s="103">
        <v>490</v>
      </c>
      <c r="O94" s="103">
        <f t="shared" si="1"/>
        <v>40187.5</v>
      </c>
      <c r="P94" s="103">
        <f>RICavMilestoneVal+CavityStatus[[#This Row],[Incentive Earned]]+CavityStatus[[#This Row],[Recipe Modification (Mod 9)]]+N94</f>
        <v>45960.68</v>
      </c>
      <c r="Q94" s="102">
        <v>42916</v>
      </c>
    </row>
    <row r="95" spans="1:17" x14ac:dyDescent="0.2">
      <c r="A95" s="113">
        <v>92</v>
      </c>
      <c r="B95" s="98" t="s">
        <v>310</v>
      </c>
      <c r="C95" s="98" t="s">
        <v>368</v>
      </c>
      <c r="D95" s="100">
        <v>42872</v>
      </c>
      <c r="E95" s="100">
        <v>42877</v>
      </c>
      <c r="F95" s="99">
        <v>25</v>
      </c>
      <c r="G95" s="99">
        <f>IF(CavityStatus[[#This Row],[Actual Ship Date]]&lt;&gt;0,($E95-$D95)/7,0)</f>
        <v>0.7142857142857143</v>
      </c>
      <c r="H95" s="101"/>
      <c r="I95" s="101"/>
      <c r="J95" s="101">
        <v>1000</v>
      </c>
      <c r="K95" s="101">
        <v>1000</v>
      </c>
      <c r="L95" s="102">
        <v>42885</v>
      </c>
      <c r="M95" s="103">
        <v>4283.18</v>
      </c>
      <c r="N95" s="103">
        <v>490</v>
      </c>
      <c r="O95" s="103">
        <f t="shared" si="1"/>
        <v>40187.5</v>
      </c>
      <c r="P95" s="103">
        <f>RICavMilestoneVal+CavityStatus[[#This Row],[Incentive Earned]]+CavityStatus[[#This Row],[Recipe Modification (Mod 9)]]+N95</f>
        <v>45960.68</v>
      </c>
      <c r="Q95" s="102">
        <v>42916</v>
      </c>
    </row>
    <row r="96" spans="1:17" x14ac:dyDescent="0.2">
      <c r="A96" s="113">
        <v>93</v>
      </c>
      <c r="B96" s="98" t="s">
        <v>309</v>
      </c>
      <c r="C96" s="98" t="s">
        <v>368</v>
      </c>
      <c r="D96" s="100">
        <v>42872</v>
      </c>
      <c r="E96" s="100">
        <v>42888</v>
      </c>
      <c r="F96" s="99">
        <v>26</v>
      </c>
      <c r="G96" s="99">
        <f>IF(CavityStatus[[#This Row],[Actual Ship Date]]&lt;&gt;0,($E96-$D96)/7,0)</f>
        <v>2.2857142857142856</v>
      </c>
      <c r="H96" s="101"/>
      <c r="I96" s="101"/>
      <c r="J96" s="101">
        <v>1000</v>
      </c>
      <c r="K96" s="101">
        <v>1000</v>
      </c>
      <c r="L96" s="102">
        <v>42895</v>
      </c>
      <c r="M96" s="103">
        <v>4283.18</v>
      </c>
      <c r="N96" s="103">
        <v>490</v>
      </c>
      <c r="O96" s="103">
        <f t="shared" si="1"/>
        <v>40187.5</v>
      </c>
      <c r="P96" s="103">
        <f>RICavMilestoneVal+CavityStatus[[#This Row],[Incentive Earned]]+CavityStatus[[#This Row],[Recipe Modification (Mod 9)]]+N96</f>
        <v>45960.68</v>
      </c>
      <c r="Q96" s="102">
        <v>42916</v>
      </c>
    </row>
    <row r="97" spans="1:17" x14ac:dyDescent="0.2">
      <c r="A97" s="113">
        <v>94</v>
      </c>
      <c r="B97" s="98" t="s">
        <v>314</v>
      </c>
      <c r="C97" s="98" t="s">
        <v>368</v>
      </c>
      <c r="D97" s="100">
        <v>42872</v>
      </c>
      <c r="E97" s="100">
        <v>42888</v>
      </c>
      <c r="F97" s="99">
        <v>26</v>
      </c>
      <c r="G97" s="99">
        <f>IF(CavityStatus[[#This Row],[Actual Ship Date]]&lt;&gt;0,($E97-$D97)/7,0)</f>
        <v>2.2857142857142856</v>
      </c>
      <c r="H97" s="101"/>
      <c r="I97" s="101"/>
      <c r="J97" s="101">
        <v>1000</v>
      </c>
      <c r="K97" s="101">
        <v>1000</v>
      </c>
      <c r="L97" s="102">
        <v>42895</v>
      </c>
      <c r="M97" s="103">
        <v>4283.18</v>
      </c>
      <c r="N97" s="103">
        <v>490</v>
      </c>
      <c r="O97" s="103">
        <f t="shared" si="1"/>
        <v>40187.5</v>
      </c>
      <c r="P97" s="103">
        <f>RICavMilestoneVal+CavityStatus[[#This Row],[Incentive Earned]]+CavityStatus[[#This Row],[Recipe Modification (Mod 9)]]+N97</f>
        <v>45960.68</v>
      </c>
      <c r="Q97" s="102">
        <v>42916</v>
      </c>
    </row>
    <row r="98" spans="1:17" x14ac:dyDescent="0.2">
      <c r="A98" s="113">
        <v>95</v>
      </c>
      <c r="B98" s="98" t="s">
        <v>316</v>
      </c>
      <c r="C98" s="98" t="s">
        <v>368</v>
      </c>
      <c r="D98" s="100">
        <v>42872</v>
      </c>
      <c r="E98" s="100">
        <v>42888</v>
      </c>
      <c r="F98" s="99">
        <v>26</v>
      </c>
      <c r="G98" s="99">
        <f>IF(CavityStatus[[#This Row],[Actual Ship Date]]&lt;&gt;0,($E98-$D98)/7,0)</f>
        <v>2.2857142857142856</v>
      </c>
      <c r="H98" s="101"/>
      <c r="I98" s="101"/>
      <c r="J98" s="101">
        <v>1000</v>
      </c>
      <c r="K98" s="101">
        <v>1000</v>
      </c>
      <c r="L98" s="102">
        <v>42895</v>
      </c>
      <c r="M98" s="103">
        <v>4283.18</v>
      </c>
      <c r="N98" s="103">
        <v>490</v>
      </c>
      <c r="O98" s="103">
        <f t="shared" si="1"/>
        <v>40187.5</v>
      </c>
      <c r="P98" s="103">
        <f>RICavMilestoneVal+CavityStatus[[#This Row],[Incentive Earned]]+CavityStatus[[#This Row],[Recipe Modification (Mod 9)]]+N98</f>
        <v>45960.68</v>
      </c>
      <c r="Q98" s="102">
        <v>42916</v>
      </c>
    </row>
    <row r="99" spans="1:17" x14ac:dyDescent="0.2">
      <c r="A99" s="113">
        <v>96</v>
      </c>
      <c r="B99" s="98" t="s">
        <v>317</v>
      </c>
      <c r="C99" s="98" t="s">
        <v>368</v>
      </c>
      <c r="D99" s="100">
        <v>42872</v>
      </c>
      <c r="E99" s="100">
        <v>42888</v>
      </c>
      <c r="F99" s="99">
        <v>26</v>
      </c>
      <c r="G99" s="99">
        <f>IF(CavityStatus[[#This Row],[Actual Ship Date]]&lt;&gt;0,($E99-$D99)/7,0)</f>
        <v>2.2857142857142856</v>
      </c>
      <c r="H99" s="101"/>
      <c r="I99" s="101"/>
      <c r="J99" s="101">
        <v>1000</v>
      </c>
      <c r="K99" s="101">
        <v>1000</v>
      </c>
      <c r="L99" s="102">
        <v>42895</v>
      </c>
      <c r="M99" s="103">
        <v>4283.18</v>
      </c>
      <c r="N99" s="103">
        <v>490</v>
      </c>
      <c r="O99" s="103">
        <f t="shared" si="1"/>
        <v>40187.5</v>
      </c>
      <c r="P99" s="103">
        <f>RICavMilestoneVal+CavityStatus[[#This Row],[Incentive Earned]]+CavityStatus[[#This Row],[Recipe Modification (Mod 9)]]+N99</f>
        <v>45960.68</v>
      </c>
      <c r="Q99" s="102">
        <v>42916</v>
      </c>
    </row>
    <row r="100" spans="1:17" x14ac:dyDescent="0.2">
      <c r="A100" s="113">
        <v>97</v>
      </c>
      <c r="B100" s="98" t="s">
        <v>293</v>
      </c>
      <c r="C100" s="98" t="s">
        <v>368</v>
      </c>
      <c r="D100" s="100">
        <v>42844</v>
      </c>
      <c r="E100" s="100">
        <v>42895</v>
      </c>
      <c r="F100" s="99">
        <v>27</v>
      </c>
      <c r="G100" s="99">
        <f>IF(CavityStatus[[#This Row],[Actual Ship Date]]&lt;&gt;0,($E100-$D100)/7,0)</f>
        <v>7.2857142857142856</v>
      </c>
      <c r="H100" s="101"/>
      <c r="I100" s="101"/>
      <c r="J100" s="101">
        <v>1000</v>
      </c>
      <c r="K100" s="101">
        <v>1000</v>
      </c>
      <c r="L100" s="102">
        <v>42901</v>
      </c>
      <c r="M100" s="103">
        <v>4283.18</v>
      </c>
      <c r="N100" s="103">
        <v>490</v>
      </c>
      <c r="O100" s="103">
        <f t="shared" si="1"/>
        <v>40187.5</v>
      </c>
      <c r="P100" s="103">
        <f>RICavMilestoneVal+CavityStatus[[#This Row],[Incentive Earned]]+CavityStatus[[#This Row],[Recipe Modification (Mod 9)]]+N100</f>
        <v>45960.68</v>
      </c>
      <c r="Q100" s="102">
        <v>42916</v>
      </c>
    </row>
    <row r="101" spans="1:17" x14ac:dyDescent="0.2">
      <c r="A101" s="113">
        <v>98</v>
      </c>
      <c r="B101" s="98" t="s">
        <v>294</v>
      </c>
      <c r="C101" s="98" t="s">
        <v>368</v>
      </c>
      <c r="D101" s="100">
        <v>42844</v>
      </c>
      <c r="E101" s="100">
        <v>42895</v>
      </c>
      <c r="F101" s="99">
        <v>27</v>
      </c>
      <c r="G101" s="99">
        <f>IF(CavityStatus[[#This Row],[Actual Ship Date]]&lt;&gt;0,($E101-$D101)/7,0)</f>
        <v>7.2857142857142856</v>
      </c>
      <c r="H101" s="101"/>
      <c r="I101" s="101"/>
      <c r="J101" s="101">
        <v>1000</v>
      </c>
      <c r="K101" s="101">
        <v>1000</v>
      </c>
      <c r="L101" s="102">
        <v>42901</v>
      </c>
      <c r="M101" s="103">
        <v>4283.18</v>
      </c>
      <c r="N101" s="103">
        <v>490</v>
      </c>
      <c r="O101" s="103">
        <f t="shared" si="1"/>
        <v>40187.5</v>
      </c>
      <c r="P101" s="103">
        <f>RICavMilestoneVal+CavityStatus[[#This Row],[Incentive Earned]]+CavityStatus[[#This Row],[Recipe Modification (Mod 9)]]+N101</f>
        <v>45960.68</v>
      </c>
      <c r="Q101" s="102">
        <v>42916</v>
      </c>
    </row>
    <row r="102" spans="1:17" x14ac:dyDescent="0.2">
      <c r="A102" s="113">
        <v>99</v>
      </c>
      <c r="B102" s="98" t="s">
        <v>295</v>
      </c>
      <c r="C102" s="98" t="s">
        <v>368</v>
      </c>
      <c r="D102" s="100">
        <v>42844</v>
      </c>
      <c r="E102" s="100">
        <v>42895</v>
      </c>
      <c r="F102" s="99">
        <v>27</v>
      </c>
      <c r="G102" s="99">
        <f>IF(CavityStatus[[#This Row],[Actual Ship Date]]&lt;&gt;0,($E102-$D102)/7,0)</f>
        <v>7.2857142857142856</v>
      </c>
      <c r="H102" s="101"/>
      <c r="I102" s="101"/>
      <c r="J102" s="101">
        <v>1000</v>
      </c>
      <c r="K102" s="101">
        <v>1000</v>
      </c>
      <c r="L102" s="102">
        <v>42901</v>
      </c>
      <c r="M102" s="103">
        <v>4283.18</v>
      </c>
      <c r="N102" s="103">
        <v>490</v>
      </c>
      <c r="O102" s="103">
        <f t="shared" si="1"/>
        <v>40187.5</v>
      </c>
      <c r="P102" s="103">
        <f>RICavMilestoneVal+CavityStatus[[#This Row],[Incentive Earned]]+CavityStatus[[#This Row],[Recipe Modification (Mod 9)]]+N102</f>
        <v>45960.68</v>
      </c>
      <c r="Q102" s="102">
        <v>42916</v>
      </c>
    </row>
    <row r="103" spans="1:17" x14ac:dyDescent="0.2">
      <c r="A103" s="113">
        <v>100</v>
      </c>
      <c r="B103" s="98" t="s">
        <v>296</v>
      </c>
      <c r="C103" s="98" t="s">
        <v>368</v>
      </c>
      <c r="D103" s="100">
        <v>42844</v>
      </c>
      <c r="E103" s="100">
        <v>42895</v>
      </c>
      <c r="F103" s="99">
        <v>27</v>
      </c>
      <c r="G103" s="99">
        <f>IF(CavityStatus[[#This Row],[Actual Ship Date]]&lt;&gt;0,($E103-$D103)/7,0)</f>
        <v>7.2857142857142856</v>
      </c>
      <c r="H103" s="101"/>
      <c r="I103" s="101"/>
      <c r="J103" s="101">
        <v>1000</v>
      </c>
      <c r="K103" s="101">
        <v>1000</v>
      </c>
      <c r="L103" s="102">
        <v>42901</v>
      </c>
      <c r="M103" s="103">
        <v>4283.18</v>
      </c>
      <c r="N103" s="103">
        <v>490</v>
      </c>
      <c r="O103" s="103">
        <f t="shared" si="1"/>
        <v>40187.5</v>
      </c>
      <c r="P103" s="103">
        <f>RICavMilestoneVal+CavityStatus[[#This Row],[Incentive Earned]]+CavityStatus[[#This Row],[Recipe Modification (Mod 9)]]+N103</f>
        <v>45960.68</v>
      </c>
      <c r="Q103" s="102">
        <v>42916</v>
      </c>
    </row>
    <row r="104" spans="1:17" x14ac:dyDescent="0.2">
      <c r="A104" s="113">
        <v>101</v>
      </c>
      <c r="B104" s="98" t="s">
        <v>315</v>
      </c>
      <c r="C104" s="98" t="s">
        <v>368</v>
      </c>
      <c r="D104" s="100">
        <v>42872</v>
      </c>
      <c r="E104" s="100">
        <v>42895</v>
      </c>
      <c r="F104" s="99">
        <v>27</v>
      </c>
      <c r="G104" s="99">
        <f>IF(CavityStatus[[#This Row],[Actual Ship Date]]&lt;&gt;0,($E104-$D104)/7,0)</f>
        <v>3.2857142857142856</v>
      </c>
      <c r="H104" s="101"/>
      <c r="I104" s="101"/>
      <c r="J104" s="101">
        <v>1000</v>
      </c>
      <c r="K104" s="101">
        <v>1000</v>
      </c>
      <c r="L104" s="102">
        <v>42901</v>
      </c>
      <c r="M104" s="103">
        <v>4283.18</v>
      </c>
      <c r="N104" s="103">
        <v>490</v>
      </c>
      <c r="O104" s="103">
        <f t="shared" si="1"/>
        <v>40187.5</v>
      </c>
      <c r="P104" s="103">
        <f>RICavMilestoneVal+CavityStatus[[#This Row],[Incentive Earned]]+CavityStatus[[#This Row],[Recipe Modification (Mod 9)]]+N104</f>
        <v>45960.68</v>
      </c>
      <c r="Q104" s="102">
        <v>42916</v>
      </c>
    </row>
    <row r="105" spans="1:17" x14ac:dyDescent="0.2">
      <c r="A105" s="113">
        <v>102</v>
      </c>
      <c r="B105" s="98" t="s">
        <v>318</v>
      </c>
      <c r="C105" s="98" t="s">
        <v>368</v>
      </c>
      <c r="D105" s="100">
        <v>42872</v>
      </c>
      <c r="E105" s="100">
        <v>42895</v>
      </c>
      <c r="F105" s="99">
        <v>27</v>
      </c>
      <c r="G105" s="99">
        <f>IF(CavityStatus[[#This Row],[Actual Ship Date]]&lt;&gt;0,($E105-$D105)/7,0)</f>
        <v>3.2857142857142856</v>
      </c>
      <c r="H105" s="101"/>
      <c r="I105" s="101"/>
      <c r="J105" s="101">
        <v>1000</v>
      </c>
      <c r="K105" s="101">
        <v>1000</v>
      </c>
      <c r="L105" s="102">
        <v>42901</v>
      </c>
      <c r="M105" s="103">
        <v>4283.18</v>
      </c>
      <c r="N105" s="103">
        <v>490</v>
      </c>
      <c r="O105" s="103">
        <f t="shared" si="1"/>
        <v>40187.5</v>
      </c>
      <c r="P105" s="103">
        <f>RICavMilestoneVal+CavityStatus[[#This Row],[Incentive Earned]]+CavityStatus[[#This Row],[Recipe Modification (Mod 9)]]+N105</f>
        <v>45960.68</v>
      </c>
      <c r="Q105" s="102">
        <v>42916</v>
      </c>
    </row>
    <row r="106" spans="1:17" x14ac:dyDescent="0.2">
      <c r="A106" s="113">
        <v>103</v>
      </c>
      <c r="B106" s="196" t="s">
        <v>303</v>
      </c>
      <c r="C106" s="98" t="s">
        <v>368</v>
      </c>
      <c r="D106" s="100">
        <v>42844</v>
      </c>
      <c r="E106" s="100">
        <v>42908</v>
      </c>
      <c r="F106" s="99">
        <v>28</v>
      </c>
      <c r="G106" s="99">
        <f>IF(CavityStatus[[#This Row],[Actual Ship Date]]&lt;&gt;0,($E106-$D106)/7,0)</f>
        <v>9.1428571428571423</v>
      </c>
      <c r="H106" s="101"/>
      <c r="I106" s="101"/>
      <c r="J106" s="101">
        <v>1000</v>
      </c>
      <c r="K106" s="101">
        <v>1000</v>
      </c>
      <c r="L106" s="102">
        <v>42916</v>
      </c>
      <c r="M106" s="103">
        <v>4283.18</v>
      </c>
      <c r="N106" s="103">
        <v>490</v>
      </c>
      <c r="O106" s="103">
        <f t="shared" si="1"/>
        <v>40187.5</v>
      </c>
      <c r="P106" s="103">
        <f>RICavMilestoneVal+CavityStatus[[#This Row],[Incentive Earned]]+CavityStatus[[#This Row],[Recipe Modification (Mod 9)]]+N106</f>
        <v>45960.68</v>
      </c>
      <c r="Q106" s="102">
        <v>42943</v>
      </c>
    </row>
    <row r="107" spans="1:17" x14ac:dyDescent="0.2">
      <c r="A107" s="113">
        <v>104</v>
      </c>
      <c r="B107" s="196" t="s">
        <v>319</v>
      </c>
      <c r="C107" s="98" t="s">
        <v>368</v>
      </c>
      <c r="D107" s="100">
        <v>42900</v>
      </c>
      <c r="E107" s="100">
        <v>42908</v>
      </c>
      <c r="F107" s="99">
        <v>28</v>
      </c>
      <c r="G107" s="99">
        <f>IF(CavityStatus[[#This Row],[Actual Ship Date]]&lt;&gt;0,($E107-$D107)/7,0)</f>
        <v>1.1428571428571428</v>
      </c>
      <c r="H107" s="101"/>
      <c r="I107" s="101"/>
      <c r="J107" s="101">
        <v>1000</v>
      </c>
      <c r="K107" s="101">
        <v>1000</v>
      </c>
      <c r="L107" s="102">
        <v>42916</v>
      </c>
      <c r="M107" s="103">
        <v>4283.18</v>
      </c>
      <c r="N107" s="103">
        <v>490</v>
      </c>
      <c r="O107" s="103">
        <f t="shared" si="1"/>
        <v>40187.5</v>
      </c>
      <c r="P107" s="103">
        <f>RICavMilestoneVal+CavityStatus[[#This Row],[Incentive Earned]]+CavityStatus[[#This Row],[Recipe Modification (Mod 9)]]+N107</f>
        <v>45960.68</v>
      </c>
      <c r="Q107" s="102">
        <v>42943</v>
      </c>
    </row>
    <row r="108" spans="1:17" x14ac:dyDescent="0.2">
      <c r="A108" s="113">
        <v>105</v>
      </c>
      <c r="B108" s="196" t="s">
        <v>320</v>
      </c>
      <c r="C108" s="98" t="s">
        <v>368</v>
      </c>
      <c r="D108" s="100">
        <v>42900</v>
      </c>
      <c r="E108" s="100">
        <v>42908</v>
      </c>
      <c r="F108" s="99">
        <v>28</v>
      </c>
      <c r="G108" s="99">
        <f>IF(CavityStatus[[#This Row],[Actual Ship Date]]&lt;&gt;0,($E108-$D108)/7,0)</f>
        <v>1.1428571428571428</v>
      </c>
      <c r="H108" s="101"/>
      <c r="I108" s="101"/>
      <c r="J108" s="101">
        <v>1000</v>
      </c>
      <c r="K108" s="101">
        <v>1000</v>
      </c>
      <c r="L108" s="102">
        <v>42916</v>
      </c>
      <c r="M108" s="103">
        <v>4283.18</v>
      </c>
      <c r="N108" s="103">
        <v>490</v>
      </c>
      <c r="O108" s="103">
        <f t="shared" si="1"/>
        <v>40187.5</v>
      </c>
      <c r="P108" s="103">
        <f>RICavMilestoneVal+CavityStatus[[#This Row],[Incentive Earned]]+CavityStatus[[#This Row],[Recipe Modification (Mod 9)]]+N108</f>
        <v>45960.68</v>
      </c>
      <c r="Q108" s="102">
        <v>42943</v>
      </c>
    </row>
    <row r="109" spans="1:17" x14ac:dyDescent="0.2">
      <c r="A109" s="113">
        <v>106</v>
      </c>
      <c r="B109" s="98" t="s">
        <v>323</v>
      </c>
      <c r="C109" s="98" t="s">
        <v>368</v>
      </c>
      <c r="D109" s="100">
        <v>42900</v>
      </c>
      <c r="E109" s="100">
        <v>42908</v>
      </c>
      <c r="F109" s="99">
        <v>28</v>
      </c>
      <c r="G109" s="99">
        <f>IF(CavityStatus[[#This Row],[Actual Ship Date]]&lt;&gt;0,($E109-$D109)/7,0)</f>
        <v>1.1428571428571428</v>
      </c>
      <c r="H109" s="101"/>
      <c r="I109" s="101"/>
      <c r="J109" s="101">
        <v>1000</v>
      </c>
      <c r="K109" s="101">
        <v>1000</v>
      </c>
      <c r="L109" s="102">
        <v>42916</v>
      </c>
      <c r="M109" s="103">
        <v>4283.18</v>
      </c>
      <c r="N109" s="103">
        <v>490</v>
      </c>
      <c r="O109" s="103">
        <f t="shared" si="1"/>
        <v>40187.5</v>
      </c>
      <c r="P109" s="103">
        <f>RICavMilestoneVal+CavityStatus[[#This Row],[Incentive Earned]]+CavityStatus[[#This Row],[Recipe Modification (Mod 9)]]+N109</f>
        <v>45960.68</v>
      </c>
      <c r="Q109" s="102">
        <v>42943</v>
      </c>
    </row>
    <row r="110" spans="1:17" x14ac:dyDescent="0.2">
      <c r="A110" s="113">
        <v>107</v>
      </c>
      <c r="B110" s="98" t="s">
        <v>305</v>
      </c>
      <c r="C110" s="98" t="s">
        <v>368</v>
      </c>
      <c r="D110" s="100">
        <v>42844</v>
      </c>
      <c r="E110" s="100">
        <v>42914</v>
      </c>
      <c r="F110" s="99">
        <v>29</v>
      </c>
      <c r="G110" s="99">
        <f>IF(CavityStatus[[#This Row],[Actual Ship Date]]&lt;&gt;0,($E110-$D110)/7,0)</f>
        <v>10</v>
      </c>
      <c r="H110" s="101"/>
      <c r="I110" s="101"/>
      <c r="J110" s="101">
        <v>1000</v>
      </c>
      <c r="K110" s="101">
        <v>1000</v>
      </c>
      <c r="L110" s="102">
        <v>42926</v>
      </c>
      <c r="M110" s="103">
        <v>4283.18</v>
      </c>
      <c r="N110" s="103">
        <v>490</v>
      </c>
      <c r="O110" s="103">
        <f t="shared" si="1"/>
        <v>40187.5</v>
      </c>
      <c r="P110" s="103">
        <f>RICavMilestoneVal+CavityStatus[[#This Row],[Incentive Earned]]+CavityStatus[[#This Row],[Recipe Modification (Mod 9)]]+N110</f>
        <v>45960.68</v>
      </c>
      <c r="Q110" s="102">
        <v>42943</v>
      </c>
    </row>
    <row r="111" spans="1:17" x14ac:dyDescent="0.2">
      <c r="A111" s="113">
        <v>108</v>
      </c>
      <c r="B111" s="98" t="s">
        <v>307</v>
      </c>
      <c r="C111" s="98" t="s">
        <v>368</v>
      </c>
      <c r="D111" s="100">
        <v>42872</v>
      </c>
      <c r="E111" s="100">
        <v>42914</v>
      </c>
      <c r="F111" s="99">
        <v>29</v>
      </c>
      <c r="G111" s="99">
        <f>IF(CavityStatus[[#This Row],[Actual Ship Date]]&lt;&gt;0,($E111-$D111)/7,0)</f>
        <v>6</v>
      </c>
      <c r="H111" s="101"/>
      <c r="I111" s="101"/>
      <c r="J111" s="101">
        <v>1000</v>
      </c>
      <c r="K111" s="101">
        <v>1000</v>
      </c>
      <c r="L111" s="102">
        <v>42926</v>
      </c>
      <c r="M111" s="103">
        <v>4283.18</v>
      </c>
      <c r="N111" s="103">
        <v>490</v>
      </c>
      <c r="O111" s="103">
        <f t="shared" si="1"/>
        <v>40187.5</v>
      </c>
      <c r="P111" s="103">
        <f>RICavMilestoneVal+CavityStatus[[#This Row],[Incentive Earned]]+CavityStatus[[#This Row],[Recipe Modification (Mod 9)]]+N111</f>
        <v>45960.68</v>
      </c>
      <c r="Q111" s="102">
        <v>42943</v>
      </c>
    </row>
    <row r="112" spans="1:17" x14ac:dyDescent="0.2">
      <c r="A112" s="113">
        <v>109</v>
      </c>
      <c r="B112" s="98" t="s">
        <v>308</v>
      </c>
      <c r="C112" s="98" t="s">
        <v>368</v>
      </c>
      <c r="D112" s="100">
        <v>42872</v>
      </c>
      <c r="E112" s="100">
        <v>42914</v>
      </c>
      <c r="F112" s="99">
        <v>29</v>
      </c>
      <c r="G112" s="99">
        <f>IF(CavityStatus[[#This Row],[Actual Ship Date]]&lt;&gt;0,($E112-$D112)/7,0)</f>
        <v>6</v>
      </c>
      <c r="H112" s="101"/>
      <c r="I112" s="101"/>
      <c r="J112" s="101">
        <v>1000</v>
      </c>
      <c r="K112" s="101">
        <v>1000</v>
      </c>
      <c r="L112" s="102">
        <v>42926</v>
      </c>
      <c r="M112" s="103">
        <v>4283.18</v>
      </c>
      <c r="N112" s="103">
        <v>490</v>
      </c>
      <c r="O112" s="103">
        <f t="shared" si="1"/>
        <v>40187.5</v>
      </c>
      <c r="P112" s="103">
        <f>RICavMilestoneVal+CavityStatus[[#This Row],[Incentive Earned]]+CavityStatus[[#This Row],[Recipe Modification (Mod 9)]]+N112</f>
        <v>45960.68</v>
      </c>
      <c r="Q112" s="102">
        <v>42943</v>
      </c>
    </row>
    <row r="113" spans="1:17" x14ac:dyDescent="0.2">
      <c r="A113" s="113">
        <v>110</v>
      </c>
      <c r="B113" s="98" t="s">
        <v>324</v>
      </c>
      <c r="C113" s="98" t="s">
        <v>368</v>
      </c>
      <c r="D113" s="100">
        <v>42900</v>
      </c>
      <c r="E113" s="100">
        <v>42914</v>
      </c>
      <c r="F113" s="99">
        <v>29</v>
      </c>
      <c r="G113" s="99">
        <f>IF(CavityStatus[[#This Row],[Actual Ship Date]]&lt;&gt;0,($E113-$D113)/7,0)</f>
        <v>2</v>
      </c>
      <c r="H113" s="101"/>
      <c r="I113" s="101"/>
      <c r="J113" s="101">
        <v>1000</v>
      </c>
      <c r="K113" s="101">
        <v>1000</v>
      </c>
      <c r="L113" s="102">
        <v>42926</v>
      </c>
      <c r="M113" s="103">
        <v>4283.18</v>
      </c>
      <c r="N113" s="103">
        <v>490</v>
      </c>
      <c r="O113" s="103">
        <f t="shared" si="1"/>
        <v>40187.5</v>
      </c>
      <c r="P113" s="103">
        <f>RICavMilestoneVal+CavityStatus[[#This Row],[Incentive Earned]]+CavityStatus[[#This Row],[Recipe Modification (Mod 9)]]+N113</f>
        <v>45960.68</v>
      </c>
      <c r="Q113" s="102">
        <v>42943</v>
      </c>
    </row>
    <row r="114" spans="1:17" x14ac:dyDescent="0.2">
      <c r="A114" s="113">
        <v>111</v>
      </c>
      <c r="B114" s="98" t="s">
        <v>306</v>
      </c>
      <c r="C114" s="98" t="s">
        <v>368</v>
      </c>
      <c r="D114" s="100">
        <v>42844</v>
      </c>
      <c r="E114" s="100">
        <v>42922</v>
      </c>
      <c r="F114" s="99">
        <v>30</v>
      </c>
      <c r="G114" s="99">
        <f>IF(CavityStatus[[#This Row],[Actual Ship Date]]&lt;&gt;0,($E114-$D114)/7,0)</f>
        <v>11.142857142857142</v>
      </c>
      <c r="H114" s="101"/>
      <c r="I114" s="101"/>
      <c r="J114" s="101">
        <v>1000</v>
      </c>
      <c r="K114" s="101">
        <v>1000</v>
      </c>
      <c r="L114" s="102">
        <v>42927</v>
      </c>
      <c r="M114" s="103">
        <v>4283.18</v>
      </c>
      <c r="N114" s="103">
        <v>490</v>
      </c>
      <c r="O114" s="103">
        <f t="shared" si="1"/>
        <v>40187.5</v>
      </c>
      <c r="P114" s="103">
        <f>RICavMilestoneVal+CavityStatus[[#This Row],[Incentive Earned]]+CavityStatus[[#This Row],[Recipe Modification (Mod 9)]]+N114</f>
        <v>45960.68</v>
      </c>
      <c r="Q114" s="102">
        <v>42978</v>
      </c>
    </row>
    <row r="115" spans="1:17" x14ac:dyDescent="0.2">
      <c r="A115" s="113">
        <v>112</v>
      </c>
      <c r="B115" s="98" t="s">
        <v>325</v>
      </c>
      <c r="C115" s="98" t="s">
        <v>368</v>
      </c>
      <c r="D115" s="100">
        <v>42900</v>
      </c>
      <c r="E115" s="100">
        <v>42922</v>
      </c>
      <c r="F115" s="99">
        <v>30</v>
      </c>
      <c r="G115" s="99">
        <f>IF(CavityStatus[[#This Row],[Actual Ship Date]]&lt;&gt;0,($E115-$D115)/7,0)</f>
        <v>3.1428571428571428</v>
      </c>
      <c r="H115" s="101"/>
      <c r="I115" s="101"/>
      <c r="J115" s="101">
        <v>1000</v>
      </c>
      <c r="K115" s="101">
        <v>1000</v>
      </c>
      <c r="L115" s="102">
        <v>42927</v>
      </c>
      <c r="M115" s="103">
        <v>4283.18</v>
      </c>
      <c r="N115" s="103">
        <v>490</v>
      </c>
      <c r="O115" s="103">
        <f t="shared" si="1"/>
        <v>40187.5</v>
      </c>
      <c r="P115" s="103">
        <f>RICavMilestoneVal+CavityStatus[[#This Row],[Incentive Earned]]+CavityStatus[[#This Row],[Recipe Modification (Mod 9)]]+N115</f>
        <v>45960.68</v>
      </c>
      <c r="Q115" s="102">
        <v>42978</v>
      </c>
    </row>
    <row r="116" spans="1:17" x14ac:dyDescent="0.2">
      <c r="A116" s="113">
        <v>113</v>
      </c>
      <c r="B116" s="98" t="s">
        <v>326</v>
      </c>
      <c r="C116" s="98" t="s">
        <v>368</v>
      </c>
      <c r="D116" s="100">
        <v>42900</v>
      </c>
      <c r="E116" s="100">
        <v>42922</v>
      </c>
      <c r="F116" s="99">
        <v>30</v>
      </c>
      <c r="G116" s="99">
        <f>IF(CavityStatus[[#This Row],[Actual Ship Date]]&lt;&gt;0,($E116-$D116)/7,0)</f>
        <v>3.1428571428571428</v>
      </c>
      <c r="H116" s="101"/>
      <c r="I116" s="101"/>
      <c r="J116" s="101">
        <v>1000</v>
      </c>
      <c r="K116" s="101">
        <v>1000</v>
      </c>
      <c r="L116" s="102">
        <v>42927</v>
      </c>
      <c r="M116" s="103">
        <v>4283.18</v>
      </c>
      <c r="N116" s="103">
        <v>490</v>
      </c>
      <c r="O116" s="103">
        <f t="shared" si="1"/>
        <v>40187.5</v>
      </c>
      <c r="P116" s="103">
        <f>RICavMilestoneVal+CavityStatus[[#This Row],[Incentive Earned]]+CavityStatus[[#This Row],[Recipe Modification (Mod 9)]]+N116</f>
        <v>45960.68</v>
      </c>
      <c r="Q116" s="102">
        <v>42978</v>
      </c>
    </row>
    <row r="117" spans="1:17" x14ac:dyDescent="0.2">
      <c r="A117" s="113">
        <v>114</v>
      </c>
      <c r="B117" s="98" t="s">
        <v>327</v>
      </c>
      <c r="C117" s="98" t="s">
        <v>368</v>
      </c>
      <c r="D117" s="100">
        <v>42900</v>
      </c>
      <c r="E117" s="100">
        <v>42922</v>
      </c>
      <c r="F117" s="99">
        <v>30</v>
      </c>
      <c r="G117" s="99">
        <f>IF(CavityStatus[[#This Row],[Actual Ship Date]]&lt;&gt;0,($E117-$D117)/7,0)</f>
        <v>3.1428571428571428</v>
      </c>
      <c r="H117" s="101"/>
      <c r="I117" s="101"/>
      <c r="J117" s="101">
        <v>1000</v>
      </c>
      <c r="K117" s="101">
        <v>1000</v>
      </c>
      <c r="L117" s="102">
        <v>42927</v>
      </c>
      <c r="M117" s="103">
        <v>4283.18</v>
      </c>
      <c r="N117" s="103">
        <v>490</v>
      </c>
      <c r="O117" s="103">
        <f t="shared" si="1"/>
        <v>40187.5</v>
      </c>
      <c r="P117" s="103">
        <f>RICavMilestoneVal+CavityStatus[[#This Row],[Incentive Earned]]+CavityStatus[[#This Row],[Recipe Modification (Mod 9)]]+N117</f>
        <v>45960.68</v>
      </c>
      <c r="Q117" s="102">
        <v>42978</v>
      </c>
    </row>
    <row r="118" spans="1:17" x14ac:dyDescent="0.2">
      <c r="A118" s="113">
        <v>115</v>
      </c>
      <c r="B118" s="98" t="s">
        <v>322</v>
      </c>
      <c r="C118" s="98" t="s">
        <v>368</v>
      </c>
      <c r="D118" s="100">
        <v>42900</v>
      </c>
      <c r="E118" s="100">
        <v>42928</v>
      </c>
      <c r="F118" s="99">
        <v>31</v>
      </c>
      <c r="G118" s="99">
        <f>IF(CavityStatus[[#This Row],[Actual Ship Date]]&lt;&gt;0,($E118-$D118)/7,0)</f>
        <v>4</v>
      </c>
      <c r="H118" s="101"/>
      <c r="I118" s="101"/>
      <c r="J118" s="101">
        <v>1000</v>
      </c>
      <c r="K118" s="101">
        <v>1000</v>
      </c>
      <c r="L118" s="102">
        <v>42948</v>
      </c>
      <c r="M118" s="103">
        <v>4283.18</v>
      </c>
      <c r="N118" s="103">
        <v>490</v>
      </c>
      <c r="O118" s="103">
        <f t="shared" si="1"/>
        <v>40187.5</v>
      </c>
      <c r="P118" s="103">
        <f>RICavMilestoneVal+CavityStatus[[#This Row],[Incentive Earned]]+CavityStatus[[#This Row],[Recipe Modification (Mod 9)]]+N118</f>
        <v>45960.68</v>
      </c>
      <c r="Q118" s="102">
        <v>42978</v>
      </c>
    </row>
    <row r="119" spans="1:17" x14ac:dyDescent="0.2">
      <c r="A119" s="113">
        <v>116</v>
      </c>
      <c r="B119" s="98" t="s">
        <v>328</v>
      </c>
      <c r="C119" s="98" t="s">
        <v>368</v>
      </c>
      <c r="D119" s="100">
        <v>42900</v>
      </c>
      <c r="E119" s="100">
        <v>42928</v>
      </c>
      <c r="F119" s="99">
        <v>31</v>
      </c>
      <c r="G119" s="99">
        <f>IF(CavityStatus[[#This Row],[Actual Ship Date]]&lt;&gt;0,($E119-$D119)/7,0)</f>
        <v>4</v>
      </c>
      <c r="H119" s="101"/>
      <c r="I119" s="101"/>
      <c r="J119" s="101">
        <v>1000</v>
      </c>
      <c r="K119" s="101">
        <v>1000</v>
      </c>
      <c r="L119" s="102">
        <v>42948</v>
      </c>
      <c r="M119" s="103">
        <v>4283.18</v>
      </c>
      <c r="N119" s="103">
        <v>490</v>
      </c>
      <c r="O119" s="103">
        <f t="shared" si="1"/>
        <v>40187.5</v>
      </c>
      <c r="P119" s="103">
        <f>RICavMilestoneVal+CavityStatus[[#This Row],[Incentive Earned]]+CavityStatus[[#This Row],[Recipe Modification (Mod 9)]]+N119</f>
        <v>45960.68</v>
      </c>
      <c r="Q119" s="102">
        <v>42978</v>
      </c>
    </row>
    <row r="120" spans="1:17" x14ac:dyDescent="0.2">
      <c r="A120" s="113">
        <v>117</v>
      </c>
      <c r="B120" s="98" t="s">
        <v>329</v>
      </c>
      <c r="C120" s="98" t="s">
        <v>368</v>
      </c>
      <c r="D120" s="100">
        <v>42900</v>
      </c>
      <c r="E120" s="100">
        <v>42928</v>
      </c>
      <c r="F120" s="99">
        <v>31</v>
      </c>
      <c r="G120" s="99">
        <f>IF(CavityStatus[[#This Row],[Actual Ship Date]]&lt;&gt;0,($E120-$D120)/7,0)</f>
        <v>4</v>
      </c>
      <c r="H120" s="101"/>
      <c r="I120" s="101"/>
      <c r="J120" s="101">
        <v>1000</v>
      </c>
      <c r="K120" s="101">
        <v>1000</v>
      </c>
      <c r="L120" s="102">
        <v>42948</v>
      </c>
      <c r="M120" s="103">
        <v>4283.18</v>
      </c>
      <c r="N120" s="103">
        <v>490</v>
      </c>
      <c r="O120" s="103">
        <f t="shared" si="1"/>
        <v>40187.5</v>
      </c>
      <c r="P120" s="103">
        <f>RICavMilestoneVal+CavityStatus[[#This Row],[Incentive Earned]]+CavityStatus[[#This Row],[Recipe Modification (Mod 9)]]+N120</f>
        <v>45960.68</v>
      </c>
      <c r="Q120" s="102">
        <v>42978</v>
      </c>
    </row>
    <row r="121" spans="1:17" x14ac:dyDescent="0.2">
      <c r="A121" s="113">
        <v>118</v>
      </c>
      <c r="B121" s="98" t="s">
        <v>330</v>
      </c>
      <c r="C121" s="98" t="s">
        <v>368</v>
      </c>
      <c r="D121" s="100">
        <v>42900</v>
      </c>
      <c r="E121" s="100">
        <v>42928</v>
      </c>
      <c r="F121" s="99">
        <v>31</v>
      </c>
      <c r="G121" s="99">
        <f>IF(CavityStatus[[#This Row],[Actual Ship Date]]&lt;&gt;0,($E121-$D121)/7,0)</f>
        <v>4</v>
      </c>
      <c r="H121" s="101"/>
      <c r="I121" s="101"/>
      <c r="J121" s="101">
        <v>1000</v>
      </c>
      <c r="K121" s="101">
        <v>1000</v>
      </c>
      <c r="L121" s="102">
        <v>42948</v>
      </c>
      <c r="M121" s="103">
        <v>4283.18</v>
      </c>
      <c r="N121" s="103">
        <v>490</v>
      </c>
      <c r="O121" s="103">
        <f t="shared" si="1"/>
        <v>40187.5</v>
      </c>
      <c r="P121" s="103">
        <f>RICavMilestoneVal+CavityStatus[[#This Row],[Incentive Earned]]+CavityStatus[[#This Row],[Recipe Modification (Mod 9)]]+N121</f>
        <v>45960.68</v>
      </c>
      <c r="Q121" s="102">
        <v>42978</v>
      </c>
    </row>
    <row r="122" spans="1:17" x14ac:dyDescent="0.2">
      <c r="A122" s="113">
        <v>119</v>
      </c>
      <c r="B122" s="98" t="s">
        <v>311</v>
      </c>
      <c r="C122" s="98" t="s">
        <v>368</v>
      </c>
      <c r="D122" s="100">
        <v>42872</v>
      </c>
      <c r="E122" s="100">
        <v>42937</v>
      </c>
      <c r="F122" s="99">
        <v>32</v>
      </c>
      <c r="G122" s="99">
        <f>IF(CavityStatus[[#This Row],[Actual Ship Date]]&lt;&gt;0,($E122-$D122)/7,0)</f>
        <v>9.2857142857142865</v>
      </c>
      <c r="H122" s="101"/>
      <c r="I122" s="101"/>
      <c r="J122" s="101">
        <v>1000</v>
      </c>
      <c r="K122" s="101">
        <v>1000</v>
      </c>
      <c r="L122" s="102">
        <v>42951</v>
      </c>
      <c r="M122" s="103">
        <v>4283.18</v>
      </c>
      <c r="N122" s="103">
        <v>490</v>
      </c>
      <c r="O122" s="103">
        <f t="shared" si="1"/>
        <v>40187.5</v>
      </c>
      <c r="P122" s="103">
        <f>RICavMilestoneVal+CavityStatus[[#This Row],[Incentive Earned]]+CavityStatus[[#This Row],[Recipe Modification (Mod 9)]]+N122</f>
        <v>45960.68</v>
      </c>
      <c r="Q122" s="102">
        <v>42978</v>
      </c>
    </row>
    <row r="123" spans="1:17" x14ac:dyDescent="0.2">
      <c r="A123" s="113">
        <v>120</v>
      </c>
      <c r="B123" s="98" t="s">
        <v>313</v>
      </c>
      <c r="C123" s="98" t="s">
        <v>368</v>
      </c>
      <c r="D123" s="100">
        <v>42872</v>
      </c>
      <c r="E123" s="100">
        <v>42937</v>
      </c>
      <c r="F123" s="99">
        <v>32</v>
      </c>
      <c r="G123" s="99">
        <f>IF(CavityStatus[[#This Row],[Actual Ship Date]]&lt;&gt;0,($E123-$D123)/7,0)</f>
        <v>9.2857142857142865</v>
      </c>
      <c r="H123" s="101"/>
      <c r="I123" s="101"/>
      <c r="J123" s="101">
        <v>1000</v>
      </c>
      <c r="K123" s="101">
        <v>1000</v>
      </c>
      <c r="L123" s="102">
        <v>42951</v>
      </c>
      <c r="M123" s="103">
        <v>4283.18</v>
      </c>
      <c r="N123" s="103">
        <v>490</v>
      </c>
      <c r="O123" s="103">
        <f t="shared" si="1"/>
        <v>40187.5</v>
      </c>
      <c r="P123" s="103">
        <f>RICavMilestoneVal+CavityStatus[[#This Row],[Incentive Earned]]+CavityStatus[[#This Row],[Recipe Modification (Mod 9)]]+N123</f>
        <v>45960.68</v>
      </c>
      <c r="Q123" s="102">
        <v>42978</v>
      </c>
    </row>
    <row r="124" spans="1:17" x14ac:dyDescent="0.2">
      <c r="A124" s="113">
        <v>121</v>
      </c>
      <c r="B124" s="98" t="s">
        <v>332</v>
      </c>
      <c r="C124" s="98" t="s">
        <v>368</v>
      </c>
      <c r="D124" s="100">
        <v>42928</v>
      </c>
      <c r="E124" s="100">
        <v>42937</v>
      </c>
      <c r="F124" s="99">
        <v>32</v>
      </c>
      <c r="G124" s="99">
        <f>IF(CavityStatus[[#This Row],[Actual Ship Date]]&lt;&gt;0,($E124-$D124)/7,0)</f>
        <v>1.2857142857142858</v>
      </c>
      <c r="H124" s="101"/>
      <c r="I124" s="101"/>
      <c r="J124" s="101">
        <v>1000</v>
      </c>
      <c r="K124" s="101">
        <v>1000</v>
      </c>
      <c r="L124" s="102">
        <v>42951</v>
      </c>
      <c r="M124" s="103">
        <v>4283.18</v>
      </c>
      <c r="N124" s="103">
        <v>490</v>
      </c>
      <c r="O124" s="103">
        <f t="shared" si="1"/>
        <v>40187.5</v>
      </c>
      <c r="P124" s="103">
        <f>RICavMilestoneVal+CavityStatus[[#This Row],[Incentive Earned]]+CavityStatus[[#This Row],[Recipe Modification (Mod 9)]]+N124</f>
        <v>45960.68</v>
      </c>
      <c r="Q124" s="102">
        <v>42978</v>
      </c>
    </row>
    <row r="125" spans="1:17" x14ac:dyDescent="0.2">
      <c r="A125" s="113">
        <v>122</v>
      </c>
      <c r="B125" s="98" t="s">
        <v>333</v>
      </c>
      <c r="C125" s="98" t="s">
        <v>368</v>
      </c>
      <c r="D125" s="100">
        <v>42928</v>
      </c>
      <c r="E125" s="100">
        <v>42937</v>
      </c>
      <c r="F125" s="99">
        <v>32</v>
      </c>
      <c r="G125" s="99">
        <f>IF(CavityStatus[[#This Row],[Actual Ship Date]]&lt;&gt;0,($E125-$D125)/7,0)</f>
        <v>1.2857142857142858</v>
      </c>
      <c r="H125" s="101"/>
      <c r="I125" s="101"/>
      <c r="J125" s="101">
        <v>1000</v>
      </c>
      <c r="K125" s="101">
        <v>1000</v>
      </c>
      <c r="L125" s="102">
        <v>42951</v>
      </c>
      <c r="M125" s="103">
        <v>4283.18</v>
      </c>
      <c r="N125" s="103">
        <v>490</v>
      </c>
      <c r="O125" s="103">
        <f t="shared" si="1"/>
        <v>40187.5</v>
      </c>
      <c r="P125" s="103">
        <f>RICavMilestoneVal+CavityStatus[[#This Row],[Incentive Earned]]+CavityStatus[[#This Row],[Recipe Modification (Mod 9)]]+N125</f>
        <v>45960.68</v>
      </c>
      <c r="Q125" s="102">
        <v>42978</v>
      </c>
    </row>
    <row r="126" spans="1:17" x14ac:dyDescent="0.2">
      <c r="A126" s="113">
        <v>123</v>
      </c>
      <c r="B126" s="98" t="s">
        <v>301</v>
      </c>
      <c r="C126" s="98" t="s">
        <v>368</v>
      </c>
      <c r="D126" s="100">
        <v>42844</v>
      </c>
      <c r="E126" s="100"/>
      <c r="F126" s="99"/>
      <c r="G126" s="99">
        <f>IF(CavityStatus[[#This Row],[Actual Ship Date]]&lt;&gt;0,($E126-$D126)/7,0)</f>
        <v>0</v>
      </c>
      <c r="H126" s="101"/>
      <c r="I126" s="101"/>
      <c r="J126" s="101">
        <v>1000</v>
      </c>
      <c r="K126" s="101">
        <v>1000</v>
      </c>
      <c r="L126" s="102">
        <v>42977</v>
      </c>
      <c r="M126" s="103">
        <v>4283.18</v>
      </c>
      <c r="N126" s="103">
        <v>490</v>
      </c>
      <c r="O126" s="103">
        <f t="shared" si="1"/>
        <v>40187.5</v>
      </c>
      <c r="P126" s="103">
        <f>RICavMilestoneVal+CavityStatus[[#This Row],[Incentive Earned]]+CavityStatus[[#This Row],[Recipe Modification (Mod 9)]]+N126</f>
        <v>45960.68</v>
      </c>
      <c r="Q126" s="102">
        <v>42979</v>
      </c>
    </row>
    <row r="127" spans="1:17" x14ac:dyDescent="0.2">
      <c r="A127" s="113">
        <v>124</v>
      </c>
      <c r="B127" s="98" t="s">
        <v>302</v>
      </c>
      <c r="C127" s="98" t="s">
        <v>368</v>
      </c>
      <c r="D127" s="100">
        <v>42844</v>
      </c>
      <c r="E127" s="100"/>
      <c r="F127" s="99"/>
      <c r="G127" s="99">
        <f>IF(CavityStatus[[#This Row],[Actual Ship Date]]&lt;&gt;0,($E127-$D127)/7,0)</f>
        <v>0</v>
      </c>
      <c r="H127" s="101"/>
      <c r="I127" s="101"/>
      <c r="J127" s="101">
        <v>1000</v>
      </c>
      <c r="K127" s="101">
        <v>1000</v>
      </c>
      <c r="L127" s="102">
        <v>42977</v>
      </c>
      <c r="M127" s="103">
        <v>4283.18</v>
      </c>
      <c r="N127" s="103">
        <v>490</v>
      </c>
      <c r="O127" s="103">
        <f t="shared" si="1"/>
        <v>40187.5</v>
      </c>
      <c r="P127" s="103">
        <f>RICavMilestoneVal+CavityStatus[[#This Row],[Incentive Earned]]+CavityStatus[[#This Row],[Recipe Modification (Mod 9)]]+N127</f>
        <v>45960.68</v>
      </c>
      <c r="Q127" s="102">
        <v>42979</v>
      </c>
    </row>
    <row r="128" spans="1:17" x14ac:dyDescent="0.2">
      <c r="A128" s="113">
        <v>125</v>
      </c>
      <c r="B128" s="98" t="s">
        <v>312</v>
      </c>
      <c r="C128" s="98" t="s">
        <v>368</v>
      </c>
      <c r="D128" s="100">
        <v>42872</v>
      </c>
      <c r="E128" s="100"/>
      <c r="F128" s="99"/>
      <c r="G128" s="99">
        <f>IF(CavityStatus[[#This Row],[Actual Ship Date]]&lt;&gt;0,($E128-$D128)/7,0)</f>
        <v>0</v>
      </c>
      <c r="H128" s="101"/>
      <c r="I128" s="101"/>
      <c r="J128" s="101">
        <v>1000</v>
      </c>
      <c r="K128" s="101">
        <v>1000</v>
      </c>
      <c r="L128" s="102">
        <v>42977</v>
      </c>
      <c r="M128" s="103">
        <v>4283.18</v>
      </c>
      <c r="N128" s="103">
        <v>490</v>
      </c>
      <c r="O128" s="103">
        <f t="shared" si="1"/>
        <v>40187.5</v>
      </c>
      <c r="P128" s="103">
        <f>RICavMilestoneVal+CavityStatus[[#This Row],[Incentive Earned]]+CavityStatus[[#This Row],[Recipe Modification (Mod 9)]]+N128</f>
        <v>45960.68</v>
      </c>
      <c r="Q128" s="102">
        <v>42979</v>
      </c>
    </row>
    <row r="129" spans="1:17" x14ac:dyDescent="0.2">
      <c r="A129" s="113">
        <v>126</v>
      </c>
      <c r="B129" s="98" t="s">
        <v>331</v>
      </c>
      <c r="C129" s="98" t="s">
        <v>368</v>
      </c>
      <c r="D129" s="100">
        <v>42928</v>
      </c>
      <c r="E129" s="100"/>
      <c r="F129" s="99"/>
      <c r="G129" s="99">
        <f>IF(CavityStatus[[#This Row],[Actual Ship Date]]&lt;&gt;0,($E129-$D129)/7,0)</f>
        <v>0</v>
      </c>
      <c r="H129" s="101"/>
      <c r="I129" s="101"/>
      <c r="J129" s="101">
        <v>1000</v>
      </c>
      <c r="K129" s="101">
        <v>1000</v>
      </c>
      <c r="L129" s="102">
        <v>42977</v>
      </c>
      <c r="M129" s="103">
        <v>4283.18</v>
      </c>
      <c r="N129" s="103">
        <v>490</v>
      </c>
      <c r="O129" s="103">
        <f t="shared" si="1"/>
        <v>40187.5</v>
      </c>
      <c r="P129" s="103">
        <f>RICavMilestoneVal+CavityStatus[[#This Row],[Incentive Earned]]+CavityStatus[[#This Row],[Recipe Modification (Mod 9)]]+N129</f>
        <v>45960.68</v>
      </c>
      <c r="Q129" s="102">
        <v>42979</v>
      </c>
    </row>
    <row r="130" spans="1:17" x14ac:dyDescent="0.2">
      <c r="A130" s="113">
        <v>127</v>
      </c>
      <c r="B130" s="98" t="s">
        <v>334</v>
      </c>
      <c r="C130" s="98" t="s">
        <v>368</v>
      </c>
      <c r="D130" s="100">
        <v>42928</v>
      </c>
      <c r="E130" s="100"/>
      <c r="F130" s="99"/>
      <c r="G130" s="99">
        <f>IF(CavityStatus[[#This Row],[Actual Ship Date]]&lt;&gt;0,($E130-$D130)/7,0)</f>
        <v>0</v>
      </c>
      <c r="H130" s="101"/>
      <c r="I130" s="101"/>
      <c r="J130" s="101">
        <v>1000</v>
      </c>
      <c r="K130" s="101">
        <v>1000</v>
      </c>
      <c r="L130" s="102">
        <v>42977</v>
      </c>
      <c r="M130" s="103">
        <v>4283.18</v>
      </c>
      <c r="N130" s="103">
        <v>490</v>
      </c>
      <c r="O130" s="103">
        <f t="shared" si="1"/>
        <v>40187.5</v>
      </c>
      <c r="P130" s="103">
        <f>RICavMilestoneVal+CavityStatus[[#This Row],[Incentive Earned]]+CavityStatus[[#This Row],[Recipe Modification (Mod 9)]]+N130</f>
        <v>45960.68</v>
      </c>
      <c r="Q130" s="102">
        <v>42979</v>
      </c>
    </row>
    <row r="131" spans="1:17" x14ac:dyDescent="0.2">
      <c r="A131" s="113">
        <v>128</v>
      </c>
      <c r="B131" s="98" t="s">
        <v>335</v>
      </c>
      <c r="C131" s="98" t="s">
        <v>368</v>
      </c>
      <c r="D131" s="100">
        <v>42928</v>
      </c>
      <c r="E131" s="100"/>
      <c r="F131" s="99"/>
      <c r="G131" s="99">
        <f>IF(CavityStatus[[#This Row],[Actual Ship Date]]&lt;&gt;0,($E131-$D131)/7,0)</f>
        <v>0</v>
      </c>
      <c r="H131" s="101"/>
      <c r="I131" s="101"/>
      <c r="J131" s="101">
        <v>1000</v>
      </c>
      <c r="K131" s="101">
        <v>1000</v>
      </c>
      <c r="L131" s="102">
        <v>42977</v>
      </c>
      <c r="M131" s="103">
        <v>4283.18</v>
      </c>
      <c r="N131" s="103">
        <v>490</v>
      </c>
      <c r="O131" s="103">
        <f t="shared" si="1"/>
        <v>40187.5</v>
      </c>
      <c r="P131" s="103">
        <f>RICavMilestoneVal+CavityStatus[[#This Row],[Incentive Earned]]+CavityStatus[[#This Row],[Recipe Modification (Mod 9)]]+N131</f>
        <v>45960.68</v>
      </c>
      <c r="Q131" s="102">
        <v>42979</v>
      </c>
    </row>
    <row r="132" spans="1:17" x14ac:dyDescent="0.2">
      <c r="A132" s="113">
        <v>129</v>
      </c>
      <c r="B132" s="98" t="s">
        <v>336</v>
      </c>
      <c r="C132" s="98" t="s">
        <v>368</v>
      </c>
      <c r="D132" s="100">
        <v>42928</v>
      </c>
      <c r="E132" s="100"/>
      <c r="F132" s="99"/>
      <c r="G132" s="99">
        <f>IF(CavityStatus[[#This Row],[Actual Ship Date]]&lt;&gt;0,($E132-$D132)/7,0)</f>
        <v>0</v>
      </c>
      <c r="H132" s="101"/>
      <c r="I132" s="101"/>
      <c r="J132" s="101">
        <v>1000</v>
      </c>
      <c r="K132" s="101">
        <v>1000</v>
      </c>
      <c r="L132" s="102">
        <v>42977</v>
      </c>
      <c r="M132" s="103">
        <v>4283.18</v>
      </c>
      <c r="N132" s="103">
        <v>490</v>
      </c>
      <c r="O132" s="103">
        <f t="shared" ref="O132:O195" si="2">RICavMilestoneVal</f>
        <v>40187.5</v>
      </c>
      <c r="P132" s="103">
        <f>RICavMilestoneVal+CavityStatus[[#This Row],[Incentive Earned]]+CavityStatus[[#This Row],[Recipe Modification (Mod 9)]]+N132</f>
        <v>45960.68</v>
      </c>
      <c r="Q132" s="102">
        <v>42979</v>
      </c>
    </row>
    <row r="133" spans="1:17" x14ac:dyDescent="0.2">
      <c r="A133" s="113">
        <v>130</v>
      </c>
      <c r="B133" s="98" t="s">
        <v>337</v>
      </c>
      <c r="C133" s="98" t="s">
        <v>368</v>
      </c>
      <c r="D133" s="100">
        <v>42928</v>
      </c>
      <c r="E133" s="100"/>
      <c r="F133" s="99"/>
      <c r="G133" s="99">
        <f>IF(CavityStatus[[#This Row],[Actual Ship Date]]&lt;&gt;0,($E133-$D133)/7,0)</f>
        <v>0</v>
      </c>
      <c r="H133" s="101"/>
      <c r="I133" s="101"/>
      <c r="J133" s="101">
        <v>1000</v>
      </c>
      <c r="K133" s="101">
        <v>1000</v>
      </c>
      <c r="L133" s="102">
        <v>42977</v>
      </c>
      <c r="M133" s="103">
        <v>4283.18</v>
      </c>
      <c r="N133" s="103">
        <v>490</v>
      </c>
      <c r="O133" s="103">
        <f t="shared" si="2"/>
        <v>40187.5</v>
      </c>
      <c r="P133" s="103">
        <f>RICavMilestoneVal+CavityStatus[[#This Row],[Incentive Earned]]+CavityStatus[[#This Row],[Recipe Modification (Mod 9)]]+N133</f>
        <v>45960.68</v>
      </c>
      <c r="Q133" s="102">
        <v>42979</v>
      </c>
    </row>
    <row r="134" spans="1:17" x14ac:dyDescent="0.2">
      <c r="A134" s="113">
        <v>131</v>
      </c>
      <c r="B134" s="98" t="s">
        <v>338</v>
      </c>
      <c r="C134" s="98" t="s">
        <v>368</v>
      </c>
      <c r="D134" s="100">
        <v>42928</v>
      </c>
      <c r="E134" s="100"/>
      <c r="F134" s="99"/>
      <c r="G134" s="99">
        <f>IF(CavityStatus[[#This Row],[Actual Ship Date]]&lt;&gt;0,($E134-$D134)/7,0)</f>
        <v>0</v>
      </c>
      <c r="H134" s="101"/>
      <c r="I134" s="101"/>
      <c r="J134" s="101">
        <v>1000</v>
      </c>
      <c r="K134" s="101">
        <v>1000</v>
      </c>
      <c r="L134" s="102">
        <v>42977</v>
      </c>
      <c r="M134" s="103">
        <v>4283.18</v>
      </c>
      <c r="N134" s="103">
        <v>490</v>
      </c>
      <c r="O134" s="103">
        <f t="shared" si="2"/>
        <v>40187.5</v>
      </c>
      <c r="P134" s="103">
        <f>RICavMilestoneVal+CavityStatus[[#This Row],[Incentive Earned]]+CavityStatus[[#This Row],[Recipe Modification (Mod 9)]]+N134</f>
        <v>45960.68</v>
      </c>
      <c r="Q134" s="102">
        <v>42979</v>
      </c>
    </row>
    <row r="135" spans="1:17" x14ac:dyDescent="0.2">
      <c r="A135" s="113">
        <v>132</v>
      </c>
      <c r="B135" s="98" t="s">
        <v>339</v>
      </c>
      <c r="C135" s="98" t="s">
        <v>368</v>
      </c>
      <c r="D135" s="100">
        <v>42928</v>
      </c>
      <c r="E135" s="100"/>
      <c r="F135" s="99"/>
      <c r="G135" s="99">
        <f>IF(CavityStatus[[#This Row],[Actual Ship Date]]&lt;&gt;0,($E135-$D135)/7,0)</f>
        <v>0</v>
      </c>
      <c r="H135" s="101"/>
      <c r="I135" s="101"/>
      <c r="J135" s="101">
        <v>1000</v>
      </c>
      <c r="K135" s="101">
        <v>1000</v>
      </c>
      <c r="L135" s="102">
        <v>42977</v>
      </c>
      <c r="M135" s="103">
        <v>4283.18</v>
      </c>
      <c r="N135" s="103">
        <v>490</v>
      </c>
      <c r="O135" s="103">
        <f t="shared" si="2"/>
        <v>40187.5</v>
      </c>
      <c r="P135" s="103">
        <f>RICavMilestoneVal+CavityStatus[[#This Row],[Incentive Earned]]+CavityStatus[[#This Row],[Recipe Modification (Mod 9)]]+N135</f>
        <v>45960.68</v>
      </c>
      <c r="Q135" s="102">
        <v>42979</v>
      </c>
    </row>
    <row r="136" spans="1:17" x14ac:dyDescent="0.2">
      <c r="A136" s="113"/>
      <c r="B136" s="98" t="s">
        <v>321</v>
      </c>
      <c r="C136" s="98" t="s">
        <v>368</v>
      </c>
      <c r="D136" s="100">
        <v>42900</v>
      </c>
      <c r="E136" s="100"/>
      <c r="F136" s="99"/>
      <c r="G136" s="99">
        <f>IF(CavityStatus[[#This Row],[Actual Ship Date]]&lt;&gt;0,($E136-$D136)/7,0)</f>
        <v>0</v>
      </c>
      <c r="H136" s="101"/>
      <c r="I136" s="101"/>
      <c r="J136" s="101">
        <v>1000</v>
      </c>
      <c r="K136" s="101"/>
      <c r="L136" s="102"/>
      <c r="M136" s="103"/>
      <c r="N136" s="103"/>
      <c r="O136" s="103">
        <f t="shared" si="2"/>
        <v>40187.5</v>
      </c>
      <c r="P136" s="103">
        <f>RICavMilestoneVal+CavityStatus[[#This Row],[Incentive Earned]]+CavityStatus[[#This Row],[Recipe Modification (Mod 9)]]+N136</f>
        <v>40187.5</v>
      </c>
      <c r="Q136" s="102"/>
    </row>
    <row r="137" spans="1:17" x14ac:dyDescent="0.2">
      <c r="A137" s="113"/>
      <c r="B137" s="98" t="s">
        <v>369</v>
      </c>
      <c r="C137" s="98" t="s">
        <v>377</v>
      </c>
      <c r="D137" s="100"/>
      <c r="E137" s="100"/>
      <c r="F137" s="99"/>
      <c r="G137" s="99">
        <f>IF(CavityStatus[[#This Row],[Actual Ship Date]]&lt;&gt;0,($E137-$D137)/7,0)</f>
        <v>0</v>
      </c>
      <c r="H137" s="101"/>
      <c r="I137" s="101"/>
      <c r="J137" s="101"/>
      <c r="K137" s="101"/>
      <c r="L137" s="102"/>
      <c r="M137" s="103"/>
      <c r="N137" s="103"/>
      <c r="O137" s="103">
        <f t="shared" si="2"/>
        <v>40187.5</v>
      </c>
      <c r="P137" s="103">
        <f>RICavMilestoneVal+CavityStatus[[#This Row],[Incentive Earned]]+CavityStatus[[#This Row],[Recipe Modification (Mod 9)]]+N137</f>
        <v>40187.5</v>
      </c>
      <c r="Q137" s="102"/>
    </row>
    <row r="138" spans="1:17" x14ac:dyDescent="0.2">
      <c r="A138" s="113"/>
      <c r="B138" s="98" t="s">
        <v>370</v>
      </c>
      <c r="C138" s="98" t="s">
        <v>377</v>
      </c>
      <c r="D138" s="100"/>
      <c r="E138" s="100"/>
      <c r="F138" s="99"/>
      <c r="G138" s="99">
        <f>IF(CavityStatus[[#This Row],[Actual Ship Date]]&lt;&gt;0,($E138-$D138)/7,0)</f>
        <v>0</v>
      </c>
      <c r="H138" s="101"/>
      <c r="I138" s="101"/>
      <c r="J138" s="101"/>
      <c r="K138" s="101"/>
      <c r="L138" s="102"/>
      <c r="M138" s="103"/>
      <c r="N138" s="103"/>
      <c r="O138" s="103">
        <f t="shared" si="2"/>
        <v>40187.5</v>
      </c>
      <c r="P138" s="103">
        <f>RICavMilestoneVal+CavityStatus[[#This Row],[Incentive Earned]]+CavityStatus[[#This Row],[Recipe Modification (Mod 9)]]+N138</f>
        <v>40187.5</v>
      </c>
      <c r="Q138" s="102"/>
    </row>
    <row r="139" spans="1:17" x14ac:dyDescent="0.2">
      <c r="A139" s="113"/>
      <c r="B139" s="98" t="s">
        <v>371</v>
      </c>
      <c r="C139" s="98" t="s">
        <v>377</v>
      </c>
      <c r="D139" s="100"/>
      <c r="E139" s="100"/>
      <c r="F139" s="99"/>
      <c r="G139" s="99">
        <f>IF(CavityStatus[[#This Row],[Actual Ship Date]]&lt;&gt;0,($E139-$D139)/7,0)</f>
        <v>0</v>
      </c>
      <c r="H139" s="101"/>
      <c r="I139" s="101"/>
      <c r="J139" s="101"/>
      <c r="K139" s="101"/>
      <c r="L139" s="102"/>
      <c r="M139" s="103"/>
      <c r="N139" s="103"/>
      <c r="O139" s="103">
        <f t="shared" si="2"/>
        <v>40187.5</v>
      </c>
      <c r="P139" s="103">
        <f>RICavMilestoneVal+CavityStatus[[#This Row],[Incentive Earned]]+CavityStatus[[#This Row],[Recipe Modification (Mod 9)]]+N139</f>
        <v>40187.5</v>
      </c>
      <c r="Q139" s="102"/>
    </row>
    <row r="140" spans="1:17" x14ac:dyDescent="0.2">
      <c r="A140" s="113"/>
      <c r="B140" s="98" t="s">
        <v>372</v>
      </c>
      <c r="C140" s="98" t="s">
        <v>377</v>
      </c>
      <c r="D140" s="100"/>
      <c r="E140" s="100"/>
      <c r="F140" s="99"/>
      <c r="G140" s="99">
        <f>IF(CavityStatus[[#This Row],[Actual Ship Date]]&lt;&gt;0,($E140-$D140)/7,0)</f>
        <v>0</v>
      </c>
      <c r="H140" s="101"/>
      <c r="I140" s="101"/>
      <c r="J140" s="101"/>
      <c r="K140" s="101"/>
      <c r="L140" s="102"/>
      <c r="M140" s="103"/>
      <c r="N140" s="103"/>
      <c r="O140" s="103">
        <f t="shared" si="2"/>
        <v>40187.5</v>
      </c>
      <c r="P140" s="103">
        <f>RICavMilestoneVal+CavityStatus[[#This Row],[Incentive Earned]]+CavityStatus[[#This Row],[Recipe Modification (Mod 9)]]+N140</f>
        <v>40187.5</v>
      </c>
      <c r="Q140" s="102"/>
    </row>
    <row r="141" spans="1:17" x14ac:dyDescent="0.2">
      <c r="A141" s="113"/>
      <c r="B141" s="98" t="s">
        <v>373</v>
      </c>
      <c r="C141" s="98" t="s">
        <v>377</v>
      </c>
      <c r="D141" s="100"/>
      <c r="E141" s="100"/>
      <c r="F141" s="99"/>
      <c r="G141" s="99">
        <f>IF(CavityStatus[[#This Row],[Actual Ship Date]]&lt;&gt;0,($E141-$D141)/7,0)</f>
        <v>0</v>
      </c>
      <c r="H141" s="101"/>
      <c r="I141" s="101"/>
      <c r="J141" s="101"/>
      <c r="K141" s="101"/>
      <c r="L141" s="102"/>
      <c r="M141" s="103"/>
      <c r="N141" s="103"/>
      <c r="O141" s="103">
        <f t="shared" si="2"/>
        <v>40187.5</v>
      </c>
      <c r="P141" s="103">
        <f>RICavMilestoneVal+CavityStatus[[#This Row],[Incentive Earned]]+CavityStatus[[#This Row],[Recipe Modification (Mod 9)]]+N141</f>
        <v>40187.5</v>
      </c>
      <c r="Q141" s="102"/>
    </row>
    <row r="142" spans="1:17" x14ac:dyDescent="0.2">
      <c r="A142" s="113"/>
      <c r="B142" s="98" t="s">
        <v>374</v>
      </c>
      <c r="C142" s="98" t="s">
        <v>377</v>
      </c>
      <c r="D142" s="100"/>
      <c r="E142" s="100"/>
      <c r="F142" s="99"/>
      <c r="G142" s="99">
        <f>IF(CavityStatus[[#This Row],[Actual Ship Date]]&lt;&gt;0,($E142-$D142)/7,0)</f>
        <v>0</v>
      </c>
      <c r="H142" s="101"/>
      <c r="I142" s="101"/>
      <c r="J142" s="101"/>
      <c r="K142" s="101"/>
      <c r="L142" s="102"/>
      <c r="M142" s="103"/>
      <c r="N142" s="103"/>
      <c r="O142" s="103">
        <f t="shared" si="2"/>
        <v>40187.5</v>
      </c>
      <c r="P142" s="103">
        <f>RICavMilestoneVal+CavityStatus[[#This Row],[Incentive Earned]]+CavityStatus[[#This Row],[Recipe Modification (Mod 9)]]+N142</f>
        <v>40187.5</v>
      </c>
      <c r="Q142" s="102"/>
    </row>
    <row r="143" spans="1:17" x14ac:dyDescent="0.2">
      <c r="A143" s="113"/>
      <c r="B143" s="98" t="s">
        <v>375</v>
      </c>
      <c r="C143" s="98" t="s">
        <v>377</v>
      </c>
      <c r="D143" s="100"/>
      <c r="E143" s="100"/>
      <c r="F143" s="99"/>
      <c r="G143" s="99">
        <f>IF(CavityStatus[[#This Row],[Actual Ship Date]]&lt;&gt;0,($E143-$D143)/7,0)</f>
        <v>0</v>
      </c>
      <c r="H143" s="101"/>
      <c r="I143" s="101"/>
      <c r="J143" s="101"/>
      <c r="K143" s="101"/>
      <c r="L143" s="102"/>
      <c r="M143" s="103"/>
      <c r="N143" s="103"/>
      <c r="O143" s="103">
        <f t="shared" si="2"/>
        <v>40187.5</v>
      </c>
      <c r="P143" s="103">
        <f>RICavMilestoneVal+CavityStatus[[#This Row],[Incentive Earned]]+CavityStatus[[#This Row],[Recipe Modification (Mod 9)]]+N143</f>
        <v>40187.5</v>
      </c>
      <c r="Q143" s="102"/>
    </row>
    <row r="144" spans="1:17" x14ac:dyDescent="0.2">
      <c r="A144" s="113"/>
      <c r="B144" s="98" t="s">
        <v>376</v>
      </c>
      <c r="C144" s="98" t="s">
        <v>377</v>
      </c>
      <c r="D144" s="100"/>
      <c r="E144" s="100"/>
      <c r="F144" s="99"/>
      <c r="G144" s="99">
        <f>IF(CavityStatus[[#This Row],[Actual Ship Date]]&lt;&gt;0,($E144-$D144)/7,0)</f>
        <v>0</v>
      </c>
      <c r="H144" s="101"/>
      <c r="I144" s="101"/>
      <c r="J144" s="101"/>
      <c r="K144" s="101"/>
      <c r="L144" s="102"/>
      <c r="M144" s="103"/>
      <c r="N144" s="103"/>
      <c r="O144" s="103">
        <f t="shared" si="2"/>
        <v>40187.5</v>
      </c>
      <c r="P144" s="103">
        <f>RICavMilestoneVal+CavityStatus[[#This Row],[Incentive Earned]]+CavityStatus[[#This Row],[Recipe Modification (Mod 9)]]+N144</f>
        <v>40187.5</v>
      </c>
      <c r="Q144" s="102"/>
    </row>
    <row r="145" spans="1:20" x14ac:dyDescent="0.2">
      <c r="A145" s="113"/>
      <c r="B145" s="98" t="s">
        <v>378</v>
      </c>
      <c r="C145" s="98" t="s">
        <v>377</v>
      </c>
      <c r="D145" s="100"/>
      <c r="E145" s="100"/>
      <c r="F145" s="99"/>
      <c r="G145" s="99">
        <f>IF(CavityStatus[[#This Row],[Actual Ship Date]]&lt;&gt;0,($E145-$D145)/7,0)</f>
        <v>0</v>
      </c>
      <c r="H145" s="101"/>
      <c r="I145" s="101"/>
      <c r="J145" s="101"/>
      <c r="K145" s="101"/>
      <c r="L145" s="102"/>
      <c r="M145" s="103"/>
      <c r="N145" s="103"/>
      <c r="O145" s="103">
        <f t="shared" si="2"/>
        <v>40187.5</v>
      </c>
      <c r="P145" s="103">
        <f>RICavMilestoneVal+CavityStatus[[#This Row],[Incentive Earned]]+CavityStatus[[#This Row],[Recipe Modification (Mod 9)]]+N145</f>
        <v>40187.5</v>
      </c>
      <c r="Q145" s="102"/>
    </row>
    <row r="146" spans="1:20" x14ac:dyDescent="0.2">
      <c r="A146" s="113"/>
      <c r="B146" s="98" t="s">
        <v>379</v>
      </c>
      <c r="C146" s="98" t="s">
        <v>377</v>
      </c>
      <c r="D146" s="100"/>
      <c r="E146" s="100"/>
      <c r="F146" s="99"/>
      <c r="G146" s="99">
        <f>IF(CavityStatus[[#This Row],[Actual Ship Date]]&lt;&gt;0,($E146-$D146)/7,0)</f>
        <v>0</v>
      </c>
      <c r="H146" s="101"/>
      <c r="I146" s="101"/>
      <c r="J146" s="101"/>
      <c r="K146" s="101"/>
      <c r="L146" s="102"/>
      <c r="M146" s="103"/>
      <c r="N146" s="105"/>
      <c r="O146" s="101">
        <f t="shared" si="2"/>
        <v>40187.5</v>
      </c>
      <c r="P146" s="103">
        <f>RICavMilestoneVal+CavityStatus[[#This Row],[Incentive Earned]]+CavityStatus[[#This Row],[Recipe Modification (Mod 9)]]+N146</f>
        <v>40187.5</v>
      </c>
      <c r="Q146" s="102"/>
    </row>
    <row r="147" spans="1:20" x14ac:dyDescent="0.2">
      <c r="A147" s="113"/>
      <c r="B147" s="98" t="s">
        <v>380</v>
      </c>
      <c r="C147" s="98" t="s">
        <v>377</v>
      </c>
      <c r="D147" s="100"/>
      <c r="E147" s="100"/>
      <c r="F147" s="99"/>
      <c r="G147" s="99">
        <f>IF(CavityStatus[[#This Row],[Actual Ship Date]]&lt;&gt;0,($E147-$D147)/7,0)</f>
        <v>0</v>
      </c>
      <c r="H147" s="101"/>
      <c r="I147" s="101"/>
      <c r="J147" s="101"/>
      <c r="K147" s="101"/>
      <c r="L147" s="102"/>
      <c r="M147" s="103"/>
      <c r="N147" s="105"/>
      <c r="O147" s="101">
        <f t="shared" si="2"/>
        <v>40187.5</v>
      </c>
      <c r="P147" s="103">
        <f>RICavMilestoneVal+CavityStatus[[#This Row],[Incentive Earned]]+CavityStatus[[#This Row],[Recipe Modification (Mod 9)]]+N147</f>
        <v>40187.5</v>
      </c>
      <c r="Q147" s="102"/>
    </row>
    <row r="148" spans="1:20" x14ac:dyDescent="0.2">
      <c r="A148" s="113"/>
      <c r="B148" s="98" t="s">
        <v>381</v>
      </c>
      <c r="C148" s="98" t="s">
        <v>377</v>
      </c>
      <c r="D148" s="100"/>
      <c r="E148" s="100"/>
      <c r="F148" s="99"/>
      <c r="G148" s="99">
        <f>IF(CavityStatus[[#This Row],[Actual Ship Date]]&lt;&gt;0,($E148-$D148)/7,0)</f>
        <v>0</v>
      </c>
      <c r="H148" s="101"/>
      <c r="I148" s="101"/>
      <c r="J148" s="101"/>
      <c r="K148" s="101"/>
      <c r="L148" s="102"/>
      <c r="M148" s="103"/>
      <c r="N148" s="105"/>
      <c r="O148" s="101">
        <f t="shared" si="2"/>
        <v>40187.5</v>
      </c>
      <c r="P148" s="103">
        <f>RICavMilestoneVal+CavityStatus[[#This Row],[Incentive Earned]]+CavityStatus[[#This Row],[Recipe Modification (Mod 9)]]+N148</f>
        <v>40187.5</v>
      </c>
      <c r="Q148" s="102"/>
    </row>
    <row r="149" spans="1:20" x14ac:dyDescent="0.2">
      <c r="A149" s="113"/>
      <c r="B149" s="98" t="s">
        <v>382</v>
      </c>
      <c r="C149" s="98" t="s">
        <v>377</v>
      </c>
      <c r="D149" s="100"/>
      <c r="E149" s="100"/>
      <c r="F149" s="99"/>
      <c r="G149" s="99">
        <f>IF(CavityStatus[[#This Row],[Actual Ship Date]]&lt;&gt;0,($E149-$D149)/7,0)</f>
        <v>0</v>
      </c>
      <c r="H149" s="101"/>
      <c r="I149" s="101"/>
      <c r="J149" s="101"/>
      <c r="K149" s="101"/>
      <c r="L149" s="102"/>
      <c r="M149" s="103"/>
      <c r="N149" s="105"/>
      <c r="O149" s="101">
        <f t="shared" si="2"/>
        <v>40187.5</v>
      </c>
      <c r="P149" s="103">
        <f>RICavMilestoneVal+CavityStatus[[#This Row],[Incentive Earned]]+CavityStatus[[#This Row],[Recipe Modification (Mod 9)]]+N149</f>
        <v>40187.5</v>
      </c>
      <c r="Q149" s="102"/>
      <c r="T149" s="97">
        <v>149</v>
      </c>
    </row>
    <row r="150" spans="1:20" x14ac:dyDescent="0.2">
      <c r="A150" s="113"/>
      <c r="B150" s="98" t="s">
        <v>383</v>
      </c>
      <c r="C150" s="98" t="s">
        <v>377</v>
      </c>
      <c r="D150" s="100"/>
      <c r="E150" s="100"/>
      <c r="F150" s="99"/>
      <c r="G150" s="99">
        <f>IF(CavityStatus[[#This Row],[Actual Ship Date]]&lt;&gt;0,($E150-$D150)/7,0)</f>
        <v>0</v>
      </c>
      <c r="H150" s="101"/>
      <c r="I150" s="101"/>
      <c r="J150" s="101"/>
      <c r="K150" s="101"/>
      <c r="L150" s="102"/>
      <c r="M150" s="103"/>
      <c r="N150" s="105"/>
      <c r="O150" s="101">
        <f t="shared" si="2"/>
        <v>40187.5</v>
      </c>
      <c r="P150" s="103">
        <f>RICavMilestoneVal+CavityStatus[[#This Row],[Incentive Earned]]+CavityStatus[[#This Row],[Recipe Modification (Mod 9)]]+N150</f>
        <v>40187.5</v>
      </c>
      <c r="Q150" s="102"/>
      <c r="T150" s="97">
        <v>18</v>
      </c>
    </row>
    <row r="151" spans="1:20" x14ac:dyDescent="0.2">
      <c r="A151" s="113"/>
      <c r="B151" s="98" t="s">
        <v>384</v>
      </c>
      <c r="C151" s="98" t="s">
        <v>377</v>
      </c>
      <c r="D151" s="100"/>
      <c r="E151" s="100"/>
      <c r="F151" s="99"/>
      <c r="G151" s="99">
        <f>IF(CavityStatus[[#This Row],[Actual Ship Date]]&lt;&gt;0,($E151-$D151)/7,0)</f>
        <v>0</v>
      </c>
      <c r="H151" s="101"/>
      <c r="I151" s="101"/>
      <c r="J151" s="101"/>
      <c r="K151" s="101"/>
      <c r="L151" s="102"/>
      <c r="M151" s="103"/>
      <c r="N151" s="105"/>
      <c r="O151" s="101">
        <f t="shared" si="2"/>
        <v>40187.5</v>
      </c>
      <c r="P151" s="103">
        <f>RICavMilestoneVal+CavityStatus[[#This Row],[Incentive Earned]]+CavityStatus[[#This Row],[Recipe Modification (Mod 9)]]+N151</f>
        <v>40187.5</v>
      </c>
      <c r="Q151" s="102"/>
      <c r="T151" s="97">
        <v>3</v>
      </c>
    </row>
    <row r="152" spans="1:20" x14ac:dyDescent="0.2">
      <c r="A152" s="113"/>
      <c r="B152" s="98" t="s">
        <v>385</v>
      </c>
      <c r="C152" s="98" t="s">
        <v>377</v>
      </c>
      <c r="D152" s="100"/>
      <c r="E152" s="100"/>
      <c r="F152" s="99"/>
      <c r="G152" s="99">
        <f>IF(CavityStatus[[#This Row],[Actual Ship Date]]&lt;&gt;0,($E152-$D152)/7,0)</f>
        <v>0</v>
      </c>
      <c r="H152" s="101"/>
      <c r="I152" s="101"/>
      <c r="J152" s="101"/>
      <c r="K152" s="101"/>
      <c r="L152" s="102"/>
      <c r="M152" s="103"/>
      <c r="N152" s="105"/>
      <c r="O152" s="101">
        <f t="shared" si="2"/>
        <v>40187.5</v>
      </c>
      <c r="P152" s="103">
        <f>RICavMilestoneVal+CavityStatus[[#This Row],[Incentive Earned]]+CavityStatus[[#This Row],[Recipe Modification (Mod 9)]]+N152</f>
        <v>40187.5</v>
      </c>
      <c r="Q152" s="102"/>
      <c r="T152" s="97">
        <v>32</v>
      </c>
    </row>
    <row r="153" spans="1:20" x14ac:dyDescent="0.2">
      <c r="A153" s="113"/>
      <c r="B153" s="98" t="s">
        <v>386</v>
      </c>
      <c r="C153" s="98" t="s">
        <v>418</v>
      </c>
      <c r="D153" s="100"/>
      <c r="E153" s="100"/>
      <c r="F153" s="99"/>
      <c r="G153" s="99">
        <f>IF(CavityStatus[[#This Row],[Actual Ship Date]]&lt;&gt;0,($E153-$D153)/7,0)</f>
        <v>0</v>
      </c>
      <c r="H153" s="101"/>
      <c r="I153" s="101"/>
      <c r="J153" s="101"/>
      <c r="K153" s="101"/>
      <c r="L153" s="102"/>
      <c r="M153" s="103"/>
      <c r="N153" s="105"/>
      <c r="O153" s="101">
        <f t="shared" si="2"/>
        <v>40187.5</v>
      </c>
      <c r="P153" s="103">
        <f>RICavMilestoneVal+CavityStatus[[#This Row],[Incentive Earned]]+CavityStatus[[#This Row],[Recipe Modification (Mod 9)]]+N153</f>
        <v>40187.5</v>
      </c>
      <c r="Q153" s="102"/>
    </row>
    <row r="154" spans="1:20" x14ac:dyDescent="0.2">
      <c r="A154" s="113"/>
      <c r="B154" s="98" t="s">
        <v>386</v>
      </c>
      <c r="C154" s="98" t="s">
        <v>420</v>
      </c>
      <c r="D154" s="100"/>
      <c r="E154" s="100"/>
      <c r="F154" s="99"/>
      <c r="G154" s="99">
        <f>IF(CavityStatus[[#This Row],[Actual Ship Date]]&lt;&gt;0,($E154-$D154)/7,0)</f>
        <v>0</v>
      </c>
      <c r="H154" s="101"/>
      <c r="I154" s="101"/>
      <c r="J154" s="101"/>
      <c r="K154" s="101"/>
      <c r="L154" s="102"/>
      <c r="M154" s="103"/>
      <c r="N154" s="105"/>
      <c r="O154" s="101">
        <f t="shared" si="2"/>
        <v>40187.5</v>
      </c>
      <c r="P154" s="103">
        <f>RICavMilestoneVal+CavityStatus[[#This Row],[Incentive Earned]]+CavityStatus[[#This Row],[Recipe Modification (Mod 9)]]+N154</f>
        <v>40187.5</v>
      </c>
      <c r="Q154" s="102"/>
    </row>
    <row r="155" spans="1:20" x14ac:dyDescent="0.2">
      <c r="A155" s="113"/>
      <c r="B155" s="98" t="s">
        <v>387</v>
      </c>
      <c r="C155" s="98" t="s">
        <v>418</v>
      </c>
      <c r="D155" s="100"/>
      <c r="E155" s="100"/>
      <c r="F155" s="99"/>
      <c r="G155" s="99">
        <f>IF(CavityStatus[[#This Row],[Actual Ship Date]]&lt;&gt;0,($E155-$D155)/7,0)</f>
        <v>0</v>
      </c>
      <c r="H155" s="101"/>
      <c r="I155" s="101"/>
      <c r="J155" s="101"/>
      <c r="K155" s="101"/>
      <c r="L155" s="102"/>
      <c r="M155" s="103"/>
      <c r="N155" s="105"/>
      <c r="O155" s="101">
        <f t="shared" si="2"/>
        <v>40187.5</v>
      </c>
      <c r="P155" s="103">
        <f>RICavMilestoneVal+CavityStatus[[#This Row],[Incentive Earned]]+CavityStatus[[#This Row],[Recipe Modification (Mod 9)]]+N155</f>
        <v>40187.5</v>
      </c>
      <c r="Q155" s="102"/>
    </row>
    <row r="156" spans="1:20" x14ac:dyDescent="0.2">
      <c r="A156" s="113"/>
      <c r="B156" s="98" t="s">
        <v>387</v>
      </c>
      <c r="C156" s="98" t="s">
        <v>420</v>
      </c>
      <c r="D156" s="100"/>
      <c r="E156" s="100"/>
      <c r="F156" s="99"/>
      <c r="G156" s="99">
        <f>IF(CavityStatus[[#This Row],[Actual Ship Date]]&lt;&gt;0,($E156-$D156)/7,0)</f>
        <v>0</v>
      </c>
      <c r="H156" s="101"/>
      <c r="I156" s="101"/>
      <c r="J156" s="101"/>
      <c r="K156" s="101"/>
      <c r="L156" s="102"/>
      <c r="M156" s="103"/>
      <c r="N156" s="105"/>
      <c r="O156" s="101">
        <f t="shared" si="2"/>
        <v>40187.5</v>
      </c>
      <c r="P156" s="103">
        <f>RICavMilestoneVal+CavityStatus[[#This Row],[Incentive Earned]]+CavityStatus[[#This Row],[Recipe Modification (Mod 9)]]+N156</f>
        <v>40187.5</v>
      </c>
      <c r="Q156" s="102"/>
    </row>
    <row r="157" spans="1:20" x14ac:dyDescent="0.2">
      <c r="A157" s="113"/>
      <c r="B157" s="98" t="s">
        <v>388</v>
      </c>
      <c r="C157" s="98" t="s">
        <v>418</v>
      </c>
      <c r="D157" s="100"/>
      <c r="E157" s="100"/>
      <c r="F157" s="99"/>
      <c r="G157" s="99">
        <f>IF(CavityStatus[[#This Row],[Actual Ship Date]]&lt;&gt;0,($E157-$D157)/7,0)</f>
        <v>0</v>
      </c>
      <c r="H157" s="101"/>
      <c r="I157" s="101"/>
      <c r="J157" s="101"/>
      <c r="K157" s="101"/>
      <c r="L157" s="102"/>
      <c r="M157" s="103"/>
      <c r="N157" s="105"/>
      <c r="O157" s="101">
        <f t="shared" si="2"/>
        <v>40187.5</v>
      </c>
      <c r="P157" s="103">
        <f>RICavMilestoneVal+CavityStatus[[#This Row],[Incentive Earned]]+CavityStatus[[#This Row],[Recipe Modification (Mod 9)]]+N157</f>
        <v>40187.5</v>
      </c>
      <c r="Q157" s="102"/>
    </row>
    <row r="158" spans="1:20" x14ac:dyDescent="0.2">
      <c r="A158" s="113"/>
      <c r="B158" s="98" t="s">
        <v>388</v>
      </c>
      <c r="C158" s="98" t="s">
        <v>420</v>
      </c>
      <c r="D158" s="100"/>
      <c r="E158" s="100"/>
      <c r="F158" s="99"/>
      <c r="G158" s="99">
        <f>IF(CavityStatus[[#This Row],[Actual Ship Date]]&lt;&gt;0,($E158-$D158)/7,0)</f>
        <v>0</v>
      </c>
      <c r="H158" s="101"/>
      <c r="I158" s="101"/>
      <c r="J158" s="101"/>
      <c r="K158" s="101"/>
      <c r="L158" s="102"/>
      <c r="M158" s="103"/>
      <c r="N158" s="105"/>
      <c r="O158" s="101">
        <f t="shared" si="2"/>
        <v>40187.5</v>
      </c>
      <c r="P158" s="103">
        <f>RICavMilestoneVal+CavityStatus[[#This Row],[Incentive Earned]]+CavityStatus[[#This Row],[Recipe Modification (Mod 9)]]+N158</f>
        <v>40187.5</v>
      </c>
      <c r="Q158" s="102"/>
    </row>
    <row r="159" spans="1:20" x14ac:dyDescent="0.2">
      <c r="A159" s="113"/>
      <c r="B159" s="98" t="s">
        <v>389</v>
      </c>
      <c r="C159" s="98" t="s">
        <v>418</v>
      </c>
      <c r="D159" s="100"/>
      <c r="E159" s="100"/>
      <c r="F159" s="99"/>
      <c r="G159" s="99">
        <f>IF(CavityStatus[[#This Row],[Actual Ship Date]]&lt;&gt;0,($E159-$D159)/7,0)</f>
        <v>0</v>
      </c>
      <c r="H159" s="101"/>
      <c r="I159" s="101"/>
      <c r="J159" s="101"/>
      <c r="K159" s="101"/>
      <c r="L159" s="102"/>
      <c r="M159" s="103"/>
      <c r="N159" s="105"/>
      <c r="O159" s="101">
        <f t="shared" si="2"/>
        <v>40187.5</v>
      </c>
      <c r="P159" s="103">
        <f>RICavMilestoneVal+CavityStatus[[#This Row],[Incentive Earned]]+CavityStatus[[#This Row],[Recipe Modification (Mod 9)]]+N159</f>
        <v>40187.5</v>
      </c>
      <c r="Q159" s="102"/>
    </row>
    <row r="160" spans="1:20" x14ac:dyDescent="0.2">
      <c r="A160" s="113"/>
      <c r="B160" s="98" t="s">
        <v>389</v>
      </c>
      <c r="C160" s="98" t="s">
        <v>420</v>
      </c>
      <c r="D160" s="100"/>
      <c r="E160" s="100"/>
      <c r="F160" s="99"/>
      <c r="G160" s="99">
        <f>IF(CavityStatus[[#This Row],[Actual Ship Date]]&lt;&gt;0,($E160-$D160)/7,0)</f>
        <v>0</v>
      </c>
      <c r="H160" s="101"/>
      <c r="I160" s="101"/>
      <c r="J160" s="101"/>
      <c r="K160" s="101"/>
      <c r="L160" s="102"/>
      <c r="M160" s="103"/>
      <c r="N160" s="105"/>
      <c r="O160" s="101">
        <f t="shared" si="2"/>
        <v>40187.5</v>
      </c>
      <c r="P160" s="103">
        <f>RICavMilestoneVal+CavityStatus[[#This Row],[Incentive Earned]]+CavityStatus[[#This Row],[Recipe Modification (Mod 9)]]+N160</f>
        <v>40187.5</v>
      </c>
      <c r="Q160" s="102"/>
    </row>
    <row r="161" spans="1:17" x14ac:dyDescent="0.2">
      <c r="A161" s="113"/>
      <c r="B161" s="98" t="s">
        <v>390</v>
      </c>
      <c r="C161" s="98" t="s">
        <v>418</v>
      </c>
      <c r="D161" s="100"/>
      <c r="E161" s="100"/>
      <c r="F161" s="99"/>
      <c r="G161" s="99">
        <f>IF(CavityStatus[[#This Row],[Actual Ship Date]]&lt;&gt;0,($E161-$D161)/7,0)</f>
        <v>0</v>
      </c>
      <c r="H161" s="101"/>
      <c r="I161" s="101"/>
      <c r="J161" s="101"/>
      <c r="K161" s="101"/>
      <c r="L161" s="102"/>
      <c r="M161" s="103"/>
      <c r="N161" s="105"/>
      <c r="O161" s="101">
        <f t="shared" si="2"/>
        <v>40187.5</v>
      </c>
      <c r="P161" s="103">
        <f>RICavMilestoneVal+CavityStatus[[#This Row],[Incentive Earned]]+CavityStatus[[#This Row],[Recipe Modification (Mod 9)]]+N161</f>
        <v>40187.5</v>
      </c>
      <c r="Q161" s="102"/>
    </row>
    <row r="162" spans="1:17" x14ac:dyDescent="0.2">
      <c r="A162" s="113"/>
      <c r="B162" s="98" t="s">
        <v>390</v>
      </c>
      <c r="C162" s="98" t="s">
        <v>420</v>
      </c>
      <c r="D162" s="100"/>
      <c r="E162" s="100"/>
      <c r="F162" s="99"/>
      <c r="G162" s="99">
        <f>IF(CavityStatus[[#This Row],[Actual Ship Date]]&lt;&gt;0,($E162-$D162)/7,0)</f>
        <v>0</v>
      </c>
      <c r="H162" s="101"/>
      <c r="I162" s="101"/>
      <c r="J162" s="101"/>
      <c r="K162" s="101"/>
      <c r="L162" s="102"/>
      <c r="M162" s="103"/>
      <c r="N162" s="105"/>
      <c r="O162" s="101">
        <f t="shared" si="2"/>
        <v>40187.5</v>
      </c>
      <c r="P162" s="103">
        <f>RICavMilestoneVal+CavityStatus[[#This Row],[Incentive Earned]]+CavityStatus[[#This Row],[Recipe Modification (Mod 9)]]+N162</f>
        <v>40187.5</v>
      </c>
      <c r="Q162" s="102"/>
    </row>
    <row r="163" spans="1:17" x14ac:dyDescent="0.2">
      <c r="A163" s="113"/>
      <c r="B163" s="98" t="s">
        <v>391</v>
      </c>
      <c r="C163" s="98" t="s">
        <v>418</v>
      </c>
      <c r="D163" s="100"/>
      <c r="E163" s="100"/>
      <c r="F163" s="99"/>
      <c r="G163" s="99">
        <f>IF(CavityStatus[[#This Row],[Actual Ship Date]]&lt;&gt;0,($E163-$D163)/7,0)</f>
        <v>0</v>
      </c>
      <c r="H163" s="101"/>
      <c r="I163" s="101"/>
      <c r="J163" s="101"/>
      <c r="K163" s="101"/>
      <c r="L163" s="102"/>
      <c r="M163" s="103"/>
      <c r="N163" s="105"/>
      <c r="O163" s="101">
        <f t="shared" si="2"/>
        <v>40187.5</v>
      </c>
      <c r="P163" s="103">
        <f>RICavMilestoneVal+CavityStatus[[#This Row],[Incentive Earned]]+CavityStatus[[#This Row],[Recipe Modification (Mod 9)]]+N163</f>
        <v>40187.5</v>
      </c>
      <c r="Q163" s="102"/>
    </row>
    <row r="164" spans="1:17" x14ac:dyDescent="0.2">
      <c r="A164" s="113"/>
      <c r="B164" s="98" t="s">
        <v>391</v>
      </c>
      <c r="C164" s="98" t="s">
        <v>420</v>
      </c>
      <c r="D164" s="100"/>
      <c r="E164" s="100"/>
      <c r="F164" s="99"/>
      <c r="G164" s="99">
        <f>IF(CavityStatus[[#This Row],[Actual Ship Date]]&lt;&gt;0,($E164-$D164)/7,0)</f>
        <v>0</v>
      </c>
      <c r="H164" s="101"/>
      <c r="I164" s="101"/>
      <c r="J164" s="101"/>
      <c r="K164" s="101"/>
      <c r="L164" s="102"/>
      <c r="M164" s="103"/>
      <c r="N164" s="105"/>
      <c r="O164" s="101">
        <f t="shared" si="2"/>
        <v>40187.5</v>
      </c>
      <c r="P164" s="103">
        <f>RICavMilestoneVal+CavityStatus[[#This Row],[Incentive Earned]]+CavityStatus[[#This Row],[Recipe Modification (Mod 9)]]+N164</f>
        <v>40187.5</v>
      </c>
      <c r="Q164" s="102"/>
    </row>
    <row r="165" spans="1:17" x14ac:dyDescent="0.2">
      <c r="A165" s="113"/>
      <c r="B165" s="98" t="s">
        <v>392</v>
      </c>
      <c r="C165" s="98" t="s">
        <v>418</v>
      </c>
      <c r="D165" s="100"/>
      <c r="E165" s="100"/>
      <c r="F165" s="99"/>
      <c r="G165" s="99">
        <f>IF(CavityStatus[[#This Row],[Actual Ship Date]]&lt;&gt;0,($E165-$D165)/7,0)</f>
        <v>0</v>
      </c>
      <c r="H165" s="101"/>
      <c r="I165" s="101"/>
      <c r="J165" s="101"/>
      <c r="K165" s="101"/>
      <c r="L165" s="102"/>
      <c r="M165" s="103"/>
      <c r="N165" s="105"/>
      <c r="O165" s="101">
        <f t="shared" si="2"/>
        <v>40187.5</v>
      </c>
      <c r="P165" s="103">
        <f>RICavMilestoneVal+CavityStatus[[#This Row],[Incentive Earned]]+CavityStatus[[#This Row],[Recipe Modification (Mod 9)]]+N165</f>
        <v>40187.5</v>
      </c>
      <c r="Q165" s="102"/>
    </row>
    <row r="166" spans="1:17" x14ac:dyDescent="0.2">
      <c r="A166" s="113"/>
      <c r="B166" s="98" t="s">
        <v>392</v>
      </c>
      <c r="C166" s="98" t="s">
        <v>420</v>
      </c>
      <c r="D166" s="100"/>
      <c r="E166" s="100"/>
      <c r="F166" s="99"/>
      <c r="G166" s="99">
        <f>IF(CavityStatus[[#This Row],[Actual Ship Date]]&lt;&gt;0,($E166-$D166)/7,0)</f>
        <v>0</v>
      </c>
      <c r="H166" s="101"/>
      <c r="I166" s="101"/>
      <c r="J166" s="101"/>
      <c r="K166" s="101"/>
      <c r="L166" s="102"/>
      <c r="M166" s="103"/>
      <c r="N166" s="105"/>
      <c r="O166" s="101">
        <f t="shared" si="2"/>
        <v>40187.5</v>
      </c>
      <c r="P166" s="103">
        <f>RICavMilestoneVal+CavityStatus[[#This Row],[Incentive Earned]]+CavityStatus[[#This Row],[Recipe Modification (Mod 9)]]+N166</f>
        <v>40187.5</v>
      </c>
      <c r="Q166" s="102"/>
    </row>
    <row r="167" spans="1:17" x14ac:dyDescent="0.2">
      <c r="A167" s="113"/>
      <c r="B167" s="98" t="s">
        <v>393</v>
      </c>
      <c r="C167" s="98" t="s">
        <v>418</v>
      </c>
      <c r="D167" s="100"/>
      <c r="E167" s="100"/>
      <c r="F167" s="99"/>
      <c r="G167" s="99">
        <f>IF(CavityStatus[[#This Row],[Actual Ship Date]]&lt;&gt;0,($E167-$D167)/7,0)</f>
        <v>0</v>
      </c>
      <c r="H167" s="101"/>
      <c r="I167" s="101"/>
      <c r="J167" s="101"/>
      <c r="K167" s="101"/>
      <c r="L167" s="102"/>
      <c r="M167" s="103"/>
      <c r="N167" s="105"/>
      <c r="O167" s="101">
        <f t="shared" si="2"/>
        <v>40187.5</v>
      </c>
      <c r="P167" s="103">
        <f>RICavMilestoneVal+CavityStatus[[#This Row],[Incentive Earned]]+CavityStatus[[#This Row],[Recipe Modification (Mod 9)]]+N167</f>
        <v>40187.5</v>
      </c>
      <c r="Q167" s="102"/>
    </row>
    <row r="168" spans="1:17" x14ac:dyDescent="0.2">
      <c r="A168" s="113"/>
      <c r="B168" s="98" t="s">
        <v>393</v>
      </c>
      <c r="C168" s="98" t="s">
        <v>420</v>
      </c>
      <c r="D168" s="100"/>
      <c r="E168" s="100"/>
      <c r="F168" s="99"/>
      <c r="G168" s="99">
        <f>IF(CavityStatus[[#This Row],[Actual Ship Date]]&lt;&gt;0,($E168-$D168)/7,0)</f>
        <v>0</v>
      </c>
      <c r="H168" s="101"/>
      <c r="I168" s="101"/>
      <c r="J168" s="101"/>
      <c r="K168" s="101"/>
      <c r="L168" s="102"/>
      <c r="M168" s="103"/>
      <c r="N168" s="105"/>
      <c r="O168" s="101">
        <f t="shared" si="2"/>
        <v>40187.5</v>
      </c>
      <c r="P168" s="103">
        <f>RICavMilestoneVal+CavityStatus[[#This Row],[Incentive Earned]]+CavityStatus[[#This Row],[Recipe Modification (Mod 9)]]+N168</f>
        <v>40187.5</v>
      </c>
      <c r="Q168" s="102"/>
    </row>
    <row r="169" spans="1:17" x14ac:dyDescent="0.2">
      <c r="A169" s="113"/>
      <c r="B169" s="98" t="s">
        <v>394</v>
      </c>
      <c r="C169" s="98" t="s">
        <v>418</v>
      </c>
      <c r="D169" s="100"/>
      <c r="E169" s="100"/>
      <c r="F169" s="99"/>
      <c r="G169" s="99">
        <f>IF(CavityStatus[[#This Row],[Actual Ship Date]]&lt;&gt;0,($E169-$D169)/7,0)</f>
        <v>0</v>
      </c>
      <c r="H169" s="101"/>
      <c r="I169" s="101"/>
      <c r="J169" s="101"/>
      <c r="K169" s="101"/>
      <c r="L169" s="102"/>
      <c r="M169" s="103"/>
      <c r="N169" s="105"/>
      <c r="O169" s="101">
        <f t="shared" si="2"/>
        <v>40187.5</v>
      </c>
      <c r="P169" s="103">
        <f>RICavMilestoneVal+CavityStatus[[#This Row],[Incentive Earned]]+CavityStatus[[#This Row],[Recipe Modification (Mod 9)]]+N169</f>
        <v>40187.5</v>
      </c>
      <c r="Q169" s="102"/>
    </row>
    <row r="170" spans="1:17" x14ac:dyDescent="0.2">
      <c r="A170" s="113"/>
      <c r="B170" s="98" t="s">
        <v>394</v>
      </c>
      <c r="C170" s="98" t="s">
        <v>420</v>
      </c>
      <c r="D170" s="100"/>
      <c r="E170" s="100"/>
      <c r="F170" s="99"/>
      <c r="G170" s="99">
        <f>IF(CavityStatus[[#This Row],[Actual Ship Date]]&lt;&gt;0,($E170-$D170)/7,0)</f>
        <v>0</v>
      </c>
      <c r="H170" s="101"/>
      <c r="I170" s="101"/>
      <c r="J170" s="101"/>
      <c r="K170" s="101"/>
      <c r="L170" s="102"/>
      <c r="M170" s="103"/>
      <c r="N170" s="105"/>
      <c r="O170" s="101">
        <f t="shared" si="2"/>
        <v>40187.5</v>
      </c>
      <c r="P170" s="103">
        <f>RICavMilestoneVal+CavityStatus[[#This Row],[Incentive Earned]]+CavityStatus[[#This Row],[Recipe Modification (Mod 9)]]+N170</f>
        <v>40187.5</v>
      </c>
      <c r="Q170" s="102"/>
    </row>
    <row r="171" spans="1:17" x14ac:dyDescent="0.2">
      <c r="A171" s="113"/>
      <c r="B171" s="98" t="s">
        <v>395</v>
      </c>
      <c r="C171" s="98" t="s">
        <v>418</v>
      </c>
      <c r="D171" s="100"/>
      <c r="E171" s="100"/>
      <c r="F171" s="99"/>
      <c r="G171" s="99">
        <f>IF(CavityStatus[[#This Row],[Actual Ship Date]]&lt;&gt;0,($E171-$D171)/7,0)</f>
        <v>0</v>
      </c>
      <c r="H171" s="101"/>
      <c r="I171" s="101"/>
      <c r="J171" s="101"/>
      <c r="K171" s="101"/>
      <c r="L171" s="102"/>
      <c r="M171" s="103"/>
      <c r="N171" s="105"/>
      <c r="O171" s="101">
        <f t="shared" si="2"/>
        <v>40187.5</v>
      </c>
      <c r="P171" s="103">
        <f>RICavMilestoneVal+CavityStatus[[#This Row],[Incentive Earned]]+CavityStatus[[#This Row],[Recipe Modification (Mod 9)]]+N171</f>
        <v>40187.5</v>
      </c>
      <c r="Q171" s="102"/>
    </row>
    <row r="172" spans="1:17" x14ac:dyDescent="0.2">
      <c r="A172" s="113"/>
      <c r="B172" s="98" t="s">
        <v>395</v>
      </c>
      <c r="C172" s="98" t="s">
        <v>420</v>
      </c>
      <c r="D172" s="100"/>
      <c r="E172" s="100"/>
      <c r="F172" s="99"/>
      <c r="G172" s="99">
        <f>IF(CavityStatus[[#This Row],[Actual Ship Date]]&lt;&gt;0,($E172-$D172)/7,0)</f>
        <v>0</v>
      </c>
      <c r="H172" s="101"/>
      <c r="I172" s="101"/>
      <c r="J172" s="101"/>
      <c r="K172" s="101"/>
      <c r="L172" s="102"/>
      <c r="M172" s="103"/>
      <c r="N172" s="105"/>
      <c r="O172" s="101">
        <f t="shared" si="2"/>
        <v>40187.5</v>
      </c>
      <c r="P172" s="103">
        <f>RICavMilestoneVal+CavityStatus[[#This Row],[Incentive Earned]]+CavityStatus[[#This Row],[Recipe Modification (Mod 9)]]+N172</f>
        <v>40187.5</v>
      </c>
      <c r="Q172" s="102"/>
    </row>
    <row r="173" spans="1:17" x14ac:dyDescent="0.2">
      <c r="A173" s="113"/>
      <c r="B173" s="98" t="s">
        <v>396</v>
      </c>
      <c r="C173" s="98" t="s">
        <v>418</v>
      </c>
      <c r="D173" s="100"/>
      <c r="E173" s="100"/>
      <c r="F173" s="99"/>
      <c r="G173" s="99">
        <f>IF(CavityStatus[[#This Row],[Actual Ship Date]]&lt;&gt;0,($E173-$D173)/7,0)</f>
        <v>0</v>
      </c>
      <c r="H173" s="101"/>
      <c r="I173" s="101"/>
      <c r="J173" s="101"/>
      <c r="K173" s="101"/>
      <c r="L173" s="102"/>
      <c r="M173" s="103"/>
      <c r="N173" s="105"/>
      <c r="O173" s="101">
        <f t="shared" si="2"/>
        <v>40187.5</v>
      </c>
      <c r="P173" s="103">
        <f>RICavMilestoneVal+CavityStatus[[#This Row],[Incentive Earned]]+CavityStatus[[#This Row],[Recipe Modification (Mod 9)]]+N173</f>
        <v>40187.5</v>
      </c>
      <c r="Q173" s="102"/>
    </row>
    <row r="174" spans="1:17" x14ac:dyDescent="0.2">
      <c r="A174" s="113"/>
      <c r="B174" s="98" t="s">
        <v>396</v>
      </c>
      <c r="C174" s="98" t="s">
        <v>420</v>
      </c>
      <c r="D174" s="100"/>
      <c r="E174" s="100"/>
      <c r="F174" s="99"/>
      <c r="G174" s="99">
        <f>IF(CavityStatus[[#This Row],[Actual Ship Date]]&lt;&gt;0,($E174-$D174)/7,0)</f>
        <v>0</v>
      </c>
      <c r="H174" s="101"/>
      <c r="I174" s="101"/>
      <c r="J174" s="101"/>
      <c r="K174" s="101"/>
      <c r="L174" s="102"/>
      <c r="M174" s="103"/>
      <c r="N174" s="105"/>
      <c r="O174" s="101">
        <f t="shared" si="2"/>
        <v>40187.5</v>
      </c>
      <c r="P174" s="103">
        <f>RICavMilestoneVal+CavityStatus[[#This Row],[Incentive Earned]]+CavityStatus[[#This Row],[Recipe Modification (Mod 9)]]+N174</f>
        <v>40187.5</v>
      </c>
      <c r="Q174" s="102"/>
    </row>
    <row r="175" spans="1:17" x14ac:dyDescent="0.2">
      <c r="A175" s="113"/>
      <c r="B175" s="98" t="s">
        <v>397</v>
      </c>
      <c r="C175" s="98" t="s">
        <v>418</v>
      </c>
      <c r="D175" s="100"/>
      <c r="E175" s="100"/>
      <c r="F175" s="99"/>
      <c r="G175" s="99">
        <f>IF(CavityStatus[[#This Row],[Actual Ship Date]]&lt;&gt;0,($E175-$D175)/7,0)</f>
        <v>0</v>
      </c>
      <c r="H175" s="101"/>
      <c r="I175" s="101"/>
      <c r="J175" s="101"/>
      <c r="K175" s="101"/>
      <c r="L175" s="102"/>
      <c r="M175" s="103"/>
      <c r="N175" s="105"/>
      <c r="O175" s="101">
        <f t="shared" si="2"/>
        <v>40187.5</v>
      </c>
      <c r="P175" s="103">
        <f>RICavMilestoneVal+CavityStatus[[#This Row],[Incentive Earned]]+CavityStatus[[#This Row],[Recipe Modification (Mod 9)]]+N175</f>
        <v>40187.5</v>
      </c>
      <c r="Q175" s="102"/>
    </row>
    <row r="176" spans="1:17" x14ac:dyDescent="0.2">
      <c r="A176" s="113"/>
      <c r="B176" s="98" t="s">
        <v>397</v>
      </c>
      <c r="C176" s="98" t="s">
        <v>420</v>
      </c>
      <c r="D176" s="100"/>
      <c r="E176" s="100"/>
      <c r="F176" s="99"/>
      <c r="G176" s="99">
        <f>IF(CavityStatus[[#This Row],[Actual Ship Date]]&lt;&gt;0,($E176-$D176)/7,0)</f>
        <v>0</v>
      </c>
      <c r="H176" s="101"/>
      <c r="I176" s="101"/>
      <c r="J176" s="101"/>
      <c r="K176" s="101"/>
      <c r="L176" s="102"/>
      <c r="M176" s="103"/>
      <c r="N176" s="105"/>
      <c r="O176" s="101">
        <f t="shared" si="2"/>
        <v>40187.5</v>
      </c>
      <c r="P176" s="103">
        <f>RICavMilestoneVal+CavityStatus[[#This Row],[Incentive Earned]]+CavityStatus[[#This Row],[Recipe Modification (Mod 9)]]+N176</f>
        <v>40187.5</v>
      </c>
      <c r="Q176" s="102"/>
    </row>
    <row r="177" spans="1:17" x14ac:dyDescent="0.2">
      <c r="A177" s="113"/>
      <c r="B177" s="98" t="s">
        <v>398</v>
      </c>
      <c r="C177" s="98" t="s">
        <v>418</v>
      </c>
      <c r="D177" s="100"/>
      <c r="E177" s="100"/>
      <c r="F177" s="99"/>
      <c r="G177" s="99">
        <f>IF(CavityStatus[[#This Row],[Actual Ship Date]]&lt;&gt;0,($E177-$D177)/7,0)</f>
        <v>0</v>
      </c>
      <c r="H177" s="101"/>
      <c r="I177" s="101"/>
      <c r="J177" s="101"/>
      <c r="K177" s="101"/>
      <c r="L177" s="102"/>
      <c r="M177" s="103"/>
      <c r="N177" s="105"/>
      <c r="O177" s="101">
        <f t="shared" si="2"/>
        <v>40187.5</v>
      </c>
      <c r="P177" s="103">
        <f>RICavMilestoneVal+CavityStatus[[#This Row],[Incentive Earned]]+CavityStatus[[#This Row],[Recipe Modification (Mod 9)]]+N177</f>
        <v>40187.5</v>
      </c>
      <c r="Q177" s="102"/>
    </row>
    <row r="178" spans="1:17" x14ac:dyDescent="0.2">
      <c r="A178" s="113"/>
      <c r="B178" s="98" t="s">
        <v>398</v>
      </c>
      <c r="C178" s="98" t="s">
        <v>420</v>
      </c>
      <c r="D178" s="100"/>
      <c r="E178" s="100"/>
      <c r="F178" s="99"/>
      <c r="G178" s="99">
        <f>IF(CavityStatus[[#This Row],[Actual Ship Date]]&lt;&gt;0,($E178-$D178)/7,0)</f>
        <v>0</v>
      </c>
      <c r="H178" s="101"/>
      <c r="I178" s="101"/>
      <c r="J178" s="101"/>
      <c r="K178" s="101"/>
      <c r="L178" s="102"/>
      <c r="M178" s="103"/>
      <c r="N178" s="105"/>
      <c r="O178" s="101">
        <f t="shared" si="2"/>
        <v>40187.5</v>
      </c>
      <c r="P178" s="103">
        <f>RICavMilestoneVal+CavityStatus[[#This Row],[Incentive Earned]]+CavityStatus[[#This Row],[Recipe Modification (Mod 9)]]+N178</f>
        <v>40187.5</v>
      </c>
      <c r="Q178" s="102"/>
    </row>
    <row r="179" spans="1:17" x14ac:dyDescent="0.2">
      <c r="A179" s="113"/>
      <c r="B179" s="98" t="s">
        <v>399</v>
      </c>
      <c r="C179" s="98" t="s">
        <v>418</v>
      </c>
      <c r="D179" s="100"/>
      <c r="E179" s="100"/>
      <c r="F179" s="99"/>
      <c r="G179" s="99">
        <f>IF(CavityStatus[[#This Row],[Actual Ship Date]]&lt;&gt;0,($E179-$D179)/7,0)</f>
        <v>0</v>
      </c>
      <c r="H179" s="101"/>
      <c r="I179" s="101"/>
      <c r="J179" s="101"/>
      <c r="K179" s="101"/>
      <c r="L179" s="102"/>
      <c r="M179" s="103"/>
      <c r="N179" s="105"/>
      <c r="O179" s="101">
        <f t="shared" si="2"/>
        <v>40187.5</v>
      </c>
      <c r="P179" s="103">
        <f>RICavMilestoneVal+CavityStatus[[#This Row],[Incentive Earned]]+CavityStatus[[#This Row],[Recipe Modification (Mod 9)]]+N179</f>
        <v>40187.5</v>
      </c>
      <c r="Q179" s="102"/>
    </row>
    <row r="180" spans="1:17" x14ac:dyDescent="0.2">
      <c r="A180" s="113"/>
      <c r="B180" s="98" t="s">
        <v>399</v>
      </c>
      <c r="C180" s="98" t="s">
        <v>420</v>
      </c>
      <c r="D180" s="100"/>
      <c r="E180" s="100"/>
      <c r="F180" s="99"/>
      <c r="G180" s="99">
        <f>IF(CavityStatus[[#This Row],[Actual Ship Date]]&lt;&gt;0,($E180-$D180)/7,0)</f>
        <v>0</v>
      </c>
      <c r="H180" s="101"/>
      <c r="I180" s="101"/>
      <c r="J180" s="101"/>
      <c r="K180" s="101"/>
      <c r="L180" s="102"/>
      <c r="M180" s="103"/>
      <c r="N180" s="105"/>
      <c r="O180" s="101">
        <f t="shared" si="2"/>
        <v>40187.5</v>
      </c>
      <c r="P180" s="103">
        <f>RICavMilestoneVal+CavityStatus[[#This Row],[Incentive Earned]]+CavityStatus[[#This Row],[Recipe Modification (Mod 9)]]+N180</f>
        <v>40187.5</v>
      </c>
      <c r="Q180" s="102"/>
    </row>
    <row r="181" spans="1:17" x14ac:dyDescent="0.2">
      <c r="A181" s="113"/>
      <c r="B181" s="98" t="s">
        <v>400</v>
      </c>
      <c r="C181" s="98" t="s">
        <v>418</v>
      </c>
      <c r="D181" s="100"/>
      <c r="E181" s="100"/>
      <c r="F181" s="99"/>
      <c r="G181" s="99">
        <f>IF(CavityStatus[[#This Row],[Actual Ship Date]]&lt;&gt;0,($E181-$D181)/7,0)</f>
        <v>0</v>
      </c>
      <c r="H181" s="101"/>
      <c r="I181" s="101"/>
      <c r="J181" s="101"/>
      <c r="K181" s="101"/>
      <c r="L181" s="102"/>
      <c r="M181" s="103"/>
      <c r="N181" s="105"/>
      <c r="O181" s="101">
        <f t="shared" si="2"/>
        <v>40187.5</v>
      </c>
      <c r="P181" s="103">
        <f>RICavMilestoneVal+CavityStatus[[#This Row],[Incentive Earned]]+CavityStatus[[#This Row],[Recipe Modification (Mod 9)]]+N181</f>
        <v>40187.5</v>
      </c>
      <c r="Q181" s="102"/>
    </row>
    <row r="182" spans="1:17" x14ac:dyDescent="0.2">
      <c r="A182" s="113"/>
      <c r="B182" s="98" t="s">
        <v>400</v>
      </c>
      <c r="C182" s="98" t="s">
        <v>420</v>
      </c>
      <c r="D182" s="100"/>
      <c r="E182" s="100"/>
      <c r="F182" s="99"/>
      <c r="G182" s="99">
        <f>IF(CavityStatus[[#This Row],[Actual Ship Date]]&lt;&gt;0,($E182-$D182)/7,0)</f>
        <v>0</v>
      </c>
      <c r="H182" s="101"/>
      <c r="I182" s="101"/>
      <c r="J182" s="101"/>
      <c r="K182" s="101"/>
      <c r="L182" s="102"/>
      <c r="M182" s="103"/>
      <c r="N182" s="105"/>
      <c r="O182" s="101">
        <f t="shared" si="2"/>
        <v>40187.5</v>
      </c>
      <c r="P182" s="103">
        <f>RICavMilestoneVal+CavityStatus[[#This Row],[Incentive Earned]]+CavityStatus[[#This Row],[Recipe Modification (Mod 9)]]+N182</f>
        <v>40187.5</v>
      </c>
      <c r="Q182" s="102"/>
    </row>
    <row r="183" spans="1:17" x14ac:dyDescent="0.2">
      <c r="A183" s="113"/>
      <c r="B183" s="98" t="s">
        <v>401</v>
      </c>
      <c r="C183" s="98" t="s">
        <v>418</v>
      </c>
      <c r="D183" s="100"/>
      <c r="E183" s="100"/>
      <c r="F183" s="99"/>
      <c r="G183" s="99">
        <f>IF(CavityStatus[[#This Row],[Actual Ship Date]]&lt;&gt;0,($E183-$D183)/7,0)</f>
        <v>0</v>
      </c>
      <c r="H183" s="101"/>
      <c r="I183" s="101"/>
      <c r="J183" s="101"/>
      <c r="K183" s="101"/>
      <c r="L183" s="102"/>
      <c r="M183" s="103"/>
      <c r="N183" s="105"/>
      <c r="O183" s="101">
        <f t="shared" si="2"/>
        <v>40187.5</v>
      </c>
      <c r="P183" s="103">
        <f>RICavMilestoneVal+CavityStatus[[#This Row],[Incentive Earned]]+CavityStatus[[#This Row],[Recipe Modification (Mod 9)]]+N183</f>
        <v>40187.5</v>
      </c>
      <c r="Q183" s="102"/>
    </row>
    <row r="184" spans="1:17" x14ac:dyDescent="0.2">
      <c r="A184" s="113"/>
      <c r="B184" s="98" t="s">
        <v>401</v>
      </c>
      <c r="C184" s="98" t="s">
        <v>420</v>
      </c>
      <c r="D184" s="100"/>
      <c r="E184" s="100"/>
      <c r="F184" s="99"/>
      <c r="G184" s="99">
        <f>IF(CavityStatus[[#This Row],[Actual Ship Date]]&lt;&gt;0,($E184-$D184)/7,0)</f>
        <v>0</v>
      </c>
      <c r="H184" s="101"/>
      <c r="I184" s="101"/>
      <c r="J184" s="101"/>
      <c r="K184" s="101"/>
      <c r="L184" s="102"/>
      <c r="M184" s="103"/>
      <c r="N184" s="105"/>
      <c r="O184" s="101">
        <f t="shared" si="2"/>
        <v>40187.5</v>
      </c>
      <c r="P184" s="103">
        <f>RICavMilestoneVal+CavityStatus[[#This Row],[Incentive Earned]]+CavityStatus[[#This Row],[Recipe Modification (Mod 9)]]+N184</f>
        <v>40187.5</v>
      </c>
      <c r="Q184" s="102"/>
    </row>
    <row r="185" spans="1:17" x14ac:dyDescent="0.2">
      <c r="A185" s="113"/>
      <c r="B185" s="98" t="s">
        <v>402</v>
      </c>
      <c r="C185" s="98" t="s">
        <v>418</v>
      </c>
      <c r="D185" s="100"/>
      <c r="E185" s="100"/>
      <c r="F185" s="99"/>
      <c r="G185" s="99">
        <f>IF(CavityStatus[[#This Row],[Actual Ship Date]]&lt;&gt;0,($E185-$D185)/7,0)</f>
        <v>0</v>
      </c>
      <c r="H185" s="101"/>
      <c r="I185" s="101"/>
      <c r="J185" s="101"/>
      <c r="K185" s="101"/>
      <c r="L185" s="102"/>
      <c r="M185" s="103"/>
      <c r="N185" s="105"/>
      <c r="O185" s="101">
        <f t="shared" si="2"/>
        <v>40187.5</v>
      </c>
      <c r="P185" s="103">
        <f>RICavMilestoneVal+CavityStatus[[#This Row],[Incentive Earned]]+CavityStatus[[#This Row],[Recipe Modification (Mod 9)]]+N185</f>
        <v>40187.5</v>
      </c>
      <c r="Q185" s="102"/>
    </row>
    <row r="186" spans="1:17" x14ac:dyDescent="0.2">
      <c r="A186" s="113"/>
      <c r="B186" s="98" t="s">
        <v>402</v>
      </c>
      <c r="C186" s="98" t="s">
        <v>420</v>
      </c>
      <c r="D186" s="100"/>
      <c r="E186" s="100"/>
      <c r="F186" s="99"/>
      <c r="G186" s="99">
        <f>IF(CavityStatus[[#This Row],[Actual Ship Date]]&lt;&gt;0,($E186-$D186)/7,0)</f>
        <v>0</v>
      </c>
      <c r="H186" s="101"/>
      <c r="I186" s="101"/>
      <c r="J186" s="101"/>
      <c r="K186" s="101"/>
      <c r="L186" s="102"/>
      <c r="M186" s="103"/>
      <c r="N186" s="105"/>
      <c r="O186" s="101">
        <f t="shared" si="2"/>
        <v>40187.5</v>
      </c>
      <c r="P186" s="103">
        <f>RICavMilestoneVal+CavityStatus[[#This Row],[Incentive Earned]]+CavityStatus[[#This Row],[Recipe Modification (Mod 9)]]+N186</f>
        <v>40187.5</v>
      </c>
      <c r="Q186" s="102"/>
    </row>
    <row r="187" spans="1:17" x14ac:dyDescent="0.2">
      <c r="A187" s="113"/>
      <c r="B187" s="98" t="s">
        <v>403</v>
      </c>
      <c r="C187" s="98" t="s">
        <v>418</v>
      </c>
      <c r="D187" s="100"/>
      <c r="E187" s="100"/>
      <c r="F187" s="99"/>
      <c r="G187" s="99">
        <f>IF(CavityStatus[[#This Row],[Actual Ship Date]]&lt;&gt;0,($E187-$D187)/7,0)</f>
        <v>0</v>
      </c>
      <c r="H187" s="101"/>
      <c r="I187" s="101"/>
      <c r="J187" s="101"/>
      <c r="K187" s="101"/>
      <c r="L187" s="102"/>
      <c r="M187" s="103"/>
      <c r="N187" s="105"/>
      <c r="O187" s="101">
        <f t="shared" si="2"/>
        <v>40187.5</v>
      </c>
      <c r="P187" s="103">
        <f>RICavMilestoneVal+CavityStatus[[#This Row],[Incentive Earned]]+CavityStatus[[#This Row],[Recipe Modification (Mod 9)]]+N187</f>
        <v>40187.5</v>
      </c>
      <c r="Q187" s="102"/>
    </row>
    <row r="188" spans="1:17" x14ac:dyDescent="0.2">
      <c r="A188" s="113"/>
      <c r="B188" s="98" t="s">
        <v>403</v>
      </c>
      <c r="C188" s="98" t="s">
        <v>420</v>
      </c>
      <c r="D188" s="100"/>
      <c r="E188" s="100"/>
      <c r="F188" s="99"/>
      <c r="G188" s="99">
        <f>IF(CavityStatus[[#This Row],[Actual Ship Date]]&lt;&gt;0,($E188-$D188)/7,0)</f>
        <v>0</v>
      </c>
      <c r="H188" s="101"/>
      <c r="I188" s="101"/>
      <c r="J188" s="101"/>
      <c r="K188" s="101"/>
      <c r="L188" s="102"/>
      <c r="M188" s="103"/>
      <c r="N188" s="105"/>
      <c r="O188" s="101">
        <f t="shared" si="2"/>
        <v>40187.5</v>
      </c>
      <c r="P188" s="103">
        <f>RICavMilestoneVal+CavityStatus[[#This Row],[Incentive Earned]]+CavityStatus[[#This Row],[Recipe Modification (Mod 9)]]+N188</f>
        <v>40187.5</v>
      </c>
      <c r="Q188" s="102"/>
    </row>
    <row r="189" spans="1:17" x14ac:dyDescent="0.2">
      <c r="A189" s="113"/>
      <c r="B189" s="98" t="s">
        <v>404</v>
      </c>
      <c r="C189" s="98" t="s">
        <v>419</v>
      </c>
      <c r="D189" s="100"/>
      <c r="E189" s="100"/>
      <c r="F189" s="99"/>
      <c r="G189" s="99">
        <f>IF(CavityStatus[[#This Row],[Actual Ship Date]]&lt;&gt;0,($E189-$D189)/7,0)</f>
        <v>0</v>
      </c>
      <c r="H189" s="101"/>
      <c r="I189" s="101"/>
      <c r="J189" s="101"/>
      <c r="K189" s="101"/>
      <c r="L189" s="102"/>
      <c r="M189" s="103"/>
      <c r="N189" s="105"/>
      <c r="O189" s="101">
        <f t="shared" si="2"/>
        <v>40187.5</v>
      </c>
      <c r="P189" s="103">
        <f>RICavMilestoneVal+CavityStatus[[#This Row],[Incentive Earned]]+CavityStatus[[#This Row],[Recipe Modification (Mod 9)]]+N189</f>
        <v>40187.5</v>
      </c>
      <c r="Q189" s="102"/>
    </row>
    <row r="190" spans="1:17" x14ac:dyDescent="0.2">
      <c r="A190" s="113"/>
      <c r="B190" s="98" t="s">
        <v>404</v>
      </c>
      <c r="C190" s="98" t="s">
        <v>420</v>
      </c>
      <c r="D190" s="100"/>
      <c r="E190" s="100"/>
      <c r="F190" s="99"/>
      <c r="G190" s="99">
        <f>IF(CavityStatus[[#This Row],[Actual Ship Date]]&lt;&gt;0,($E190-$D190)/7,0)</f>
        <v>0</v>
      </c>
      <c r="H190" s="101"/>
      <c r="I190" s="101"/>
      <c r="J190" s="101"/>
      <c r="K190" s="101"/>
      <c r="L190" s="102"/>
      <c r="M190" s="103"/>
      <c r="N190" s="105"/>
      <c r="O190" s="101">
        <f t="shared" si="2"/>
        <v>40187.5</v>
      </c>
      <c r="P190" s="103">
        <f>RICavMilestoneVal+CavityStatus[[#This Row],[Incentive Earned]]+CavityStatus[[#This Row],[Recipe Modification (Mod 9)]]+N190</f>
        <v>40187.5</v>
      </c>
      <c r="Q190" s="102"/>
    </row>
    <row r="191" spans="1:17" x14ac:dyDescent="0.2">
      <c r="A191" s="113"/>
      <c r="B191" s="98" t="s">
        <v>405</v>
      </c>
      <c r="C191" s="98" t="s">
        <v>419</v>
      </c>
      <c r="D191" s="100"/>
      <c r="E191" s="100"/>
      <c r="F191" s="99"/>
      <c r="G191" s="99">
        <f>IF(CavityStatus[[#This Row],[Actual Ship Date]]&lt;&gt;0,($E191-$D191)/7,0)</f>
        <v>0</v>
      </c>
      <c r="H191" s="101"/>
      <c r="I191" s="101"/>
      <c r="J191" s="101"/>
      <c r="K191" s="101"/>
      <c r="L191" s="102"/>
      <c r="M191" s="103"/>
      <c r="N191" s="105"/>
      <c r="O191" s="101">
        <f t="shared" si="2"/>
        <v>40187.5</v>
      </c>
      <c r="P191" s="103">
        <f>RICavMilestoneVal+CavityStatus[[#This Row],[Incentive Earned]]+CavityStatus[[#This Row],[Recipe Modification (Mod 9)]]+N191</f>
        <v>40187.5</v>
      </c>
      <c r="Q191" s="102"/>
    </row>
    <row r="192" spans="1:17" x14ac:dyDescent="0.2">
      <c r="A192" s="113"/>
      <c r="B192" s="98" t="s">
        <v>405</v>
      </c>
      <c r="C192" s="98" t="s">
        <v>420</v>
      </c>
      <c r="D192" s="100"/>
      <c r="E192" s="100"/>
      <c r="F192" s="99"/>
      <c r="G192" s="99">
        <f>IF(CavityStatus[[#This Row],[Actual Ship Date]]&lt;&gt;0,($E192-$D192)/7,0)</f>
        <v>0</v>
      </c>
      <c r="H192" s="101"/>
      <c r="I192" s="101"/>
      <c r="J192" s="101"/>
      <c r="K192" s="101"/>
      <c r="L192" s="102"/>
      <c r="M192" s="103"/>
      <c r="N192" s="105"/>
      <c r="O192" s="101">
        <f t="shared" si="2"/>
        <v>40187.5</v>
      </c>
      <c r="P192" s="103">
        <f>RICavMilestoneVal+CavityStatus[[#This Row],[Incentive Earned]]+CavityStatus[[#This Row],[Recipe Modification (Mod 9)]]+N192</f>
        <v>40187.5</v>
      </c>
      <c r="Q192" s="102"/>
    </row>
    <row r="193" spans="1:17" x14ac:dyDescent="0.2">
      <c r="A193" s="113"/>
      <c r="B193" s="98" t="s">
        <v>406</v>
      </c>
      <c r="C193" s="98" t="s">
        <v>419</v>
      </c>
      <c r="D193" s="100"/>
      <c r="E193" s="100"/>
      <c r="F193" s="99"/>
      <c r="G193" s="99">
        <f>IF(CavityStatus[[#This Row],[Actual Ship Date]]&lt;&gt;0,($E193-$D193)/7,0)</f>
        <v>0</v>
      </c>
      <c r="H193" s="101"/>
      <c r="I193" s="101"/>
      <c r="J193" s="101"/>
      <c r="K193" s="101"/>
      <c r="L193" s="102"/>
      <c r="M193" s="103"/>
      <c r="N193" s="105"/>
      <c r="O193" s="101">
        <f t="shared" si="2"/>
        <v>40187.5</v>
      </c>
      <c r="P193" s="103">
        <f>RICavMilestoneVal+CavityStatus[[#This Row],[Incentive Earned]]+CavityStatus[[#This Row],[Recipe Modification (Mod 9)]]+N193</f>
        <v>40187.5</v>
      </c>
      <c r="Q193" s="102"/>
    </row>
    <row r="194" spans="1:17" x14ac:dyDescent="0.2">
      <c r="A194" s="113"/>
      <c r="B194" s="98" t="s">
        <v>406</v>
      </c>
      <c r="C194" s="98" t="s">
        <v>420</v>
      </c>
      <c r="D194" s="100"/>
      <c r="E194" s="100"/>
      <c r="F194" s="99"/>
      <c r="G194" s="99">
        <f>IF(CavityStatus[[#This Row],[Actual Ship Date]]&lt;&gt;0,($E194-$D194)/7,0)</f>
        <v>0</v>
      </c>
      <c r="H194" s="101"/>
      <c r="I194" s="101"/>
      <c r="J194" s="101"/>
      <c r="K194" s="101"/>
      <c r="L194" s="102"/>
      <c r="M194" s="103"/>
      <c r="N194" s="105"/>
      <c r="O194" s="101">
        <f t="shared" si="2"/>
        <v>40187.5</v>
      </c>
      <c r="P194" s="103">
        <f>RICavMilestoneVal+CavityStatus[[#This Row],[Incentive Earned]]+CavityStatus[[#This Row],[Recipe Modification (Mod 9)]]+N194</f>
        <v>40187.5</v>
      </c>
      <c r="Q194" s="102"/>
    </row>
    <row r="195" spans="1:17" x14ac:dyDescent="0.2">
      <c r="A195" s="113"/>
      <c r="B195" s="98" t="s">
        <v>407</v>
      </c>
      <c r="C195" s="98" t="s">
        <v>420</v>
      </c>
      <c r="D195" s="100"/>
      <c r="E195" s="100"/>
      <c r="F195" s="99"/>
      <c r="G195" s="99">
        <f>IF(CavityStatus[[#This Row],[Actual Ship Date]]&lt;&gt;0,($E195-$D195)/7,0)</f>
        <v>0</v>
      </c>
      <c r="H195" s="101"/>
      <c r="I195" s="101"/>
      <c r="J195" s="101"/>
      <c r="K195" s="101"/>
      <c r="L195" s="102"/>
      <c r="M195" s="103"/>
      <c r="N195" s="105"/>
      <c r="O195" s="101">
        <f t="shared" si="2"/>
        <v>40187.5</v>
      </c>
      <c r="P195" s="103">
        <f>RICavMilestoneVal+CavityStatus[[#This Row],[Incentive Earned]]+CavityStatus[[#This Row],[Recipe Modification (Mod 9)]]+N195</f>
        <v>40187.5</v>
      </c>
      <c r="Q195" s="102"/>
    </row>
    <row r="196" spans="1:17" x14ac:dyDescent="0.2">
      <c r="A196" s="113"/>
      <c r="B196" s="98" t="s">
        <v>408</v>
      </c>
      <c r="C196" s="98" t="s">
        <v>420</v>
      </c>
      <c r="D196" s="100"/>
      <c r="E196" s="100"/>
      <c r="F196" s="99"/>
      <c r="G196" s="99">
        <f>IF(CavityStatus[[#This Row],[Actual Ship Date]]&lt;&gt;0,($E196-$D196)/7,0)</f>
        <v>0</v>
      </c>
      <c r="H196" s="101"/>
      <c r="I196" s="101"/>
      <c r="J196" s="101"/>
      <c r="K196" s="101"/>
      <c r="L196" s="102"/>
      <c r="M196" s="103"/>
      <c r="N196" s="105"/>
      <c r="O196" s="101">
        <f t="shared" ref="O196:O227" si="3">RICavMilestoneVal</f>
        <v>40187.5</v>
      </c>
      <c r="P196" s="103">
        <f>RICavMilestoneVal+CavityStatus[[#This Row],[Incentive Earned]]+CavityStatus[[#This Row],[Recipe Modification (Mod 9)]]+N196</f>
        <v>40187.5</v>
      </c>
      <c r="Q196" s="102"/>
    </row>
    <row r="197" spans="1:17" x14ac:dyDescent="0.2">
      <c r="A197" s="113"/>
      <c r="B197" s="98" t="s">
        <v>409</v>
      </c>
      <c r="C197" s="98" t="s">
        <v>420</v>
      </c>
      <c r="D197" s="100"/>
      <c r="E197" s="100"/>
      <c r="F197" s="99"/>
      <c r="G197" s="99">
        <f>IF(CavityStatus[[#This Row],[Actual Ship Date]]&lt;&gt;0,($E197-$D197)/7,0)</f>
        <v>0</v>
      </c>
      <c r="H197" s="101"/>
      <c r="I197" s="101"/>
      <c r="J197" s="101"/>
      <c r="K197" s="101"/>
      <c r="L197" s="102"/>
      <c r="M197" s="103"/>
      <c r="N197" s="105"/>
      <c r="O197" s="101">
        <f t="shared" si="3"/>
        <v>40187.5</v>
      </c>
      <c r="P197" s="103">
        <f>RICavMilestoneVal+CavityStatus[[#This Row],[Incentive Earned]]+CavityStatus[[#This Row],[Recipe Modification (Mod 9)]]+N197</f>
        <v>40187.5</v>
      </c>
      <c r="Q197" s="102"/>
    </row>
    <row r="198" spans="1:17" x14ac:dyDescent="0.2">
      <c r="A198" s="113"/>
      <c r="B198" s="98" t="s">
        <v>410</v>
      </c>
      <c r="C198" s="98" t="s">
        <v>420</v>
      </c>
      <c r="D198" s="100"/>
      <c r="E198" s="100"/>
      <c r="F198" s="99"/>
      <c r="G198" s="99">
        <f>IF(CavityStatus[[#This Row],[Actual Ship Date]]&lt;&gt;0,($E198-$D198)/7,0)</f>
        <v>0</v>
      </c>
      <c r="H198" s="101"/>
      <c r="I198" s="101"/>
      <c r="J198" s="101"/>
      <c r="K198" s="101"/>
      <c r="L198" s="102"/>
      <c r="M198" s="103"/>
      <c r="N198" s="103"/>
      <c r="O198" s="103">
        <f t="shared" si="3"/>
        <v>40187.5</v>
      </c>
      <c r="P198" s="103">
        <f>RICavMilestoneVal+CavityStatus[[#This Row],[Incentive Earned]]+CavityStatus[[#This Row],[Recipe Modification (Mod 9)]]+N198</f>
        <v>40187.5</v>
      </c>
      <c r="Q198" s="102"/>
    </row>
    <row r="199" spans="1:17" x14ac:dyDescent="0.2">
      <c r="A199" s="113"/>
      <c r="B199" s="98" t="s">
        <v>411</v>
      </c>
      <c r="C199" s="98" t="s">
        <v>420</v>
      </c>
      <c r="D199" s="100"/>
      <c r="E199" s="100"/>
      <c r="F199" s="99"/>
      <c r="G199" s="99">
        <f>IF(CavityStatus[[#This Row],[Actual Ship Date]]&lt;&gt;0,($E199-$D199)/7,0)</f>
        <v>0</v>
      </c>
      <c r="H199" s="101"/>
      <c r="I199" s="101"/>
      <c r="J199" s="101"/>
      <c r="K199" s="101"/>
      <c r="L199" s="102"/>
      <c r="M199" s="103"/>
      <c r="N199" s="103"/>
      <c r="O199" s="103">
        <f t="shared" si="3"/>
        <v>40187.5</v>
      </c>
      <c r="P199" s="103">
        <f>RICavMilestoneVal+CavityStatus[[#This Row],[Incentive Earned]]+CavityStatus[[#This Row],[Recipe Modification (Mod 9)]]+N199</f>
        <v>40187.5</v>
      </c>
      <c r="Q199" s="102"/>
    </row>
    <row r="200" spans="1:17" x14ac:dyDescent="0.2">
      <c r="A200" s="113"/>
      <c r="B200" s="98" t="s">
        <v>412</v>
      </c>
      <c r="C200" s="98" t="s">
        <v>420</v>
      </c>
      <c r="D200" s="100"/>
      <c r="E200" s="100"/>
      <c r="F200" s="99"/>
      <c r="G200" s="99">
        <f>IF(CavityStatus[[#This Row],[Actual Ship Date]]&lt;&gt;0,($E200-$D200)/7,0)</f>
        <v>0</v>
      </c>
      <c r="H200" s="101"/>
      <c r="I200" s="101"/>
      <c r="J200" s="101"/>
      <c r="K200" s="101"/>
      <c r="L200" s="102"/>
      <c r="M200" s="103"/>
      <c r="N200" s="103"/>
      <c r="O200" s="103">
        <f t="shared" si="3"/>
        <v>40187.5</v>
      </c>
      <c r="P200" s="103">
        <f>RICavMilestoneVal+CavityStatus[[#This Row],[Incentive Earned]]+CavityStatus[[#This Row],[Recipe Modification (Mod 9)]]+N200</f>
        <v>40187.5</v>
      </c>
      <c r="Q200" s="102"/>
    </row>
    <row r="201" spans="1:17" x14ac:dyDescent="0.2">
      <c r="A201" s="113"/>
      <c r="B201" s="98" t="s">
        <v>413</v>
      </c>
      <c r="C201" s="98" t="s">
        <v>420</v>
      </c>
      <c r="D201" s="100"/>
      <c r="E201" s="100"/>
      <c r="F201" s="99"/>
      <c r="G201" s="99">
        <f>IF(CavityStatus[[#This Row],[Actual Ship Date]]&lt;&gt;0,($E201-$D201)/7,0)</f>
        <v>0</v>
      </c>
      <c r="H201" s="101"/>
      <c r="I201" s="101"/>
      <c r="J201" s="101"/>
      <c r="K201" s="101"/>
      <c r="L201" s="102"/>
      <c r="M201" s="103"/>
      <c r="N201" s="105"/>
      <c r="O201" s="101">
        <f t="shared" si="3"/>
        <v>40187.5</v>
      </c>
      <c r="P201" s="103">
        <f>RICavMilestoneVal+CavityStatus[[#This Row],[Incentive Earned]]+CavityStatus[[#This Row],[Recipe Modification (Mod 9)]]+N201</f>
        <v>40187.5</v>
      </c>
      <c r="Q201" s="102"/>
    </row>
    <row r="202" spans="1:17" x14ac:dyDescent="0.2">
      <c r="A202" s="113"/>
      <c r="B202" s="98" t="s">
        <v>414</v>
      </c>
      <c r="C202" s="98" t="s">
        <v>420</v>
      </c>
      <c r="D202" s="100"/>
      <c r="E202" s="100"/>
      <c r="F202" s="99"/>
      <c r="G202" s="99">
        <f>IF(CavityStatus[[#This Row],[Actual Ship Date]]&lt;&gt;0,($E202-$D202)/7,0)</f>
        <v>0</v>
      </c>
      <c r="H202" s="101"/>
      <c r="I202" s="101"/>
      <c r="J202" s="101"/>
      <c r="K202" s="101"/>
      <c r="L202" s="102"/>
      <c r="M202" s="103"/>
      <c r="N202" s="105"/>
      <c r="O202" s="101">
        <f t="shared" si="3"/>
        <v>40187.5</v>
      </c>
      <c r="P202" s="103">
        <f>RICavMilestoneVal+CavityStatus[[#This Row],[Incentive Earned]]+CavityStatus[[#This Row],[Recipe Modification (Mod 9)]]+N202</f>
        <v>40187.5</v>
      </c>
      <c r="Q202" s="102"/>
    </row>
    <row r="203" spans="1:17" x14ac:dyDescent="0.2">
      <c r="A203" s="113"/>
      <c r="B203" s="98" t="s">
        <v>415</v>
      </c>
      <c r="C203" s="98" t="s">
        <v>420</v>
      </c>
      <c r="D203" s="100"/>
      <c r="E203" s="100"/>
      <c r="F203" s="99"/>
      <c r="G203" s="99">
        <f>IF(CavityStatus[[#This Row],[Actual Ship Date]]&lt;&gt;0,($E203-$D203)/7,0)</f>
        <v>0</v>
      </c>
      <c r="H203" s="101"/>
      <c r="I203" s="101"/>
      <c r="J203" s="101"/>
      <c r="K203" s="101"/>
      <c r="L203" s="102"/>
      <c r="M203" s="103"/>
      <c r="N203" s="105"/>
      <c r="O203" s="101">
        <f t="shared" si="3"/>
        <v>40187.5</v>
      </c>
      <c r="P203" s="103">
        <f>RICavMilestoneVal+CavityStatus[[#This Row],[Incentive Earned]]+CavityStatus[[#This Row],[Recipe Modification (Mod 9)]]+N203</f>
        <v>40187.5</v>
      </c>
      <c r="Q203" s="102"/>
    </row>
    <row r="204" spans="1:17" x14ac:dyDescent="0.2">
      <c r="A204" s="113"/>
      <c r="B204" s="98" t="s">
        <v>416</v>
      </c>
      <c r="C204" s="98" t="s">
        <v>420</v>
      </c>
      <c r="D204" s="100"/>
      <c r="E204" s="100"/>
      <c r="F204" s="99"/>
      <c r="G204" s="99">
        <f>IF(CavityStatus[[#This Row],[Actual Ship Date]]&lt;&gt;0,($E204-$D204)/7,0)</f>
        <v>0</v>
      </c>
      <c r="H204" s="101"/>
      <c r="I204" s="101"/>
      <c r="J204" s="101"/>
      <c r="K204" s="101"/>
      <c r="L204" s="102"/>
      <c r="M204" s="103"/>
      <c r="N204" s="105"/>
      <c r="O204" s="101">
        <f t="shared" si="3"/>
        <v>40187.5</v>
      </c>
      <c r="P204" s="103">
        <f>RICavMilestoneVal+CavityStatus[[#This Row],[Incentive Earned]]+CavityStatus[[#This Row],[Recipe Modification (Mod 9)]]+N204</f>
        <v>40187.5</v>
      </c>
      <c r="Q204" s="102"/>
    </row>
    <row r="205" spans="1:17" x14ac:dyDescent="0.2">
      <c r="A205" s="113"/>
      <c r="B205" s="98" t="s">
        <v>417</v>
      </c>
      <c r="C205" s="98" t="s">
        <v>420</v>
      </c>
      <c r="D205" s="100"/>
      <c r="E205" s="100"/>
      <c r="F205" s="99"/>
      <c r="G205" s="99">
        <f>IF(CavityStatus[[#This Row],[Actual Ship Date]]&lt;&gt;0,($E205-$D205)/7,0)</f>
        <v>0</v>
      </c>
      <c r="H205" s="101"/>
      <c r="I205" s="101"/>
      <c r="J205" s="101"/>
      <c r="K205" s="101"/>
      <c r="L205" s="102"/>
      <c r="M205" s="103"/>
      <c r="N205" s="105"/>
      <c r="O205" s="101">
        <f t="shared" si="3"/>
        <v>40187.5</v>
      </c>
      <c r="P205" s="103">
        <f>RICavMilestoneVal+CavityStatus[[#This Row],[Incentive Earned]]+CavityStatus[[#This Row],[Recipe Modification (Mod 9)]]+N205</f>
        <v>40187.5</v>
      </c>
      <c r="Q205" s="102"/>
    </row>
    <row r="206" spans="1:17" x14ac:dyDescent="0.2">
      <c r="A206" s="113"/>
      <c r="B206" s="98" t="s">
        <v>421</v>
      </c>
      <c r="C206" s="98" t="s">
        <v>420</v>
      </c>
      <c r="D206" s="100"/>
      <c r="E206" s="100"/>
      <c r="F206" s="99"/>
      <c r="G206" s="99">
        <f>IF(CavityStatus[[#This Row],[Actual Ship Date]]&lt;&gt;0,($E206-$D206)/7,0)</f>
        <v>0</v>
      </c>
      <c r="H206" s="101"/>
      <c r="I206" s="101"/>
      <c r="J206" s="101"/>
      <c r="K206" s="101"/>
      <c r="L206" s="102"/>
      <c r="M206" s="103"/>
      <c r="N206" s="105"/>
      <c r="O206" s="101">
        <f t="shared" si="3"/>
        <v>40187.5</v>
      </c>
      <c r="P206" s="103">
        <f>RICavMilestoneVal+CavityStatus[[#This Row],[Incentive Earned]]+CavityStatus[[#This Row],[Recipe Modification (Mod 9)]]+N206</f>
        <v>40187.5</v>
      </c>
      <c r="Q206" s="102"/>
    </row>
    <row r="207" spans="1:17" x14ac:dyDescent="0.2">
      <c r="A207" s="113"/>
      <c r="B207" s="98" t="s">
        <v>422</v>
      </c>
      <c r="C207" s="98" t="s">
        <v>420</v>
      </c>
      <c r="D207" s="100"/>
      <c r="E207" s="100"/>
      <c r="F207" s="99"/>
      <c r="G207" s="99">
        <f>IF(CavityStatus[[#This Row],[Actual Ship Date]]&lt;&gt;0,($E207-$D207)/7,0)</f>
        <v>0</v>
      </c>
      <c r="H207" s="101"/>
      <c r="I207" s="101"/>
      <c r="J207" s="101"/>
      <c r="K207" s="101"/>
      <c r="L207" s="102"/>
      <c r="M207" s="103"/>
      <c r="N207" s="105"/>
      <c r="O207" s="101">
        <f t="shared" si="3"/>
        <v>40187.5</v>
      </c>
      <c r="P207" s="103">
        <f>RICavMilestoneVal+CavityStatus[[#This Row],[Incentive Earned]]+CavityStatus[[#This Row],[Recipe Modification (Mod 9)]]+N207</f>
        <v>40187.5</v>
      </c>
      <c r="Q207" s="102"/>
    </row>
    <row r="208" spans="1:17" x14ac:dyDescent="0.2">
      <c r="A208" s="113"/>
      <c r="B208" s="98" t="s">
        <v>423</v>
      </c>
      <c r="C208" s="98" t="s">
        <v>420</v>
      </c>
      <c r="D208" s="100"/>
      <c r="E208" s="100"/>
      <c r="F208" s="99"/>
      <c r="G208" s="99">
        <f>IF(CavityStatus[[#This Row],[Actual Ship Date]]&lt;&gt;0,($E208-$D208)/7,0)</f>
        <v>0</v>
      </c>
      <c r="H208" s="101"/>
      <c r="I208" s="101"/>
      <c r="J208" s="101"/>
      <c r="K208" s="101"/>
      <c r="L208" s="102"/>
      <c r="M208" s="103"/>
      <c r="N208" s="105"/>
      <c r="O208" s="101">
        <f t="shared" si="3"/>
        <v>40187.5</v>
      </c>
      <c r="P208" s="103">
        <f>RICavMilestoneVal+CavityStatus[[#This Row],[Incentive Earned]]+CavityStatus[[#This Row],[Recipe Modification (Mod 9)]]+N208</f>
        <v>40187.5</v>
      </c>
      <c r="Q208" s="102"/>
    </row>
    <row r="209" spans="1:17" x14ac:dyDescent="0.2">
      <c r="A209" s="113"/>
      <c r="B209" s="98" t="s">
        <v>424</v>
      </c>
      <c r="C209" s="98" t="s">
        <v>420</v>
      </c>
      <c r="D209" s="100"/>
      <c r="E209" s="100"/>
      <c r="F209" s="99"/>
      <c r="G209" s="99">
        <f>IF(CavityStatus[[#This Row],[Actual Ship Date]]&lt;&gt;0,($E209-$D209)/7,0)</f>
        <v>0</v>
      </c>
      <c r="H209" s="101"/>
      <c r="I209" s="101"/>
      <c r="J209" s="101"/>
      <c r="K209" s="101"/>
      <c r="L209" s="102"/>
      <c r="M209" s="103"/>
      <c r="N209" s="105"/>
      <c r="O209" s="101">
        <f t="shared" si="3"/>
        <v>40187.5</v>
      </c>
      <c r="P209" s="103">
        <f>RICavMilestoneVal+CavityStatus[[#This Row],[Incentive Earned]]+CavityStatus[[#This Row],[Recipe Modification (Mod 9)]]+N209</f>
        <v>40187.5</v>
      </c>
      <c r="Q209" s="102"/>
    </row>
    <row r="210" spans="1:17" x14ac:dyDescent="0.2">
      <c r="A210" s="113"/>
      <c r="B210" s="98" t="s">
        <v>425</v>
      </c>
      <c r="C210" s="98" t="s">
        <v>420</v>
      </c>
      <c r="D210" s="100"/>
      <c r="E210" s="100"/>
      <c r="F210" s="99"/>
      <c r="G210" s="99">
        <f>IF(CavityStatus[[#This Row],[Actual Ship Date]]&lt;&gt;0,($E210-$D210)/7,0)</f>
        <v>0</v>
      </c>
      <c r="H210" s="101"/>
      <c r="I210" s="101"/>
      <c r="J210" s="101"/>
      <c r="K210" s="101"/>
      <c r="L210" s="102"/>
      <c r="M210" s="103"/>
      <c r="N210" s="105"/>
      <c r="O210" s="101">
        <f t="shared" si="3"/>
        <v>40187.5</v>
      </c>
      <c r="P210" s="103">
        <f>RICavMilestoneVal+CavityStatus[[#This Row],[Incentive Earned]]+CavityStatus[[#This Row],[Recipe Modification (Mod 9)]]+N210</f>
        <v>40187.5</v>
      </c>
      <c r="Q210" s="102"/>
    </row>
    <row r="211" spans="1:17" x14ac:dyDescent="0.2">
      <c r="A211" s="113"/>
      <c r="B211" s="98" t="s">
        <v>426</v>
      </c>
      <c r="C211" s="98" t="s">
        <v>420</v>
      </c>
      <c r="D211" s="100"/>
      <c r="E211" s="100"/>
      <c r="F211" s="99"/>
      <c r="G211" s="99">
        <f>IF(CavityStatus[[#This Row],[Actual Ship Date]]&lt;&gt;0,($E211-$D211)/7,0)</f>
        <v>0</v>
      </c>
      <c r="H211" s="101"/>
      <c r="I211" s="101"/>
      <c r="J211" s="101"/>
      <c r="K211" s="101"/>
      <c r="L211" s="102"/>
      <c r="M211" s="103"/>
      <c r="N211" s="105"/>
      <c r="O211" s="101">
        <f t="shared" si="3"/>
        <v>40187.5</v>
      </c>
      <c r="P211" s="103">
        <f>RICavMilestoneVal+CavityStatus[[#This Row],[Incentive Earned]]+CavityStatus[[#This Row],[Recipe Modification (Mod 9)]]+N211</f>
        <v>40187.5</v>
      </c>
      <c r="Q211" s="102"/>
    </row>
    <row r="212" spans="1:17" x14ac:dyDescent="0.2">
      <c r="A212" s="113"/>
      <c r="B212" s="98" t="s">
        <v>427</v>
      </c>
      <c r="C212" s="98" t="s">
        <v>420</v>
      </c>
      <c r="D212" s="100"/>
      <c r="E212" s="100"/>
      <c r="F212" s="99"/>
      <c r="G212" s="99">
        <f>IF(CavityStatus[[#This Row],[Actual Ship Date]]&lt;&gt;0,($E212-$D212)/7,0)</f>
        <v>0</v>
      </c>
      <c r="H212" s="101"/>
      <c r="I212" s="101"/>
      <c r="J212" s="101"/>
      <c r="K212" s="101"/>
      <c r="L212" s="102"/>
      <c r="M212" s="103"/>
      <c r="N212" s="105"/>
      <c r="O212" s="101">
        <f t="shared" si="3"/>
        <v>40187.5</v>
      </c>
      <c r="P212" s="103">
        <f>RICavMilestoneVal+CavityStatus[[#This Row],[Incentive Earned]]+CavityStatus[[#This Row],[Recipe Modification (Mod 9)]]+N212</f>
        <v>40187.5</v>
      </c>
      <c r="Q212" s="102"/>
    </row>
    <row r="213" spans="1:17" x14ac:dyDescent="0.2">
      <c r="A213" s="113"/>
      <c r="B213" s="98" t="s">
        <v>428</v>
      </c>
      <c r="C213" s="98" t="s">
        <v>420</v>
      </c>
      <c r="D213" s="100"/>
      <c r="E213" s="100"/>
      <c r="F213" s="99"/>
      <c r="G213" s="99">
        <f>IF(CavityStatus[[#This Row],[Actual Ship Date]]&lt;&gt;0,($E213-$D213)/7,0)</f>
        <v>0</v>
      </c>
      <c r="H213" s="101"/>
      <c r="I213" s="101"/>
      <c r="J213" s="101"/>
      <c r="K213" s="101"/>
      <c r="L213" s="102"/>
      <c r="M213" s="103"/>
      <c r="N213" s="105"/>
      <c r="O213" s="101">
        <f t="shared" si="3"/>
        <v>40187.5</v>
      </c>
      <c r="P213" s="103">
        <f>RICavMilestoneVal+CavityStatus[[#This Row],[Incentive Earned]]+CavityStatus[[#This Row],[Recipe Modification (Mod 9)]]+N213</f>
        <v>40187.5</v>
      </c>
      <c r="Q213" s="102"/>
    </row>
    <row r="214" spans="1:17" x14ac:dyDescent="0.2">
      <c r="A214" s="113"/>
      <c r="B214" s="98" t="s">
        <v>429</v>
      </c>
      <c r="C214" s="98" t="s">
        <v>420</v>
      </c>
      <c r="D214" s="100"/>
      <c r="E214" s="100"/>
      <c r="F214" s="99"/>
      <c r="G214" s="99">
        <f>IF(CavityStatus[[#This Row],[Actual Ship Date]]&lt;&gt;0,($E214-$D214)/7,0)</f>
        <v>0</v>
      </c>
      <c r="H214" s="101"/>
      <c r="I214" s="101"/>
      <c r="J214" s="101"/>
      <c r="K214" s="101"/>
      <c r="L214" s="102"/>
      <c r="M214" s="103"/>
      <c r="N214" s="105"/>
      <c r="O214" s="101">
        <f t="shared" si="3"/>
        <v>40187.5</v>
      </c>
      <c r="P214" s="103">
        <f>RICavMilestoneVal+CavityStatus[[#This Row],[Incentive Earned]]+CavityStatus[[#This Row],[Recipe Modification (Mod 9)]]+N214</f>
        <v>40187.5</v>
      </c>
      <c r="Q214" s="102"/>
    </row>
    <row r="215" spans="1:17" x14ac:dyDescent="0.2">
      <c r="A215" s="113"/>
      <c r="B215" s="98" t="s">
        <v>430</v>
      </c>
      <c r="C215" s="98" t="s">
        <v>420</v>
      </c>
      <c r="D215" s="100"/>
      <c r="E215" s="100"/>
      <c r="F215" s="99"/>
      <c r="G215" s="99">
        <f>IF(CavityStatus[[#This Row],[Actual Ship Date]]&lt;&gt;0,($E215-$D215)/7,0)</f>
        <v>0</v>
      </c>
      <c r="H215" s="101"/>
      <c r="I215" s="101"/>
      <c r="J215" s="101"/>
      <c r="K215" s="101"/>
      <c r="L215" s="102"/>
      <c r="M215" s="103"/>
      <c r="N215" s="105"/>
      <c r="O215" s="101">
        <f t="shared" si="3"/>
        <v>40187.5</v>
      </c>
      <c r="P215" s="103">
        <f>RICavMilestoneVal+CavityStatus[[#This Row],[Incentive Earned]]+CavityStatus[[#This Row],[Recipe Modification (Mod 9)]]+N215</f>
        <v>40187.5</v>
      </c>
      <c r="Q215" s="102"/>
    </row>
    <row r="216" spans="1:17" x14ac:dyDescent="0.2">
      <c r="A216" s="113"/>
      <c r="B216" s="98" t="s">
        <v>431</v>
      </c>
      <c r="C216" s="98" t="s">
        <v>420</v>
      </c>
      <c r="D216" s="100"/>
      <c r="E216" s="100"/>
      <c r="F216" s="99"/>
      <c r="G216" s="99">
        <f>IF(CavityStatus[[#This Row],[Actual Ship Date]]&lt;&gt;0,($E216-$D216)/7,0)</f>
        <v>0</v>
      </c>
      <c r="H216" s="101"/>
      <c r="I216" s="101"/>
      <c r="J216" s="101"/>
      <c r="K216" s="101"/>
      <c r="L216" s="102"/>
      <c r="M216" s="103"/>
      <c r="N216" s="105"/>
      <c r="O216" s="101">
        <f t="shared" si="3"/>
        <v>40187.5</v>
      </c>
      <c r="P216" s="103">
        <f>RICavMilestoneVal+CavityStatus[[#This Row],[Incentive Earned]]+CavityStatus[[#This Row],[Recipe Modification (Mod 9)]]+N216</f>
        <v>40187.5</v>
      </c>
      <c r="Q216" s="102"/>
    </row>
    <row r="217" spans="1:17" x14ac:dyDescent="0.2">
      <c r="A217" s="113"/>
      <c r="B217" s="98" t="s">
        <v>432</v>
      </c>
      <c r="C217" s="98" t="s">
        <v>420</v>
      </c>
      <c r="D217" s="100"/>
      <c r="E217" s="100"/>
      <c r="F217" s="99"/>
      <c r="G217" s="99">
        <f>IF(CavityStatus[[#This Row],[Actual Ship Date]]&lt;&gt;0,($E217-$D217)/7,0)</f>
        <v>0</v>
      </c>
      <c r="H217" s="101"/>
      <c r="I217" s="101"/>
      <c r="J217" s="101"/>
      <c r="K217" s="101"/>
      <c r="L217" s="102"/>
      <c r="M217" s="103"/>
      <c r="N217" s="105"/>
      <c r="O217" s="101">
        <f t="shared" si="3"/>
        <v>40187.5</v>
      </c>
      <c r="P217" s="103">
        <f>RICavMilestoneVal+CavityStatus[[#This Row],[Incentive Earned]]+CavityStatus[[#This Row],[Recipe Modification (Mod 9)]]+N217</f>
        <v>40187.5</v>
      </c>
      <c r="Q217" s="102"/>
    </row>
    <row r="218" spans="1:17" x14ac:dyDescent="0.2">
      <c r="A218" s="113"/>
      <c r="B218" s="98" t="s">
        <v>433</v>
      </c>
      <c r="C218" s="98" t="s">
        <v>420</v>
      </c>
      <c r="D218" s="100"/>
      <c r="E218" s="100"/>
      <c r="F218" s="99"/>
      <c r="G218" s="99">
        <f>IF(CavityStatus[[#This Row],[Actual Ship Date]]&lt;&gt;0,($E218-$D218)/7,0)</f>
        <v>0</v>
      </c>
      <c r="H218" s="101"/>
      <c r="I218" s="101"/>
      <c r="J218" s="101"/>
      <c r="K218" s="101"/>
      <c r="L218" s="102"/>
      <c r="M218" s="103"/>
      <c r="N218" s="105"/>
      <c r="O218" s="101">
        <f t="shared" si="3"/>
        <v>40187.5</v>
      </c>
      <c r="P218" s="103">
        <f>RICavMilestoneVal+CavityStatus[[#This Row],[Incentive Earned]]+CavityStatus[[#This Row],[Recipe Modification (Mod 9)]]+N218</f>
        <v>40187.5</v>
      </c>
      <c r="Q218" s="102"/>
    </row>
    <row r="219" spans="1:17" x14ac:dyDescent="0.2">
      <c r="A219" s="113"/>
      <c r="B219" s="98" t="s">
        <v>434</v>
      </c>
      <c r="C219" s="98" t="s">
        <v>420</v>
      </c>
      <c r="D219" s="100"/>
      <c r="E219" s="100"/>
      <c r="F219" s="99"/>
      <c r="G219" s="99">
        <f>IF(CavityStatus[[#This Row],[Actual Ship Date]]&lt;&gt;0,($E219-$D219)/7,0)</f>
        <v>0</v>
      </c>
      <c r="H219" s="101"/>
      <c r="I219" s="101"/>
      <c r="J219" s="101"/>
      <c r="K219" s="101"/>
      <c r="L219" s="102"/>
      <c r="M219" s="103"/>
      <c r="N219" s="105"/>
      <c r="O219" s="101">
        <f t="shared" si="3"/>
        <v>40187.5</v>
      </c>
      <c r="P219" s="103">
        <f>RICavMilestoneVal+CavityStatus[[#This Row],[Incentive Earned]]+CavityStatus[[#This Row],[Recipe Modification (Mod 9)]]+N219</f>
        <v>40187.5</v>
      </c>
      <c r="Q219" s="102"/>
    </row>
    <row r="220" spans="1:17" x14ac:dyDescent="0.2">
      <c r="A220" s="113"/>
      <c r="B220" s="98" t="s">
        <v>435</v>
      </c>
      <c r="C220" s="98" t="s">
        <v>420</v>
      </c>
      <c r="D220" s="100"/>
      <c r="E220" s="100"/>
      <c r="F220" s="99"/>
      <c r="G220" s="99">
        <f>IF(CavityStatus[[#This Row],[Actual Ship Date]]&lt;&gt;0,($E220-$D220)/7,0)</f>
        <v>0</v>
      </c>
      <c r="H220" s="101"/>
      <c r="I220" s="101"/>
      <c r="J220" s="101"/>
      <c r="K220" s="101"/>
      <c r="L220" s="102"/>
      <c r="M220" s="103"/>
      <c r="N220" s="105"/>
      <c r="O220" s="101">
        <f t="shared" si="3"/>
        <v>40187.5</v>
      </c>
      <c r="P220" s="103">
        <f>RICavMilestoneVal+CavityStatus[[#This Row],[Incentive Earned]]+CavityStatus[[#This Row],[Recipe Modification (Mod 9)]]+N220</f>
        <v>40187.5</v>
      </c>
      <c r="Q220" s="102"/>
    </row>
    <row r="221" spans="1:17" x14ac:dyDescent="0.2">
      <c r="A221" s="113"/>
      <c r="B221" s="98" t="s">
        <v>436</v>
      </c>
      <c r="C221" s="98" t="s">
        <v>420</v>
      </c>
      <c r="D221" s="100"/>
      <c r="E221" s="100"/>
      <c r="F221" s="99"/>
      <c r="G221" s="99">
        <f>IF(CavityStatus[[#This Row],[Actual Ship Date]]&lt;&gt;0,($E221-$D221)/7,0)</f>
        <v>0</v>
      </c>
      <c r="H221" s="101"/>
      <c r="I221" s="101"/>
      <c r="J221" s="101"/>
      <c r="K221" s="101"/>
      <c r="L221" s="102"/>
      <c r="M221" s="103"/>
      <c r="N221" s="105"/>
      <c r="O221" s="101">
        <f t="shared" si="3"/>
        <v>40187.5</v>
      </c>
      <c r="P221" s="103">
        <f>RICavMilestoneVal+CavityStatus[[#This Row],[Incentive Earned]]+CavityStatus[[#This Row],[Recipe Modification (Mod 9)]]+N221</f>
        <v>40187.5</v>
      </c>
      <c r="Q221" s="102"/>
    </row>
    <row r="222" spans="1:17" x14ac:dyDescent="0.2">
      <c r="A222" s="113"/>
      <c r="B222" s="98" t="s">
        <v>437</v>
      </c>
      <c r="C222" s="98" t="s">
        <v>420</v>
      </c>
      <c r="D222" s="100"/>
      <c r="E222" s="100"/>
      <c r="F222" s="99"/>
      <c r="G222" s="99">
        <f>IF(CavityStatus[[#This Row],[Actual Ship Date]]&lt;&gt;0,($E222-$D222)/7,0)</f>
        <v>0</v>
      </c>
      <c r="H222" s="101"/>
      <c r="I222" s="101"/>
      <c r="J222" s="101"/>
      <c r="K222" s="101"/>
      <c r="L222" s="102"/>
      <c r="M222" s="103"/>
      <c r="N222" s="105"/>
      <c r="O222" s="101">
        <f t="shared" si="3"/>
        <v>40187.5</v>
      </c>
      <c r="P222" s="103">
        <f>RICavMilestoneVal+CavityStatus[[#This Row],[Incentive Earned]]+CavityStatus[[#This Row],[Recipe Modification (Mod 9)]]+N222</f>
        <v>40187.5</v>
      </c>
      <c r="Q222" s="102"/>
    </row>
    <row r="223" spans="1:17" x14ac:dyDescent="0.2">
      <c r="A223" s="113"/>
      <c r="B223" s="98" t="s">
        <v>438</v>
      </c>
      <c r="C223" s="98" t="s">
        <v>420</v>
      </c>
      <c r="D223" s="100"/>
      <c r="E223" s="100"/>
      <c r="F223" s="99"/>
      <c r="G223" s="99">
        <f>IF(CavityStatus[[#This Row],[Actual Ship Date]]&lt;&gt;0,($E223-$D223)/7,0)</f>
        <v>0</v>
      </c>
      <c r="H223" s="101"/>
      <c r="I223" s="101"/>
      <c r="J223" s="101"/>
      <c r="K223" s="101"/>
      <c r="L223" s="102"/>
      <c r="M223" s="103"/>
      <c r="N223" s="105"/>
      <c r="O223" s="101">
        <f t="shared" si="3"/>
        <v>40187.5</v>
      </c>
      <c r="P223" s="103">
        <f>RICavMilestoneVal+CavityStatus[[#This Row],[Incentive Earned]]+CavityStatus[[#This Row],[Recipe Modification (Mod 9)]]+N223</f>
        <v>40187.5</v>
      </c>
      <c r="Q223" s="102"/>
    </row>
    <row r="224" spans="1:17" x14ac:dyDescent="0.2">
      <c r="A224" s="113"/>
      <c r="B224" s="98" t="s">
        <v>439</v>
      </c>
      <c r="C224" s="98" t="s">
        <v>420</v>
      </c>
      <c r="D224" s="100"/>
      <c r="E224" s="100"/>
      <c r="F224" s="99"/>
      <c r="G224" s="99">
        <f>IF(CavityStatus[[#This Row],[Actual Ship Date]]&lt;&gt;0,($E224-$D224)/7,0)</f>
        <v>0</v>
      </c>
      <c r="H224" s="101"/>
      <c r="I224" s="101"/>
      <c r="J224" s="101"/>
      <c r="K224" s="101"/>
      <c r="L224" s="102"/>
      <c r="M224" s="103"/>
      <c r="N224" s="103"/>
      <c r="O224" s="103">
        <f t="shared" si="3"/>
        <v>40187.5</v>
      </c>
      <c r="P224" s="103">
        <f>RICavMilestoneVal+CavityStatus[[#This Row],[Incentive Earned]]+CavityStatus[[#This Row],[Recipe Modification (Mod 9)]]+N224</f>
        <v>40187.5</v>
      </c>
      <c r="Q224" s="102"/>
    </row>
    <row r="225" spans="1:17" x14ac:dyDescent="0.2">
      <c r="A225" s="113"/>
      <c r="B225" s="98" t="s">
        <v>440</v>
      </c>
      <c r="C225" s="98" t="s">
        <v>420</v>
      </c>
      <c r="D225" s="100"/>
      <c r="E225" s="100"/>
      <c r="F225" s="99"/>
      <c r="G225" s="99">
        <f>IF(CavityStatus[[#This Row],[Actual Ship Date]]&lt;&gt;0,($E225-$D225)/7,0)</f>
        <v>0</v>
      </c>
      <c r="H225" s="101"/>
      <c r="I225" s="101"/>
      <c r="J225" s="101"/>
      <c r="K225" s="101"/>
      <c r="L225" s="102"/>
      <c r="M225" s="103"/>
      <c r="N225" s="103"/>
      <c r="O225" s="103">
        <f t="shared" si="3"/>
        <v>40187.5</v>
      </c>
      <c r="P225" s="103">
        <f>RICavMilestoneVal+CavityStatus[[#This Row],[Incentive Earned]]+CavityStatus[[#This Row],[Recipe Modification (Mod 9)]]+N225</f>
        <v>40187.5</v>
      </c>
      <c r="Q225" s="102"/>
    </row>
    <row r="226" spans="1:17" x14ac:dyDescent="0.2">
      <c r="A226" s="113"/>
      <c r="B226" s="98" t="s">
        <v>441</v>
      </c>
      <c r="C226" s="98" t="s">
        <v>420</v>
      </c>
      <c r="D226" s="100"/>
      <c r="E226" s="100"/>
      <c r="F226" s="99"/>
      <c r="G226" s="99">
        <f>IF(CavityStatus[[#This Row],[Actual Ship Date]]&lt;&gt;0,($E226-$D226)/7,0)</f>
        <v>0</v>
      </c>
      <c r="H226" s="101"/>
      <c r="I226" s="101"/>
      <c r="J226" s="101"/>
      <c r="K226" s="101"/>
      <c r="L226" s="102"/>
      <c r="M226" s="103"/>
      <c r="N226" s="103"/>
      <c r="O226" s="103">
        <f t="shared" si="3"/>
        <v>40187.5</v>
      </c>
      <c r="P226" s="103">
        <f>RICavMilestoneVal+CavityStatus[[#This Row],[Incentive Earned]]+CavityStatus[[#This Row],[Recipe Modification (Mod 9)]]+N226</f>
        <v>40187.5</v>
      </c>
      <c r="Q226" s="102"/>
    </row>
    <row r="227" spans="1:17" ht="19.5" thickBot="1" x14ac:dyDescent="0.25">
      <c r="A227" s="114"/>
      <c r="B227" s="115"/>
      <c r="C227" s="115"/>
      <c r="D227" s="116"/>
      <c r="E227" s="116"/>
      <c r="F227" s="117"/>
      <c r="G227" s="117">
        <f>IF(CavityStatus[[#This Row],[Actual Ship Date]]&lt;&gt;0,($E227-$D227)/7,0)</f>
        <v>0</v>
      </c>
      <c r="H227" s="118"/>
      <c r="I227" s="118"/>
      <c r="J227" s="118"/>
      <c r="K227" s="118"/>
      <c r="L227" s="119"/>
      <c r="M227" s="120"/>
      <c r="N227" s="120"/>
      <c r="O227" s="120">
        <f t="shared" si="3"/>
        <v>40187.5</v>
      </c>
      <c r="P227" s="120">
        <f>RICavMilestoneVal+CavityStatus[[#This Row],[Incentive Earned]]+CavityStatus[[#This Row],[Recipe Modification (Mod 9)]]+N227</f>
        <v>40187.5</v>
      </c>
      <c r="Q227" s="119"/>
    </row>
    <row r="228" spans="1:17" x14ac:dyDescent="0.2">
      <c r="A228" s="98">
        <f>SUBTOTAL(103,CavityStatus[Unit '#])</f>
        <v>132</v>
      </c>
      <c r="B228" s="98">
        <f>SUBTOTAL(103,CavityStatus[Serial '#])</f>
        <v>223</v>
      </c>
      <c r="C228" s="185"/>
      <c r="D228" s="98"/>
      <c r="E228" s="98"/>
      <c r="F228" s="99"/>
      <c r="G228" s="98"/>
      <c r="H228" s="186">
        <f>SUBTOTAL(109,CavityStatus[FA Incentive Avail])</f>
        <v>323136</v>
      </c>
      <c r="I228" s="186"/>
      <c r="J228" s="186">
        <f>SUBTOTAL(109,CavityStatus[Prod Incentive Avail])</f>
        <v>246240</v>
      </c>
      <c r="K228" s="187">
        <f>SUBTOTAL(109,CavityStatus[Incentive Earned])</f>
        <v>245240</v>
      </c>
      <c r="L228" s="188"/>
      <c r="M228" s="187">
        <f>SUBTOTAL(109,CavityStatus[Recipe Modification (Mod 9)])</f>
        <v>479716.15999999933</v>
      </c>
      <c r="N228" s="187">
        <f>SUBTOTAL(109,CavityStatus[Caps            
 (Mod 10)])</f>
        <v>56840</v>
      </c>
      <c r="O228" s="187">
        <f>SUBTOTAL(109,CavityStatus[Delivery &amp; Acceptance])</f>
        <v>9002000</v>
      </c>
      <c r="P228" s="187">
        <f>SUBTOTAL(109,CavityStatus[Total])</f>
        <v>9783796.1599999927</v>
      </c>
      <c r="Q228" s="187"/>
    </row>
    <row r="230" spans="1:17" x14ac:dyDescent="0.2">
      <c r="K230" s="183">
        <f>CavityStatus[[#Totals],[Incentive Earned]]/CavityStatus[[#Totals],[Prod Incentive Avail]]</f>
        <v>0.99593892137751783</v>
      </c>
    </row>
  </sheetData>
  <mergeCells count="1">
    <mergeCell ref="A1:Q1"/>
  </mergeCells>
  <dataValidations count="1">
    <dataValidation allowBlank="1" sqref="H4:K136 G4:G55 M4:P22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H137:K227 G56:G227 L4:L227 E4:F61 E76:F227</xm:sqref>
        </x14:dataValidation>
        <x14:dataValidation type="list" allowBlank="1">
          <x14:formula1>
            <xm:f>List!$O$3:$O$4</xm:f>
          </x14:formula1>
          <xm:sqref>E62:F75 D5:D227</xm:sqref>
        </x14:dataValidation>
        <x14:dataValidation type="list" allowBlank="1">
          <x14:formula1>
            <xm:f>List!$W$2:$W$24</xm:f>
          </x14:formula1>
          <xm:sqref>Q4:Q227</xm:sqref>
        </x14:dataValidation>
        <x14:dataValidation type="list" allowBlank="1">
          <x14:formula1>
            <xm:f>List!$S$3:$S$10</xm:f>
          </x14:formula1>
          <xm:sqref>M229:Q1048576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showGridLines="0" topLeftCell="A103" workbookViewId="0">
      <selection activeCell="H113" sqref="H106:H113"/>
    </sheetView>
  </sheetViews>
  <sheetFormatPr defaultRowHeight="12.75" x14ac:dyDescent="0.2"/>
  <cols>
    <col min="1" max="1" width="8.85546875" customWidth="1"/>
    <col min="2" max="2" width="7" customWidth="1"/>
    <col min="3" max="3" width="9" bestFit="1" customWidth="1"/>
    <col min="4" max="4" width="13.7109375" customWidth="1"/>
    <col min="5" max="5" width="11.28515625" style="82" customWidth="1"/>
    <col min="6" max="6" width="11" bestFit="1" customWidth="1"/>
    <col min="7" max="7" width="13.42578125" customWidth="1"/>
    <col min="8" max="8" width="11.28515625" customWidth="1"/>
    <col min="9" max="9" width="13.42578125" customWidth="1"/>
    <col min="10" max="10" width="14.85546875" customWidth="1"/>
    <col min="11" max="11" width="11" customWidth="1"/>
    <col min="12" max="12" width="9" bestFit="1" customWidth="1"/>
  </cols>
  <sheetData>
    <row r="1" spans="1:11" ht="24" thickBot="1" x14ac:dyDescent="0.4">
      <c r="B1" s="259" t="s">
        <v>442</v>
      </c>
      <c r="C1" s="260"/>
      <c r="D1" s="260"/>
      <c r="E1" s="260"/>
      <c r="F1" s="260"/>
      <c r="G1" s="260"/>
      <c r="H1" s="260"/>
      <c r="I1" s="260"/>
      <c r="J1" s="260"/>
      <c r="K1" s="261"/>
    </row>
    <row r="2" spans="1:11" ht="3.6" customHeight="1" thickBot="1" x14ac:dyDescent="0.25">
      <c r="E2"/>
    </row>
    <row r="3" spans="1:11" s="146" customFormat="1" ht="31.5" thickTop="1" thickBot="1" x14ac:dyDescent="0.25">
      <c r="A3"/>
      <c r="B3" s="147" t="s">
        <v>186</v>
      </c>
      <c r="C3" s="148" t="s">
        <v>189</v>
      </c>
      <c r="D3" s="149" t="s">
        <v>190</v>
      </c>
      <c r="E3" s="149" t="s">
        <v>188</v>
      </c>
      <c r="F3" s="149" t="s">
        <v>96</v>
      </c>
      <c r="G3" s="150" t="s">
        <v>455</v>
      </c>
      <c r="H3" s="150" t="s">
        <v>193</v>
      </c>
      <c r="I3" s="150" t="s">
        <v>443</v>
      </c>
      <c r="J3" s="150" t="s">
        <v>87</v>
      </c>
      <c r="K3" s="151" t="s">
        <v>192</v>
      </c>
    </row>
    <row r="4" spans="1:11" ht="13.5" thickTop="1" x14ac:dyDescent="0.2">
      <c r="B4" s="132">
        <f>IF(CavityStatus[[#This Row],[Unit '#]]&lt;&gt;0,CavityStatus[[#This Row],[Unit '#]],"")</f>
        <v>1</v>
      </c>
      <c r="C4" s="133" t="s">
        <v>207</v>
      </c>
      <c r="D4" s="134"/>
      <c r="E4" s="135">
        <f>CavityStatus[[#This Row],[Incentive Earned]]</f>
        <v>0</v>
      </c>
      <c r="F4" s="134">
        <f>IF(CavityStatus[[#This Row],[Receipt Date]]&lt;&gt;0,CavityStatus[[#This Row],[Receipt Date]],"")</f>
        <v>42528</v>
      </c>
      <c r="G4" s="135">
        <f>CavityStatus[[#This Row],[Recipe Modification (Mod 9)]]</f>
        <v>0</v>
      </c>
      <c r="H4" s="135">
        <f>CavityStatus[[#This Row],[Caps            
 (Mod 10)]]</f>
        <v>0</v>
      </c>
      <c r="I4" s="135">
        <f>CavityStatus[[#This Row],[Delivery &amp; Acceptance]]</f>
        <v>40187.5</v>
      </c>
      <c r="J4" s="135">
        <f>CavityStatus[[#This Row],[Total]]</f>
        <v>40187.5</v>
      </c>
      <c r="K4" s="136">
        <f>IF(CavityStatus[[#This Row],[Accept Date]]&lt;&gt;0,CavityStatus[[#This Row],[Accept Date]],"")</f>
        <v>42587</v>
      </c>
    </row>
    <row r="5" spans="1:11" x14ac:dyDescent="0.2">
      <c r="B5" s="125">
        <f>IF(CavityStatus[[#This Row],[Unit '#]]&lt;&gt;0,CavityStatus[[#This Row],[Unit '#]],"")</f>
        <v>2</v>
      </c>
      <c r="C5" s="122" t="str">
        <f>CavityStatus[[#This Row],[Serial '#]]</f>
        <v>CAV002</v>
      </c>
      <c r="D5" s="123"/>
      <c r="E5" s="124">
        <f>CavityStatus[[#This Row],[Incentive Earned]]</f>
        <v>0</v>
      </c>
      <c r="F5" s="123">
        <f>IF(CavityStatus[[#This Row],[Receipt Date]]&lt;&gt;0,CavityStatus[[#This Row],[Receipt Date]],"")</f>
        <v>42528</v>
      </c>
      <c r="G5" s="124">
        <f>CavityStatus[[#This Row],[Recipe Modification (Mod 9)]]</f>
        <v>0</v>
      </c>
      <c r="H5" s="124">
        <f>CavityStatus[[#This Row],[Caps            
 (Mod 10)]]</f>
        <v>0</v>
      </c>
      <c r="I5" s="124">
        <f>CavityStatus[[#This Row],[Delivery &amp; Acceptance]]</f>
        <v>40187.5</v>
      </c>
      <c r="J5" s="124">
        <f>CavityStatus[[#This Row],[Total]]</f>
        <v>40187.5</v>
      </c>
      <c r="K5" s="126">
        <f>IF(CavityStatus[[#This Row],[Accept Date]]&lt;&gt;0,CavityStatus[[#This Row],[Accept Date]],"")</f>
        <v>42587</v>
      </c>
    </row>
    <row r="6" spans="1:11" x14ac:dyDescent="0.2">
      <c r="B6" s="125">
        <f>IF(CavityStatus[[#This Row],[Unit '#]]&lt;&gt;0,CavityStatus[[#This Row],[Unit '#]],"")</f>
        <v>3</v>
      </c>
      <c r="C6" s="122" t="str">
        <f>CavityStatus[[#This Row],[Serial '#]]</f>
        <v>CAV004</v>
      </c>
      <c r="D6" s="123">
        <f>IF(CavityStatus[[#This Row],[Actual Ship Date]]&lt;&gt;0,CavityStatus[[#This Row],[Actual Ship Date]],"")</f>
        <v>42552</v>
      </c>
      <c r="E6" s="124">
        <f>CavityStatus[[#This Row],[Incentive Earned]]</f>
        <v>0</v>
      </c>
      <c r="F6" s="123">
        <f>IF(CavityStatus[[#This Row],[Receipt Date]]&lt;&gt;0,CavityStatus[[#This Row],[Receipt Date]],"")</f>
        <v>42528</v>
      </c>
      <c r="G6" s="124">
        <f>CavityStatus[[#This Row],[Recipe Modification (Mod 9)]]</f>
        <v>0</v>
      </c>
      <c r="H6" s="124">
        <f>CavityStatus[[#This Row],[Caps            
 (Mod 10)]]</f>
        <v>0</v>
      </c>
      <c r="I6" s="124">
        <f>CavityStatus[[#This Row],[Delivery &amp; Acceptance]]</f>
        <v>40187.5</v>
      </c>
      <c r="J6" s="124">
        <f>CavityStatus[[#This Row],[Total]]</f>
        <v>40187.5</v>
      </c>
      <c r="K6" s="126">
        <f>IF(CavityStatus[[#This Row],[Accept Date]]&lt;&gt;0,CavityStatus[[#This Row],[Accept Date]],"")</f>
        <v>42587</v>
      </c>
    </row>
    <row r="7" spans="1:11" x14ac:dyDescent="0.2">
      <c r="B7" s="125">
        <f>IF(CavityStatus[[#This Row],[Unit '#]]&lt;&gt;0,CavityStatus[[#This Row],[Unit '#]],"")</f>
        <v>4</v>
      </c>
      <c r="C7" s="122" t="str">
        <f>CavityStatus[[#This Row],[Serial '#]]</f>
        <v>CAV005</v>
      </c>
      <c r="D7" s="123">
        <f>IF(CavityStatus[[#This Row],[Actual Ship Date]]&lt;&gt;0,CavityStatus[[#This Row],[Actual Ship Date]],"")</f>
        <v>42552</v>
      </c>
      <c r="E7" s="124">
        <f>CavityStatus[[#This Row],[Incentive Earned]]</f>
        <v>0</v>
      </c>
      <c r="F7" s="123">
        <f>IF(CavityStatus[[#This Row],[Receipt Date]]&lt;&gt;0,CavityStatus[[#This Row],[Receipt Date]],"")</f>
        <v>42528</v>
      </c>
      <c r="G7" s="124">
        <f>CavityStatus[[#This Row],[Recipe Modification (Mod 9)]]</f>
        <v>0</v>
      </c>
      <c r="H7" s="124">
        <f>CavityStatus[[#This Row],[Caps            
 (Mod 10)]]</f>
        <v>0</v>
      </c>
      <c r="I7" s="124">
        <f>CavityStatus[[#This Row],[Delivery &amp; Acceptance]]</f>
        <v>40187.5</v>
      </c>
      <c r="J7" s="124">
        <f>CavityStatus[[#This Row],[Total]]</f>
        <v>40187.5</v>
      </c>
      <c r="K7" s="126">
        <f>IF(CavityStatus[[#This Row],[Accept Date]]&lt;&gt;0,CavityStatus[[#This Row],[Accept Date]],"")</f>
        <v>42587</v>
      </c>
    </row>
    <row r="8" spans="1:11" x14ac:dyDescent="0.2">
      <c r="B8" s="125">
        <f>IF(CavityStatus[[#This Row],[Unit '#]]&lt;&gt;0,CavityStatus[[#This Row],[Unit '#]],"")</f>
        <v>5</v>
      </c>
      <c r="C8" s="122" t="str">
        <f>CavityStatus[[#This Row],[Serial '#]]</f>
        <v>CAV003</v>
      </c>
      <c r="D8" s="123">
        <f>IF(CavityStatus[[#This Row],[Actual Ship Date]]&lt;&gt;0,CavityStatus[[#This Row],[Actual Ship Date]],"")</f>
        <v>42552</v>
      </c>
      <c r="E8" s="124">
        <f>CavityStatus[[#This Row],[Incentive Earned]]</f>
        <v>0</v>
      </c>
      <c r="F8" s="123">
        <f>IF(CavityStatus[[#This Row],[Receipt Date]]&lt;&gt;0,CavityStatus[[#This Row],[Receipt Date]],"")</f>
        <v>42528</v>
      </c>
      <c r="G8" s="124">
        <f>CavityStatus[[#This Row],[Recipe Modification (Mod 9)]]</f>
        <v>0</v>
      </c>
      <c r="H8" s="124">
        <f>CavityStatus[[#This Row],[Caps            
 (Mod 10)]]</f>
        <v>0</v>
      </c>
      <c r="I8" s="124">
        <f>CavityStatus[[#This Row],[Delivery &amp; Acceptance]]</f>
        <v>40187.5</v>
      </c>
      <c r="J8" s="124">
        <f>CavityStatus[[#This Row],[Total]]</f>
        <v>40187.5</v>
      </c>
      <c r="K8" s="126">
        <f>IF(CavityStatus[[#This Row],[Accept Date]]&lt;&gt;0,CavityStatus[[#This Row],[Accept Date]],"")</f>
        <v>42587</v>
      </c>
    </row>
    <row r="9" spans="1:11" x14ac:dyDescent="0.2">
      <c r="B9" s="125">
        <f>IF(CavityStatus[[#This Row],[Unit '#]]&lt;&gt;0,CavityStatus[[#This Row],[Unit '#]],"")</f>
        <v>6</v>
      </c>
      <c r="C9" s="122" t="str">
        <f>CavityStatus[[#This Row],[Serial '#]]</f>
        <v>CAV006</v>
      </c>
      <c r="D9" s="123">
        <f>IF(CavityStatus[[#This Row],[Actual Ship Date]]&lt;&gt;0,CavityStatus[[#This Row],[Actual Ship Date]],"")</f>
        <v>42552</v>
      </c>
      <c r="E9" s="124">
        <f>CavityStatus[[#This Row],[Incentive Earned]]</f>
        <v>0</v>
      </c>
      <c r="F9" s="123">
        <f>IF(CavityStatus[[#This Row],[Receipt Date]]&lt;&gt;0,CavityStatus[[#This Row],[Receipt Date]],"")</f>
        <v>42528</v>
      </c>
      <c r="G9" s="124">
        <f>CavityStatus[[#This Row],[Recipe Modification (Mod 9)]]</f>
        <v>0</v>
      </c>
      <c r="H9" s="124">
        <f>CavityStatus[[#This Row],[Caps            
 (Mod 10)]]</f>
        <v>0</v>
      </c>
      <c r="I9" s="124">
        <f>CavityStatus[[#This Row],[Delivery &amp; Acceptance]]</f>
        <v>40187.5</v>
      </c>
      <c r="J9" s="124">
        <f>CavityStatus[[#This Row],[Total]]</f>
        <v>40187.5</v>
      </c>
      <c r="K9" s="126">
        <f>IF(CavityStatus[[#This Row],[Accept Date]]&lt;&gt;0,CavityStatus[[#This Row],[Accept Date]],"")</f>
        <v>42587</v>
      </c>
    </row>
    <row r="10" spans="1:11" x14ac:dyDescent="0.2">
      <c r="B10" s="125">
        <f>IF(CavityStatus[[#This Row],[Unit '#]]&lt;&gt;0,CavityStatus[[#This Row],[Unit '#]],"")</f>
        <v>7</v>
      </c>
      <c r="C10" s="122" t="str">
        <f>CavityStatus[[#This Row],[Serial '#]]</f>
        <v>CAV007</v>
      </c>
      <c r="D10" s="123">
        <f>IF(CavityStatus[[#This Row],[Actual Ship Date]]&lt;&gt;0,CavityStatus[[#This Row],[Actual Ship Date]],"")</f>
        <v>42552</v>
      </c>
      <c r="E10" s="124">
        <f>CavityStatus[[#This Row],[Incentive Earned]]</f>
        <v>0</v>
      </c>
      <c r="F10" s="123">
        <f>IF(CavityStatus[[#This Row],[Receipt Date]]&lt;&gt;0,CavityStatus[[#This Row],[Receipt Date]],"")</f>
        <v>42528</v>
      </c>
      <c r="G10" s="124">
        <f>CavityStatus[[#This Row],[Recipe Modification (Mod 9)]]</f>
        <v>0</v>
      </c>
      <c r="H10" s="124">
        <f>CavityStatus[[#This Row],[Caps            
 (Mod 10)]]</f>
        <v>0</v>
      </c>
      <c r="I10" s="124">
        <f>CavityStatus[[#This Row],[Delivery &amp; Acceptance]]</f>
        <v>40187.5</v>
      </c>
      <c r="J10" s="124">
        <f>CavityStatus[[#This Row],[Total]]</f>
        <v>40187.5</v>
      </c>
      <c r="K10" s="126">
        <f>IF(CavityStatus[[#This Row],[Accept Date]]&lt;&gt;0,CavityStatus[[#This Row],[Accept Date]],"")</f>
        <v>42587</v>
      </c>
    </row>
    <row r="11" spans="1:11" x14ac:dyDescent="0.2">
      <c r="B11" s="125">
        <f>IF(CavityStatus[[#This Row],[Unit '#]]&lt;&gt;0,CavityStatus[[#This Row],[Unit '#]],"")</f>
        <v>8</v>
      </c>
      <c r="C11" s="122" t="str">
        <f>CavityStatus[[#This Row],[Serial '#]]</f>
        <v>CAV008</v>
      </c>
      <c r="D11" s="123">
        <f>IF(CavityStatus[[#This Row],[Actual Ship Date]]&lt;&gt;0,CavityStatus[[#This Row],[Actual Ship Date]],"")</f>
        <v>42552</v>
      </c>
      <c r="E11" s="124">
        <f>CavityStatus[[#This Row],[Incentive Earned]]</f>
        <v>0</v>
      </c>
      <c r="F11" s="123">
        <f>IF(CavityStatus[[#This Row],[Receipt Date]]&lt;&gt;0,CavityStatus[[#This Row],[Receipt Date]],"")</f>
        <v>42528</v>
      </c>
      <c r="G11" s="124">
        <f>CavityStatus[[#This Row],[Recipe Modification (Mod 9)]]</f>
        <v>0</v>
      </c>
      <c r="H11" s="124">
        <f>CavityStatus[[#This Row],[Caps            
 (Mod 10)]]</f>
        <v>0</v>
      </c>
      <c r="I11" s="124">
        <f>CavityStatus[[#This Row],[Delivery &amp; Acceptance]]</f>
        <v>40187.5</v>
      </c>
      <c r="J11" s="124">
        <f>CavityStatus[[#This Row],[Total]]</f>
        <v>40187.5</v>
      </c>
      <c r="K11" s="126">
        <f>IF(CavityStatus[[#This Row],[Accept Date]]&lt;&gt;0,CavityStatus[[#This Row],[Accept Date]],"")</f>
        <v>42587</v>
      </c>
    </row>
    <row r="12" spans="1:11" x14ac:dyDescent="0.2">
      <c r="B12" s="125">
        <f>IF(CavityStatus[[#This Row],[Unit '#]]&lt;&gt;0,CavityStatus[[#This Row],[Unit '#]],"")</f>
        <v>9</v>
      </c>
      <c r="C12" s="122" t="str">
        <f>CavityStatus[[#This Row],[Serial '#]]</f>
        <v>CAV009</v>
      </c>
      <c r="D12" s="123">
        <f>IF(CavityStatus[[#This Row],[Actual Ship Date]]&lt;&gt;0,CavityStatus[[#This Row],[Actual Ship Date]],"")</f>
        <v>42583</v>
      </c>
      <c r="E12" s="124">
        <f>CavityStatus[[#This Row],[Incentive Earned]]</f>
        <v>0</v>
      </c>
      <c r="F12" s="123">
        <f>IF(CavityStatus[[#This Row],[Receipt Date]]&lt;&gt;0,CavityStatus[[#This Row],[Receipt Date]],"")</f>
        <v>42589</v>
      </c>
      <c r="G12" s="124">
        <f>CavityStatus[[#This Row],[Recipe Modification (Mod 9)]]</f>
        <v>0</v>
      </c>
      <c r="H12" s="124">
        <f>CavityStatus[[#This Row],[Caps            
 (Mod 10)]]</f>
        <v>0</v>
      </c>
      <c r="I12" s="124">
        <f>CavityStatus[[#This Row],[Delivery &amp; Acceptance]]</f>
        <v>40187.5</v>
      </c>
      <c r="J12" s="124">
        <f>CavityStatus[[#This Row],[Total]]</f>
        <v>40187.5</v>
      </c>
      <c r="K12" s="126">
        <f>IF(CavityStatus[[#This Row],[Accept Date]]&lt;&gt;0,CavityStatus[[#This Row],[Accept Date]],"")</f>
        <v>42587</v>
      </c>
    </row>
    <row r="13" spans="1:11" x14ac:dyDescent="0.2">
      <c r="B13" s="125">
        <f>IF(CavityStatus[[#This Row],[Unit '#]]&lt;&gt;0,CavityStatus[[#This Row],[Unit '#]],"")</f>
        <v>10</v>
      </c>
      <c r="C13" s="122" t="str">
        <f>CavityStatus[[#This Row],[Serial '#]]</f>
        <v>CAV010</v>
      </c>
      <c r="D13" s="123">
        <f>IF(CavityStatus[[#This Row],[Actual Ship Date]]&lt;&gt;0,CavityStatus[[#This Row],[Actual Ship Date]],"")</f>
        <v>42583</v>
      </c>
      <c r="E13" s="124">
        <f>CavityStatus[[#This Row],[Incentive Earned]]</f>
        <v>0</v>
      </c>
      <c r="F13" s="123">
        <f>IF(CavityStatus[[#This Row],[Receipt Date]]&lt;&gt;0,CavityStatus[[#This Row],[Receipt Date]],"")</f>
        <v>42589</v>
      </c>
      <c r="G13" s="124">
        <f>CavityStatus[[#This Row],[Recipe Modification (Mod 9)]]</f>
        <v>0</v>
      </c>
      <c r="H13" s="124">
        <f>CavityStatus[[#This Row],[Caps            
 (Mod 10)]]</f>
        <v>0</v>
      </c>
      <c r="I13" s="124">
        <f>CavityStatus[[#This Row],[Delivery &amp; Acceptance]]</f>
        <v>40187.5</v>
      </c>
      <c r="J13" s="124">
        <f>CavityStatus[[#This Row],[Total]]</f>
        <v>40187.5</v>
      </c>
      <c r="K13" s="126">
        <f>IF(CavityStatus[[#This Row],[Accept Date]]&lt;&gt;0,CavityStatus[[#This Row],[Accept Date]],"")</f>
        <v>42587</v>
      </c>
    </row>
    <row r="14" spans="1:11" x14ac:dyDescent="0.2">
      <c r="B14" s="125">
        <f>IF(CavityStatus[[#This Row],[Unit '#]]&lt;&gt;0,CavityStatus[[#This Row],[Unit '#]],"")</f>
        <v>11</v>
      </c>
      <c r="C14" s="122" t="str">
        <f>CavityStatus[[#This Row],[Serial '#]]</f>
        <v>CAV012</v>
      </c>
      <c r="D14" s="123">
        <f>IF(CavityStatus[[#This Row],[Actual Ship Date]]&lt;&gt;0,CavityStatus[[#This Row],[Actual Ship Date]],"")</f>
        <v>42583</v>
      </c>
      <c r="E14" s="124">
        <f>CavityStatus[[#This Row],[Incentive Earned]]</f>
        <v>0</v>
      </c>
      <c r="F14" s="123">
        <f>IF(CavityStatus[[#This Row],[Receipt Date]]&lt;&gt;0,CavityStatus[[#This Row],[Receipt Date]],"")</f>
        <v>42589</v>
      </c>
      <c r="G14" s="124">
        <f>CavityStatus[[#This Row],[Recipe Modification (Mod 9)]]</f>
        <v>0</v>
      </c>
      <c r="H14" s="124">
        <f>CavityStatus[[#This Row],[Caps            
 (Mod 10)]]</f>
        <v>0</v>
      </c>
      <c r="I14" s="124">
        <f>CavityStatus[[#This Row],[Delivery &amp; Acceptance]]</f>
        <v>40187.5</v>
      </c>
      <c r="J14" s="124">
        <f>CavityStatus[[#This Row],[Total]]</f>
        <v>40187.5</v>
      </c>
      <c r="K14" s="126">
        <f>IF(CavityStatus[[#This Row],[Accept Date]]&lt;&gt;0,CavityStatus[[#This Row],[Accept Date]],"")</f>
        <v>42587</v>
      </c>
    </row>
    <row r="15" spans="1:11" x14ac:dyDescent="0.2">
      <c r="B15" s="125">
        <f>IF(CavityStatus[[#This Row],[Unit '#]]&lt;&gt;0,CavityStatus[[#This Row],[Unit '#]],"")</f>
        <v>12</v>
      </c>
      <c r="C15" s="122" t="str">
        <f>CavityStatus[[#This Row],[Serial '#]]</f>
        <v>CAV014</v>
      </c>
      <c r="D15" s="123">
        <f>IF(CavityStatus[[#This Row],[Actual Ship Date]]&lt;&gt;0,CavityStatus[[#This Row],[Actual Ship Date]],"")</f>
        <v>42583</v>
      </c>
      <c r="E15" s="124">
        <f>CavityStatus[[#This Row],[Incentive Earned]]</f>
        <v>0</v>
      </c>
      <c r="F15" s="123">
        <f>IF(CavityStatus[[#This Row],[Receipt Date]]&lt;&gt;0,CavityStatus[[#This Row],[Receipt Date]],"")</f>
        <v>42589</v>
      </c>
      <c r="G15" s="124">
        <f>CavityStatus[[#This Row],[Recipe Modification (Mod 9)]]</f>
        <v>0</v>
      </c>
      <c r="H15" s="124">
        <f>CavityStatus[[#This Row],[Caps            
 (Mod 10)]]</f>
        <v>0</v>
      </c>
      <c r="I15" s="124">
        <f>CavityStatus[[#This Row],[Delivery &amp; Acceptance]]</f>
        <v>40187.5</v>
      </c>
      <c r="J15" s="124">
        <f>CavityStatus[[#This Row],[Total]]</f>
        <v>40187.5</v>
      </c>
      <c r="K15" s="126">
        <f>IF(CavityStatus[[#This Row],[Accept Date]]&lt;&gt;0,CavityStatus[[#This Row],[Accept Date]],"")</f>
        <v>42587</v>
      </c>
    </row>
    <row r="16" spans="1:11" x14ac:dyDescent="0.2">
      <c r="B16" s="125">
        <f>IF(CavityStatus[[#This Row],[Unit '#]]&lt;&gt;0,CavityStatus[[#This Row],[Unit '#]],"")</f>
        <v>13</v>
      </c>
      <c r="C16" s="122" t="str">
        <f>CavityStatus[[#This Row],[Serial '#]]</f>
        <v>CAV011</v>
      </c>
      <c r="D16" s="123">
        <f>IF(CavityStatus[[#This Row],[Actual Ship Date]]&lt;&gt;0,CavityStatus[[#This Row],[Actual Ship Date]],"")</f>
        <v>42583</v>
      </c>
      <c r="E16" s="124">
        <f>CavityStatus[[#This Row],[Incentive Earned]]</f>
        <v>0</v>
      </c>
      <c r="F16" s="123">
        <f>IF(CavityStatus[[#This Row],[Receipt Date]]&lt;&gt;0,CavityStatus[[#This Row],[Receipt Date]],"")</f>
        <v>42589</v>
      </c>
      <c r="G16" s="124">
        <f>CavityStatus[[#This Row],[Recipe Modification (Mod 9)]]</f>
        <v>0</v>
      </c>
      <c r="H16" s="124">
        <f>CavityStatus[[#This Row],[Caps            
 (Mod 10)]]</f>
        <v>0</v>
      </c>
      <c r="I16" s="124">
        <f>CavityStatus[[#This Row],[Delivery &amp; Acceptance]]</f>
        <v>40187.5</v>
      </c>
      <c r="J16" s="124">
        <f>CavityStatus[[#This Row],[Total]]</f>
        <v>40187.5</v>
      </c>
      <c r="K16" s="126">
        <f>IF(CavityStatus[[#This Row],[Accept Date]]&lt;&gt;0,CavityStatus[[#This Row],[Accept Date]],"")</f>
        <v>42587</v>
      </c>
    </row>
    <row r="17" spans="2:11" x14ac:dyDescent="0.2">
      <c r="B17" s="125">
        <f>IF(CavityStatus[[#This Row],[Unit '#]]&lt;&gt;0,CavityStatus[[#This Row],[Unit '#]],"")</f>
        <v>14</v>
      </c>
      <c r="C17" s="122" t="str">
        <f>CavityStatus[[#This Row],[Serial '#]]</f>
        <v>CAV013</v>
      </c>
      <c r="D17" s="123">
        <f>IF(CavityStatus[[#This Row],[Actual Ship Date]]&lt;&gt;0,CavityStatus[[#This Row],[Actual Ship Date]],"")</f>
        <v>42583</v>
      </c>
      <c r="E17" s="124">
        <f>CavityStatus[[#This Row],[Incentive Earned]]</f>
        <v>0</v>
      </c>
      <c r="F17" s="123">
        <f>IF(CavityStatus[[#This Row],[Receipt Date]]&lt;&gt;0,CavityStatus[[#This Row],[Receipt Date]],"")</f>
        <v>42589</v>
      </c>
      <c r="G17" s="124">
        <f>CavityStatus[[#This Row],[Recipe Modification (Mod 9)]]</f>
        <v>0</v>
      </c>
      <c r="H17" s="124">
        <f>CavityStatus[[#This Row],[Caps            
 (Mod 10)]]</f>
        <v>0</v>
      </c>
      <c r="I17" s="124">
        <f>CavityStatus[[#This Row],[Delivery &amp; Acceptance]]</f>
        <v>40187.5</v>
      </c>
      <c r="J17" s="124">
        <f>CavityStatus[[#This Row],[Total]]</f>
        <v>40187.5</v>
      </c>
      <c r="K17" s="126">
        <f>IF(CavityStatus[[#This Row],[Accept Date]]&lt;&gt;0,CavityStatus[[#This Row],[Accept Date]],"")</f>
        <v>42587</v>
      </c>
    </row>
    <row r="18" spans="2:11" x14ac:dyDescent="0.2">
      <c r="B18" s="125">
        <f>IF(CavityStatus[[#This Row],[Unit '#]]&lt;&gt;0,CavityStatus[[#This Row],[Unit '#]],"")</f>
        <v>15</v>
      </c>
      <c r="C18" s="122" t="str">
        <f>CavityStatus[[#This Row],[Serial '#]]</f>
        <v>CAV015</v>
      </c>
      <c r="D18" s="123">
        <f>IF(CavityStatus[[#This Row],[Actual Ship Date]]&lt;&gt;0,CavityStatus[[#This Row],[Actual Ship Date]],"")</f>
        <v>42583</v>
      </c>
      <c r="E18" s="124">
        <f>CavityStatus[[#This Row],[Incentive Earned]]</f>
        <v>0</v>
      </c>
      <c r="F18" s="123">
        <f>IF(CavityStatus[[#This Row],[Receipt Date]]&lt;&gt;0,CavityStatus[[#This Row],[Receipt Date]],"")</f>
        <v>42589</v>
      </c>
      <c r="G18" s="124">
        <f>CavityStatus[[#This Row],[Recipe Modification (Mod 9)]]</f>
        <v>0</v>
      </c>
      <c r="H18" s="124">
        <f>CavityStatus[[#This Row],[Caps            
 (Mod 10)]]</f>
        <v>0</v>
      </c>
      <c r="I18" s="124">
        <f>CavityStatus[[#This Row],[Delivery &amp; Acceptance]]</f>
        <v>40187.5</v>
      </c>
      <c r="J18" s="124">
        <f>CavityStatus[[#This Row],[Total]]</f>
        <v>40187.5</v>
      </c>
      <c r="K18" s="126">
        <f>IF(CavityStatus[[#This Row],[Accept Date]]&lt;&gt;0,CavityStatus[[#This Row],[Accept Date]],"")</f>
        <v>42587</v>
      </c>
    </row>
    <row r="19" spans="2:11" x14ac:dyDescent="0.2">
      <c r="B19" s="125">
        <f>IF(CavityStatus[[#This Row],[Unit '#]]&lt;&gt;0,CavityStatus[[#This Row],[Unit '#]],"")</f>
        <v>16</v>
      </c>
      <c r="C19" s="122" t="str">
        <f>CavityStatus[[#This Row],[Serial '#]]</f>
        <v>CAV016</v>
      </c>
      <c r="D19" s="123">
        <f>IF(CavityStatus[[#This Row],[Actual Ship Date]]&lt;&gt;0,CavityStatus[[#This Row],[Actual Ship Date]],"")</f>
        <v>42583</v>
      </c>
      <c r="E19" s="124">
        <f>CavityStatus[[#This Row],[Incentive Earned]]</f>
        <v>0</v>
      </c>
      <c r="F19" s="123">
        <f>IF(CavityStatus[[#This Row],[Receipt Date]]&lt;&gt;0,CavityStatus[[#This Row],[Receipt Date]],"")</f>
        <v>42589</v>
      </c>
      <c r="G19" s="124">
        <f>CavityStatus[[#This Row],[Recipe Modification (Mod 9)]]</f>
        <v>0</v>
      </c>
      <c r="H19" s="124">
        <f>CavityStatus[[#This Row],[Caps            
 (Mod 10)]]</f>
        <v>0</v>
      </c>
      <c r="I19" s="124">
        <f>CavityStatus[[#This Row],[Delivery &amp; Acceptance]]</f>
        <v>40187.5</v>
      </c>
      <c r="J19" s="124">
        <f>CavityStatus[[#This Row],[Total]]</f>
        <v>40187.5</v>
      </c>
      <c r="K19" s="126">
        <f>IF(CavityStatus[[#This Row],[Accept Date]]&lt;&gt;0,CavityStatus[[#This Row],[Accept Date]],"")</f>
        <v>42587</v>
      </c>
    </row>
    <row r="20" spans="2:11" x14ac:dyDescent="0.2">
      <c r="B20" s="125">
        <f>IF(CavityStatus[[#This Row],[Unit '#]]&lt;&gt;0,CavityStatus[[#This Row],[Unit '#]],"")</f>
        <v>17</v>
      </c>
      <c r="C20" s="122" t="str">
        <f>CavityStatus[[#This Row],[Serial '#]]</f>
        <v>CAV017</v>
      </c>
      <c r="D20" s="123">
        <f>IF(CavityStatus[[#This Row],[Actual Ship Date]]&lt;&gt;0,CavityStatus[[#This Row],[Actual Ship Date]],"")</f>
        <v>42650</v>
      </c>
      <c r="E20" s="124">
        <f>CavityStatus[[#This Row],[Incentive Earned]]</f>
        <v>5750</v>
      </c>
      <c r="F20" s="123">
        <f>IF(CavityStatus[[#This Row],[Receipt Date]]&lt;&gt;0,CavityStatus[[#This Row],[Receipt Date]],"")</f>
        <v>42669</v>
      </c>
      <c r="G20" s="124">
        <f>CavityStatus[[#This Row],[Recipe Modification (Mod 9)]]</f>
        <v>0</v>
      </c>
      <c r="H20" s="124">
        <f>CavityStatus[[#This Row],[Caps            
 (Mod 10)]]</f>
        <v>490</v>
      </c>
      <c r="I20" s="124">
        <f>CavityStatus[[#This Row],[Delivery &amp; Acceptance]]</f>
        <v>40187.5</v>
      </c>
      <c r="J20" s="124">
        <f>CavityStatus[[#This Row],[Total]]</f>
        <v>46427.5</v>
      </c>
      <c r="K20" s="126">
        <f>IF(CavityStatus[[#This Row],[Accept Date]]&lt;&gt;0,CavityStatus[[#This Row],[Accept Date]],"")</f>
        <v>42705</v>
      </c>
    </row>
    <row r="21" spans="2:11" x14ac:dyDescent="0.2">
      <c r="B21" s="125">
        <f>IF(CavityStatus[[#This Row],[Unit '#]]&lt;&gt;0,CavityStatus[[#This Row],[Unit '#]],"")</f>
        <v>18</v>
      </c>
      <c r="C21" s="122" t="str">
        <f>CavityStatus[[#This Row],[Serial '#]]</f>
        <v>CAV018</v>
      </c>
      <c r="D21" s="123">
        <f>IF(CavityStatus[[#This Row],[Actual Ship Date]]&lt;&gt;0,CavityStatus[[#This Row],[Actual Ship Date]],"")</f>
        <v>42650</v>
      </c>
      <c r="E21" s="124">
        <f>CavityStatus[[#This Row],[Incentive Earned]]</f>
        <v>5750</v>
      </c>
      <c r="F21" s="123">
        <f>IF(CavityStatus[[#This Row],[Receipt Date]]&lt;&gt;0,CavityStatus[[#This Row],[Receipt Date]],"")</f>
        <v>42669</v>
      </c>
      <c r="G21" s="124">
        <f>CavityStatus[[#This Row],[Recipe Modification (Mod 9)]]</f>
        <v>0</v>
      </c>
      <c r="H21" s="124">
        <f>CavityStatus[[#This Row],[Caps            
 (Mod 10)]]</f>
        <v>490</v>
      </c>
      <c r="I21" s="124">
        <f>CavityStatus[[#This Row],[Delivery &amp; Acceptance]]</f>
        <v>40187.5</v>
      </c>
      <c r="J21" s="124">
        <f>CavityStatus[[#This Row],[Total]]</f>
        <v>46427.5</v>
      </c>
      <c r="K21" s="126">
        <f>IF(CavityStatus[[#This Row],[Accept Date]]&lt;&gt;0,CavityStatus[[#This Row],[Accept Date]],"")</f>
        <v>42675</v>
      </c>
    </row>
    <row r="22" spans="2:11" x14ac:dyDescent="0.2">
      <c r="B22" s="125">
        <f>IF(CavityStatus[[#This Row],[Unit '#]]&lt;&gt;0,CavityStatus[[#This Row],[Unit '#]],"")</f>
        <v>19</v>
      </c>
      <c r="C22" s="122" t="str">
        <f>CavityStatus[[#This Row],[Serial '#]]</f>
        <v>CAV019</v>
      </c>
      <c r="D22" s="123">
        <f>IF(CavityStatus[[#This Row],[Actual Ship Date]]&lt;&gt;0,CavityStatus[[#This Row],[Actual Ship Date]],"")</f>
        <v>42662</v>
      </c>
      <c r="E22" s="124">
        <f>CavityStatus[[#This Row],[Incentive Earned]]</f>
        <v>5750</v>
      </c>
      <c r="F22" s="123">
        <f>IF(CavityStatus[[#This Row],[Receipt Date]]&lt;&gt;0,CavityStatus[[#This Row],[Receipt Date]],"")</f>
        <v>42669</v>
      </c>
      <c r="G22" s="124">
        <f>CavityStatus[[#This Row],[Recipe Modification (Mod 9)]]</f>
        <v>0</v>
      </c>
      <c r="H22" s="124">
        <f>CavityStatus[[#This Row],[Caps            
 (Mod 10)]]</f>
        <v>490</v>
      </c>
      <c r="I22" s="124">
        <f>CavityStatus[[#This Row],[Delivery &amp; Acceptance]]</f>
        <v>40187.5</v>
      </c>
      <c r="J22" s="124">
        <f>CavityStatus[[#This Row],[Total]]</f>
        <v>46427.5</v>
      </c>
      <c r="K22" s="126">
        <f>IF(CavityStatus[[#This Row],[Accept Date]]&lt;&gt;0,CavityStatus[[#This Row],[Accept Date]],"")</f>
        <v>42675</v>
      </c>
    </row>
    <row r="23" spans="2:11" x14ac:dyDescent="0.2">
      <c r="B23" s="125">
        <f>IF(CavityStatus[[#This Row],[Unit '#]]&lt;&gt;0,CavityStatus[[#This Row],[Unit '#]],"")</f>
        <v>20</v>
      </c>
      <c r="C23" s="122" t="str">
        <f>CavityStatus[[#This Row],[Serial '#]]</f>
        <v>CAV020</v>
      </c>
      <c r="D23" s="123">
        <f>IF(CavityStatus[[#This Row],[Actual Ship Date]]&lt;&gt;0,CavityStatus[[#This Row],[Actual Ship Date]],"")</f>
        <v>42662</v>
      </c>
      <c r="E23" s="124">
        <f>CavityStatus[[#This Row],[Incentive Earned]]</f>
        <v>5750</v>
      </c>
      <c r="F23" s="123">
        <f>IF(CavityStatus[[#This Row],[Receipt Date]]&lt;&gt;0,CavityStatus[[#This Row],[Receipt Date]],"")</f>
        <v>42669</v>
      </c>
      <c r="G23" s="124">
        <f>CavityStatus[[#This Row],[Recipe Modification (Mod 9)]]</f>
        <v>0</v>
      </c>
      <c r="H23" s="124">
        <f>CavityStatus[[#This Row],[Caps            
 (Mod 10)]]</f>
        <v>490</v>
      </c>
      <c r="I23" s="124">
        <f>CavityStatus[[#This Row],[Delivery &amp; Acceptance]]</f>
        <v>40187.5</v>
      </c>
      <c r="J23" s="124">
        <f>CavityStatus[[#This Row],[Total]]</f>
        <v>46427.5</v>
      </c>
      <c r="K23" s="126">
        <f>IF(CavityStatus[[#This Row],[Accept Date]]&lt;&gt;0,CavityStatus[[#This Row],[Accept Date]],"")</f>
        <v>42675</v>
      </c>
    </row>
    <row r="24" spans="2:11" x14ac:dyDescent="0.2">
      <c r="B24" s="125">
        <f>IF(CavityStatus[[#This Row],[Unit '#]]&lt;&gt;0,CavityStatus[[#This Row],[Unit '#]],"")</f>
        <v>21</v>
      </c>
      <c r="C24" s="122" t="str">
        <f>CavityStatus[[#This Row],[Serial '#]]</f>
        <v>CAV021</v>
      </c>
      <c r="D24" s="123">
        <f>IF(CavityStatus[[#This Row],[Actual Ship Date]]&lt;&gt;0,CavityStatus[[#This Row],[Actual Ship Date]],"")</f>
        <v>42676</v>
      </c>
      <c r="E24" s="124">
        <f>CavityStatus[[#This Row],[Incentive Earned]]</f>
        <v>5750</v>
      </c>
      <c r="F24" s="123">
        <f>IF(CavityStatus[[#This Row],[Receipt Date]]&lt;&gt;0,CavityStatus[[#This Row],[Receipt Date]],"")</f>
        <v>42685</v>
      </c>
      <c r="G24" s="124">
        <f>CavityStatus[[#This Row],[Recipe Modification (Mod 9)]]</f>
        <v>4283.18</v>
      </c>
      <c r="H24" s="124">
        <f>CavityStatus[[#This Row],[Caps            
 (Mod 10)]]</f>
        <v>490</v>
      </c>
      <c r="I24" s="124">
        <f>CavityStatus[[#This Row],[Delivery &amp; Acceptance]]</f>
        <v>40187.5</v>
      </c>
      <c r="J24" s="124">
        <f>CavityStatus[[#This Row],[Total]]</f>
        <v>50710.68</v>
      </c>
      <c r="K24" s="126">
        <f>IF(CavityStatus[[#This Row],[Accept Date]]&lt;&gt;0,CavityStatus[[#This Row],[Accept Date]],"")</f>
        <v>42675</v>
      </c>
    </row>
    <row r="25" spans="2:11" x14ac:dyDescent="0.2">
      <c r="B25" s="125">
        <f>IF(CavityStatus[[#This Row],[Unit '#]]&lt;&gt;0,CavityStatus[[#This Row],[Unit '#]],"")</f>
        <v>22</v>
      </c>
      <c r="C25" s="122" t="str">
        <f>CavityStatus[[#This Row],[Serial '#]]</f>
        <v>CAV023</v>
      </c>
      <c r="D25" s="123">
        <f>IF(CavityStatus[[#This Row],[Actual Ship Date]]&lt;&gt;0,CavityStatus[[#This Row],[Actual Ship Date]],"")</f>
        <v>42676</v>
      </c>
      <c r="E25" s="124">
        <f>CavityStatus[[#This Row],[Incentive Earned]]</f>
        <v>5750</v>
      </c>
      <c r="F25" s="123">
        <f>IF(CavityStatus[[#This Row],[Receipt Date]]&lt;&gt;0,CavityStatus[[#This Row],[Receipt Date]],"")</f>
        <v>42685</v>
      </c>
      <c r="G25" s="124">
        <f>CavityStatus[[#This Row],[Recipe Modification (Mod 9)]]</f>
        <v>4283.18</v>
      </c>
      <c r="H25" s="124">
        <f>CavityStatus[[#This Row],[Caps            
 (Mod 10)]]</f>
        <v>490</v>
      </c>
      <c r="I25" s="124">
        <f>CavityStatus[[#This Row],[Delivery &amp; Acceptance]]</f>
        <v>40187.5</v>
      </c>
      <c r="J25" s="124">
        <f>CavityStatus[[#This Row],[Total]]</f>
        <v>50710.68</v>
      </c>
      <c r="K25" s="126">
        <f>IF(CavityStatus[[#This Row],[Accept Date]]&lt;&gt;0,CavityStatus[[#This Row],[Accept Date]],"")</f>
        <v>42675</v>
      </c>
    </row>
    <row r="26" spans="2:11" x14ac:dyDescent="0.2">
      <c r="B26" s="125">
        <f>IF(CavityStatus[[#This Row],[Unit '#]]&lt;&gt;0,CavityStatus[[#This Row],[Unit '#]],"")</f>
        <v>23</v>
      </c>
      <c r="C26" s="122" t="str">
        <f>CavityStatus[[#This Row],[Serial '#]]</f>
        <v>CAV024</v>
      </c>
      <c r="D26" s="123">
        <f>IF(CavityStatus[[#This Row],[Actual Ship Date]]&lt;&gt;0,CavityStatus[[#This Row],[Actual Ship Date]],"")</f>
        <v>42676</v>
      </c>
      <c r="E26" s="124">
        <f>CavityStatus[[#This Row],[Incentive Earned]]</f>
        <v>5750</v>
      </c>
      <c r="F26" s="123">
        <f>IF(CavityStatus[[#This Row],[Receipt Date]]&lt;&gt;0,CavityStatus[[#This Row],[Receipt Date]],"")</f>
        <v>42685</v>
      </c>
      <c r="G26" s="124">
        <f>CavityStatus[[#This Row],[Recipe Modification (Mod 9)]]</f>
        <v>4283.18</v>
      </c>
      <c r="H26" s="124">
        <f>CavityStatus[[#This Row],[Caps            
 (Mod 10)]]</f>
        <v>490</v>
      </c>
      <c r="I26" s="124">
        <f>CavityStatus[[#This Row],[Delivery &amp; Acceptance]]</f>
        <v>40187.5</v>
      </c>
      <c r="J26" s="124">
        <f>CavityStatus[[#This Row],[Total]]</f>
        <v>50710.68</v>
      </c>
      <c r="K26" s="126">
        <f>IF(CavityStatus[[#This Row],[Accept Date]]&lt;&gt;0,CavityStatus[[#This Row],[Accept Date]],"")</f>
        <v>42675</v>
      </c>
    </row>
    <row r="27" spans="2:11" x14ac:dyDescent="0.2">
      <c r="B27" s="125">
        <f>IF(CavityStatus[[#This Row],[Unit '#]]&lt;&gt;0,CavityStatus[[#This Row],[Unit '#]],"")</f>
        <v>24</v>
      </c>
      <c r="C27" s="122" t="str">
        <f>CavityStatus[[#This Row],[Serial '#]]</f>
        <v>CAV028</v>
      </c>
      <c r="D27" s="123">
        <f>IF(CavityStatus[[#This Row],[Actual Ship Date]]&lt;&gt;0,CavityStatus[[#This Row],[Actual Ship Date]],"")</f>
        <v>42676</v>
      </c>
      <c r="E27" s="124">
        <f>CavityStatus[[#This Row],[Incentive Earned]]</f>
        <v>5750</v>
      </c>
      <c r="F27" s="123">
        <f>IF(CavityStatus[[#This Row],[Receipt Date]]&lt;&gt;0,CavityStatus[[#This Row],[Receipt Date]],"")</f>
        <v>42685</v>
      </c>
      <c r="G27" s="124">
        <f>CavityStatus[[#This Row],[Recipe Modification (Mod 9)]]</f>
        <v>4283.18</v>
      </c>
      <c r="H27" s="124">
        <f>CavityStatus[[#This Row],[Caps            
 (Mod 10)]]</f>
        <v>490</v>
      </c>
      <c r="I27" s="124">
        <f>CavityStatus[[#This Row],[Delivery &amp; Acceptance]]</f>
        <v>40187.5</v>
      </c>
      <c r="J27" s="124">
        <f>CavityStatus[[#This Row],[Total]]</f>
        <v>50710.68</v>
      </c>
      <c r="K27" s="126">
        <f>IF(CavityStatus[[#This Row],[Accept Date]]&lt;&gt;0,CavityStatus[[#This Row],[Accept Date]],"")</f>
        <v>42675</v>
      </c>
    </row>
    <row r="28" spans="2:11" x14ac:dyDescent="0.2">
      <c r="B28" s="125">
        <f>IF(CavityStatus[[#This Row],[Unit '#]]&lt;&gt;0,CavityStatus[[#This Row],[Unit '#]],"")</f>
        <v>25</v>
      </c>
      <c r="C28" s="122" t="str">
        <f>CavityStatus[[#This Row],[Serial '#]]</f>
        <v>CAV026</v>
      </c>
      <c r="D28" s="123">
        <f>IF(CavityStatus[[#This Row],[Actual Ship Date]]&lt;&gt;0,CavityStatus[[#This Row],[Actual Ship Date]],"")</f>
        <v>42688</v>
      </c>
      <c r="E28" s="124">
        <f>CavityStatus[[#This Row],[Incentive Earned]]</f>
        <v>5750</v>
      </c>
      <c r="F28" s="123">
        <f>IF(CavityStatus[[#This Row],[Receipt Date]]&lt;&gt;0,CavityStatus[[#This Row],[Receipt Date]],"")</f>
        <v>42695</v>
      </c>
      <c r="G28" s="124">
        <f>CavityStatus[[#This Row],[Recipe Modification (Mod 9)]]</f>
        <v>4283.18</v>
      </c>
      <c r="H28" s="124">
        <f>CavityStatus[[#This Row],[Caps            
 (Mod 10)]]</f>
        <v>490</v>
      </c>
      <c r="I28" s="124">
        <f>CavityStatus[[#This Row],[Delivery &amp; Acceptance]]</f>
        <v>40187.5</v>
      </c>
      <c r="J28" s="124">
        <f>CavityStatus[[#This Row],[Total]]</f>
        <v>50710.68</v>
      </c>
      <c r="K28" s="126">
        <f>IF(CavityStatus[[#This Row],[Accept Date]]&lt;&gt;0,CavityStatus[[#This Row],[Accept Date]],"")</f>
        <v>42705</v>
      </c>
    </row>
    <row r="29" spans="2:11" x14ac:dyDescent="0.2">
      <c r="B29" s="125">
        <f>IF(CavityStatus[[#This Row],[Unit '#]]&lt;&gt;0,CavityStatus[[#This Row],[Unit '#]],"")</f>
        <v>26</v>
      </c>
      <c r="C29" s="122" t="str">
        <f>CavityStatus[[#This Row],[Serial '#]]</f>
        <v>CAV027</v>
      </c>
      <c r="D29" s="123">
        <f>IF(CavityStatus[[#This Row],[Actual Ship Date]]&lt;&gt;0,CavityStatus[[#This Row],[Actual Ship Date]],"")</f>
        <v>42688</v>
      </c>
      <c r="E29" s="124">
        <f>CavityStatus[[#This Row],[Incentive Earned]]</f>
        <v>5750</v>
      </c>
      <c r="F29" s="123">
        <f>IF(CavityStatus[[#This Row],[Receipt Date]]&lt;&gt;0,CavityStatus[[#This Row],[Receipt Date]],"")</f>
        <v>42695</v>
      </c>
      <c r="G29" s="124">
        <f>CavityStatus[[#This Row],[Recipe Modification (Mod 9)]]</f>
        <v>4283.18</v>
      </c>
      <c r="H29" s="124">
        <f>CavityStatus[[#This Row],[Caps            
 (Mod 10)]]</f>
        <v>490</v>
      </c>
      <c r="I29" s="124">
        <f>CavityStatus[[#This Row],[Delivery &amp; Acceptance]]</f>
        <v>40187.5</v>
      </c>
      <c r="J29" s="124">
        <f>CavityStatus[[#This Row],[Total]]</f>
        <v>50710.68</v>
      </c>
      <c r="K29" s="126">
        <f>IF(CavityStatus[[#This Row],[Accept Date]]&lt;&gt;0,CavityStatus[[#This Row],[Accept Date]],"")</f>
        <v>42705</v>
      </c>
    </row>
    <row r="30" spans="2:11" x14ac:dyDescent="0.2">
      <c r="B30" s="125">
        <f>IF(CavityStatus[[#This Row],[Unit '#]]&lt;&gt;0,CavityStatus[[#This Row],[Unit '#]],"")</f>
        <v>27</v>
      </c>
      <c r="C30" s="122" t="str">
        <f>CavityStatus[[#This Row],[Serial '#]]</f>
        <v>CAV029</v>
      </c>
      <c r="D30" s="123">
        <f>IF(CavityStatus[[#This Row],[Actual Ship Date]]&lt;&gt;0,CavityStatus[[#This Row],[Actual Ship Date]],"")</f>
        <v>42688</v>
      </c>
      <c r="E30" s="124">
        <f>CavityStatus[[#This Row],[Incentive Earned]]</f>
        <v>5750</v>
      </c>
      <c r="F30" s="123">
        <f>IF(CavityStatus[[#This Row],[Receipt Date]]&lt;&gt;0,CavityStatus[[#This Row],[Receipt Date]],"")</f>
        <v>42695</v>
      </c>
      <c r="G30" s="124">
        <f>CavityStatus[[#This Row],[Recipe Modification (Mod 9)]]</f>
        <v>4283.18</v>
      </c>
      <c r="H30" s="124">
        <f>CavityStatus[[#This Row],[Caps            
 (Mod 10)]]</f>
        <v>490</v>
      </c>
      <c r="I30" s="124">
        <f>CavityStatus[[#This Row],[Delivery &amp; Acceptance]]</f>
        <v>40187.5</v>
      </c>
      <c r="J30" s="124">
        <f>CavityStatus[[#This Row],[Total]]</f>
        <v>50710.68</v>
      </c>
      <c r="K30" s="126">
        <f>IF(CavityStatus[[#This Row],[Accept Date]]&lt;&gt;0,CavityStatus[[#This Row],[Accept Date]],"")</f>
        <v>42705</v>
      </c>
    </row>
    <row r="31" spans="2:11" x14ac:dyDescent="0.2">
      <c r="B31" s="125">
        <f>IF(CavityStatus[[#This Row],[Unit '#]]&lt;&gt;0,CavityStatus[[#This Row],[Unit '#]],"")</f>
        <v>28</v>
      </c>
      <c r="C31" s="122" t="str">
        <f>CavityStatus[[#This Row],[Serial '#]]</f>
        <v>CAV032</v>
      </c>
      <c r="D31" s="123">
        <f>IF(CavityStatus[[#This Row],[Actual Ship Date]]&lt;&gt;0,CavityStatus[[#This Row],[Actual Ship Date]],"")</f>
        <v>42688</v>
      </c>
      <c r="E31" s="124">
        <f>CavityStatus[[#This Row],[Incentive Earned]]</f>
        <v>5750</v>
      </c>
      <c r="F31" s="123">
        <f>IF(CavityStatus[[#This Row],[Receipt Date]]&lt;&gt;0,CavityStatus[[#This Row],[Receipt Date]],"")</f>
        <v>42695</v>
      </c>
      <c r="G31" s="124">
        <f>CavityStatus[[#This Row],[Recipe Modification (Mod 9)]]</f>
        <v>4283.18</v>
      </c>
      <c r="H31" s="124">
        <f>CavityStatus[[#This Row],[Caps            
 (Mod 10)]]</f>
        <v>490</v>
      </c>
      <c r="I31" s="124">
        <f>CavityStatus[[#This Row],[Delivery &amp; Acceptance]]</f>
        <v>40187.5</v>
      </c>
      <c r="J31" s="124">
        <f>CavityStatus[[#This Row],[Total]]</f>
        <v>50710.68</v>
      </c>
      <c r="K31" s="126">
        <f>IF(CavityStatus[[#This Row],[Accept Date]]&lt;&gt;0,CavityStatus[[#This Row],[Accept Date]],"")</f>
        <v>42705</v>
      </c>
    </row>
    <row r="32" spans="2:11" x14ac:dyDescent="0.2">
      <c r="B32" s="125">
        <f>IF(CavityStatus[[#This Row],[Unit '#]]&lt;&gt;0,CavityStatus[[#This Row],[Unit '#]],"")</f>
        <v>29</v>
      </c>
      <c r="C32" s="122" t="str">
        <f>CavityStatus[[#This Row],[Serial '#]]</f>
        <v>CAV022</v>
      </c>
      <c r="D32" s="123">
        <f>IF(CavityStatus[[#This Row],[Actual Ship Date]]&lt;&gt;0,CavityStatus[[#This Row],[Actual Ship Date]],"")</f>
        <v>42690</v>
      </c>
      <c r="E32" s="124">
        <f>CavityStatus[[#This Row],[Incentive Earned]]</f>
        <v>5750</v>
      </c>
      <c r="F32" s="123">
        <f>IF(CavityStatus[[#This Row],[Receipt Date]]&lt;&gt;0,CavityStatus[[#This Row],[Receipt Date]],"")</f>
        <v>42702</v>
      </c>
      <c r="G32" s="124">
        <f>CavityStatus[[#This Row],[Recipe Modification (Mod 9)]]</f>
        <v>4283.18</v>
      </c>
      <c r="H32" s="124">
        <f>CavityStatus[[#This Row],[Caps            
 (Mod 10)]]</f>
        <v>490</v>
      </c>
      <c r="I32" s="124">
        <f>CavityStatus[[#This Row],[Delivery &amp; Acceptance]]</f>
        <v>40187.5</v>
      </c>
      <c r="J32" s="124">
        <f>CavityStatus[[#This Row],[Total]]</f>
        <v>50710.68</v>
      </c>
      <c r="K32" s="126">
        <f>IF(CavityStatus[[#This Row],[Accept Date]]&lt;&gt;0,CavityStatus[[#This Row],[Accept Date]],"")</f>
        <v>42705</v>
      </c>
    </row>
    <row r="33" spans="2:11" x14ac:dyDescent="0.2">
      <c r="B33" s="125">
        <f>IF(CavityStatus[[#This Row],[Unit '#]]&lt;&gt;0,CavityStatus[[#This Row],[Unit '#]],"")</f>
        <v>30</v>
      </c>
      <c r="C33" s="122" t="str">
        <f>CavityStatus[[#This Row],[Serial '#]]</f>
        <v>CAV031</v>
      </c>
      <c r="D33" s="123">
        <f>IF(CavityStatus[[#This Row],[Actual Ship Date]]&lt;&gt;0,CavityStatus[[#This Row],[Actual Ship Date]],"")</f>
        <v>42690</v>
      </c>
      <c r="E33" s="124">
        <f>CavityStatus[[#This Row],[Incentive Earned]]</f>
        <v>5750</v>
      </c>
      <c r="F33" s="123">
        <f>IF(CavityStatus[[#This Row],[Receipt Date]]&lt;&gt;0,CavityStatus[[#This Row],[Receipt Date]],"")</f>
        <v>42702</v>
      </c>
      <c r="G33" s="124">
        <f>CavityStatus[[#This Row],[Recipe Modification (Mod 9)]]</f>
        <v>4283.18</v>
      </c>
      <c r="H33" s="124">
        <f>CavityStatus[[#This Row],[Caps            
 (Mod 10)]]</f>
        <v>490</v>
      </c>
      <c r="I33" s="124">
        <f>CavityStatus[[#This Row],[Delivery &amp; Acceptance]]</f>
        <v>40187.5</v>
      </c>
      <c r="J33" s="124">
        <f>CavityStatus[[#This Row],[Total]]</f>
        <v>50710.68</v>
      </c>
      <c r="K33" s="126">
        <f>IF(CavityStatus[[#This Row],[Accept Date]]&lt;&gt;0,CavityStatus[[#This Row],[Accept Date]],"")</f>
        <v>42705</v>
      </c>
    </row>
    <row r="34" spans="2:11" x14ac:dyDescent="0.2">
      <c r="B34" s="125">
        <f>IF(CavityStatus[[#This Row],[Unit '#]]&lt;&gt;0,CavityStatus[[#This Row],[Unit '#]],"")</f>
        <v>31</v>
      </c>
      <c r="C34" s="122" t="str">
        <f>CavityStatus[[#This Row],[Serial '#]]</f>
        <v>CAV033</v>
      </c>
      <c r="D34" s="123">
        <f>IF(CavityStatus[[#This Row],[Actual Ship Date]]&lt;&gt;0,CavityStatus[[#This Row],[Actual Ship Date]],"")</f>
        <v>42690</v>
      </c>
      <c r="E34" s="124">
        <f>CavityStatus[[#This Row],[Incentive Earned]]</f>
        <v>5750</v>
      </c>
      <c r="F34" s="123">
        <f>IF(CavityStatus[[#This Row],[Receipt Date]]&lt;&gt;0,CavityStatus[[#This Row],[Receipt Date]],"")</f>
        <v>42702</v>
      </c>
      <c r="G34" s="124">
        <f>CavityStatus[[#This Row],[Recipe Modification (Mod 9)]]</f>
        <v>4283.18</v>
      </c>
      <c r="H34" s="124">
        <f>CavityStatus[[#This Row],[Caps            
 (Mod 10)]]</f>
        <v>490</v>
      </c>
      <c r="I34" s="124">
        <f>CavityStatus[[#This Row],[Delivery &amp; Acceptance]]</f>
        <v>40187.5</v>
      </c>
      <c r="J34" s="124">
        <f>CavityStatus[[#This Row],[Total]]</f>
        <v>50710.68</v>
      </c>
      <c r="K34" s="126">
        <f>IF(CavityStatus[[#This Row],[Accept Date]]&lt;&gt;0,CavityStatus[[#This Row],[Accept Date]],"")</f>
        <v>42705</v>
      </c>
    </row>
    <row r="35" spans="2:11" x14ac:dyDescent="0.2">
      <c r="B35" s="125">
        <f>IF(CavityStatus[[#This Row],[Unit '#]]&lt;&gt;0,CavityStatus[[#This Row],[Unit '#]],"")</f>
        <v>32</v>
      </c>
      <c r="C35" s="122" t="str">
        <f>CavityStatus[[#This Row],[Serial '#]]</f>
        <v>CAV035</v>
      </c>
      <c r="D35" s="123">
        <f>IF(CavityStatus[[#This Row],[Actual Ship Date]]&lt;&gt;0,CavityStatus[[#This Row],[Actual Ship Date]],"")</f>
        <v>42690</v>
      </c>
      <c r="E35" s="124">
        <f>CavityStatus[[#This Row],[Incentive Earned]]</f>
        <v>5750</v>
      </c>
      <c r="F35" s="123">
        <f>IF(CavityStatus[[#This Row],[Receipt Date]]&lt;&gt;0,CavityStatus[[#This Row],[Receipt Date]],"")</f>
        <v>42702</v>
      </c>
      <c r="G35" s="124">
        <f>CavityStatus[[#This Row],[Recipe Modification (Mod 9)]]</f>
        <v>4283.18</v>
      </c>
      <c r="H35" s="124">
        <f>CavityStatus[[#This Row],[Caps            
 (Mod 10)]]</f>
        <v>490</v>
      </c>
      <c r="I35" s="124">
        <f>CavityStatus[[#This Row],[Delivery &amp; Acceptance]]</f>
        <v>40187.5</v>
      </c>
      <c r="J35" s="124">
        <f>CavityStatus[[#This Row],[Total]]</f>
        <v>50710.68</v>
      </c>
      <c r="K35" s="126">
        <f>IF(CavityStatus[[#This Row],[Accept Date]]&lt;&gt;0,CavityStatus[[#This Row],[Accept Date]],"")</f>
        <v>42705</v>
      </c>
    </row>
    <row r="36" spans="2:11" x14ac:dyDescent="0.2">
      <c r="B36" s="125">
        <f>IF(CavityStatus[[#This Row],[Unit '#]]&lt;&gt;0,CavityStatus[[#This Row],[Unit '#]],"")</f>
        <v>33</v>
      </c>
      <c r="C36" s="122" t="str">
        <f>CavityStatus[[#This Row],[Serial '#]]</f>
        <v>CAV025</v>
      </c>
      <c r="D36" s="123">
        <f>IF(CavityStatus[[#This Row],[Actual Ship Date]]&lt;&gt;0,CavityStatus[[#This Row],[Actual Ship Date]],"")</f>
        <v>42698</v>
      </c>
      <c r="E36" s="124">
        <f>CavityStatus[[#This Row],[Incentive Earned]]</f>
        <v>5750</v>
      </c>
      <c r="F36" s="123">
        <f>IF(CavityStatus[[#This Row],[Receipt Date]]&lt;&gt;0,CavityStatus[[#This Row],[Receipt Date]],"")</f>
        <v>42705</v>
      </c>
      <c r="G36" s="124">
        <f>CavityStatus[[#This Row],[Recipe Modification (Mod 9)]]</f>
        <v>4283.18</v>
      </c>
      <c r="H36" s="124">
        <f>CavityStatus[[#This Row],[Caps            
 (Mod 10)]]</f>
        <v>490</v>
      </c>
      <c r="I36" s="124">
        <f>CavityStatus[[#This Row],[Delivery &amp; Acceptance]]</f>
        <v>40187.5</v>
      </c>
      <c r="J36" s="124">
        <f>CavityStatus[[#This Row],[Total]]</f>
        <v>50710.68</v>
      </c>
      <c r="K36" s="126">
        <f>IF(CavityStatus[[#This Row],[Accept Date]]&lt;&gt;0,CavityStatus[[#This Row],[Accept Date]],"")</f>
        <v>42705</v>
      </c>
    </row>
    <row r="37" spans="2:11" x14ac:dyDescent="0.2">
      <c r="B37" s="125">
        <f>IF(CavityStatus[[#This Row],[Unit '#]]&lt;&gt;0,CavityStatus[[#This Row],[Unit '#]],"")</f>
        <v>34</v>
      </c>
      <c r="C37" s="122" t="str">
        <f>CavityStatus[[#This Row],[Serial '#]]</f>
        <v>CAV030</v>
      </c>
      <c r="D37" s="123">
        <f>IF(CavityStatus[[#This Row],[Actual Ship Date]]&lt;&gt;0,CavityStatus[[#This Row],[Actual Ship Date]],"")</f>
        <v>42698</v>
      </c>
      <c r="E37" s="124">
        <f>CavityStatus[[#This Row],[Incentive Earned]]</f>
        <v>5750</v>
      </c>
      <c r="F37" s="123">
        <f>IF(CavityStatus[[#This Row],[Receipt Date]]&lt;&gt;0,CavityStatus[[#This Row],[Receipt Date]],"")</f>
        <v>42705</v>
      </c>
      <c r="G37" s="124">
        <f>CavityStatus[[#This Row],[Recipe Modification (Mod 9)]]</f>
        <v>4283.18</v>
      </c>
      <c r="H37" s="124">
        <f>CavityStatus[[#This Row],[Caps            
 (Mod 10)]]</f>
        <v>490</v>
      </c>
      <c r="I37" s="124">
        <f>CavityStatus[[#This Row],[Delivery &amp; Acceptance]]</f>
        <v>40187.5</v>
      </c>
      <c r="J37" s="124">
        <f>CavityStatus[[#This Row],[Total]]</f>
        <v>50710.68</v>
      </c>
      <c r="K37" s="126">
        <f>IF(CavityStatus[[#This Row],[Accept Date]]&lt;&gt;0,CavityStatus[[#This Row],[Accept Date]],"")</f>
        <v>42705</v>
      </c>
    </row>
    <row r="38" spans="2:11" x14ac:dyDescent="0.2">
      <c r="B38" s="125">
        <f>IF(CavityStatus[[#This Row],[Unit '#]]&lt;&gt;0,CavityStatus[[#This Row],[Unit '#]],"")</f>
        <v>35</v>
      </c>
      <c r="C38" s="122" t="str">
        <f>CavityStatus[[#This Row],[Serial '#]]</f>
        <v>CAV034</v>
      </c>
      <c r="D38" s="123">
        <f>IF(CavityStatus[[#This Row],[Actual Ship Date]]&lt;&gt;0,CavityStatus[[#This Row],[Actual Ship Date]],"")</f>
        <v>42698</v>
      </c>
      <c r="E38" s="124">
        <f>CavityStatus[[#This Row],[Incentive Earned]]</f>
        <v>5750</v>
      </c>
      <c r="F38" s="123">
        <f>IF(CavityStatus[[#This Row],[Receipt Date]]&lt;&gt;0,CavityStatus[[#This Row],[Receipt Date]],"")</f>
        <v>42705</v>
      </c>
      <c r="G38" s="124">
        <f>CavityStatus[[#This Row],[Recipe Modification (Mod 9)]]</f>
        <v>4283.18</v>
      </c>
      <c r="H38" s="124">
        <f>CavityStatus[[#This Row],[Caps            
 (Mod 10)]]</f>
        <v>490</v>
      </c>
      <c r="I38" s="124">
        <f>CavityStatus[[#This Row],[Delivery &amp; Acceptance]]</f>
        <v>40187.5</v>
      </c>
      <c r="J38" s="124">
        <f>CavityStatus[[#This Row],[Total]]</f>
        <v>50710.68</v>
      </c>
      <c r="K38" s="126">
        <f>IF(CavityStatus[[#This Row],[Accept Date]]&lt;&gt;0,CavityStatus[[#This Row],[Accept Date]],"")</f>
        <v>42705</v>
      </c>
    </row>
    <row r="39" spans="2:11" x14ac:dyDescent="0.2">
      <c r="B39" s="125">
        <f>IF(CavityStatus[[#This Row],[Unit '#]]&lt;&gt;0,CavityStatus[[#This Row],[Unit '#]],"")</f>
        <v>36</v>
      </c>
      <c r="C39" s="122" t="str">
        <f>CavityStatus[[#This Row],[Serial '#]]</f>
        <v>CAV036</v>
      </c>
      <c r="D39" s="123">
        <f>IF(CavityStatus[[#This Row],[Actual Ship Date]]&lt;&gt;0,CavityStatus[[#This Row],[Actual Ship Date]],"")</f>
        <v>42698</v>
      </c>
      <c r="E39" s="124">
        <f>CavityStatus[[#This Row],[Incentive Earned]]</f>
        <v>5750</v>
      </c>
      <c r="F39" s="123">
        <f>IF(CavityStatus[[#This Row],[Receipt Date]]&lt;&gt;0,CavityStatus[[#This Row],[Receipt Date]],"")</f>
        <v>42705</v>
      </c>
      <c r="G39" s="124">
        <f>CavityStatus[[#This Row],[Recipe Modification (Mod 9)]]</f>
        <v>4283.18</v>
      </c>
      <c r="H39" s="124">
        <f>CavityStatus[[#This Row],[Caps            
 (Mod 10)]]</f>
        <v>490</v>
      </c>
      <c r="I39" s="124">
        <f>CavityStatus[[#This Row],[Delivery &amp; Acceptance]]</f>
        <v>40187.5</v>
      </c>
      <c r="J39" s="124">
        <f>CavityStatus[[#This Row],[Total]]</f>
        <v>50710.68</v>
      </c>
      <c r="K39" s="126">
        <f>IF(CavityStatus[[#This Row],[Accept Date]]&lt;&gt;0,CavityStatus[[#This Row],[Accept Date]],"")</f>
        <v>42705</v>
      </c>
    </row>
    <row r="40" spans="2:11" x14ac:dyDescent="0.2">
      <c r="B40" s="125">
        <f>IF(CavityStatus[[#This Row],[Unit '#]]&lt;&gt;0,CavityStatus[[#This Row],[Unit '#]],"")</f>
        <v>37</v>
      </c>
      <c r="C40" s="122" t="str">
        <f>CavityStatus[[#This Row],[Serial '#]]</f>
        <v>CAV037</v>
      </c>
      <c r="D40" s="123">
        <f>IF(CavityStatus[[#This Row],[Actual Ship Date]]&lt;&gt;0,CavityStatus[[#This Row],[Actual Ship Date]],"")</f>
        <v>42702</v>
      </c>
      <c r="E40" s="124">
        <f>CavityStatus[[#This Row],[Incentive Earned]]</f>
        <v>5750</v>
      </c>
      <c r="F40" s="123">
        <f>IF(CavityStatus[[#This Row],[Receipt Date]]&lt;&gt;0,CavityStatus[[#This Row],[Receipt Date]],"")</f>
        <v>42709</v>
      </c>
      <c r="G40" s="124">
        <f>CavityStatus[[#This Row],[Recipe Modification (Mod 9)]]</f>
        <v>4283.18</v>
      </c>
      <c r="H40" s="124">
        <f>CavityStatus[[#This Row],[Caps            
 (Mod 10)]]</f>
        <v>490</v>
      </c>
      <c r="I40" s="124">
        <f>CavityStatus[[#This Row],[Delivery &amp; Acceptance]]</f>
        <v>40187.5</v>
      </c>
      <c r="J40" s="124">
        <f>CavityStatus[[#This Row],[Total]]</f>
        <v>50710.68</v>
      </c>
      <c r="K40" s="126">
        <f>IF(CavityStatus[[#This Row],[Accept Date]]&lt;&gt;0,CavityStatus[[#This Row],[Accept Date]],"")</f>
        <v>42705</v>
      </c>
    </row>
    <row r="41" spans="2:11" x14ac:dyDescent="0.2">
      <c r="B41" s="125">
        <f>IF(CavityStatus[[#This Row],[Unit '#]]&lt;&gt;0,CavityStatus[[#This Row],[Unit '#]],"")</f>
        <v>38</v>
      </c>
      <c r="C41" s="122" t="str">
        <f>CavityStatus[[#This Row],[Serial '#]]</f>
        <v>CAV038</v>
      </c>
      <c r="D41" s="123">
        <f>IF(CavityStatus[[#This Row],[Actual Ship Date]]&lt;&gt;0,CavityStatus[[#This Row],[Actual Ship Date]],"")</f>
        <v>42702</v>
      </c>
      <c r="E41" s="124">
        <f>CavityStatus[[#This Row],[Incentive Earned]]</f>
        <v>5750</v>
      </c>
      <c r="F41" s="123">
        <f>IF(CavityStatus[[#This Row],[Receipt Date]]&lt;&gt;0,CavityStatus[[#This Row],[Receipt Date]],"")</f>
        <v>42709</v>
      </c>
      <c r="G41" s="124">
        <f>CavityStatus[[#This Row],[Recipe Modification (Mod 9)]]</f>
        <v>4283.18</v>
      </c>
      <c r="H41" s="124">
        <f>CavityStatus[[#This Row],[Caps            
 (Mod 10)]]</f>
        <v>490</v>
      </c>
      <c r="I41" s="124">
        <f>CavityStatus[[#This Row],[Delivery &amp; Acceptance]]</f>
        <v>40187.5</v>
      </c>
      <c r="J41" s="124">
        <f>CavityStatus[[#This Row],[Total]]</f>
        <v>50710.68</v>
      </c>
      <c r="K41" s="126">
        <f>IF(CavityStatus[[#This Row],[Accept Date]]&lt;&gt;0,CavityStatus[[#This Row],[Accept Date]],"")</f>
        <v>42705</v>
      </c>
    </row>
    <row r="42" spans="2:11" x14ac:dyDescent="0.2">
      <c r="B42" s="125">
        <f>IF(CavityStatus[[#This Row],[Unit '#]]&lt;&gt;0,CavityStatus[[#This Row],[Unit '#]],"")</f>
        <v>39</v>
      </c>
      <c r="C42" s="122" t="str">
        <f>CavityStatus[[#This Row],[Serial '#]]</f>
        <v>CAV045</v>
      </c>
      <c r="D42" s="123">
        <f>IF(CavityStatus[[#This Row],[Actual Ship Date]]&lt;&gt;0,CavityStatus[[#This Row],[Actual Ship Date]],"")</f>
        <v>42702</v>
      </c>
      <c r="E42" s="124">
        <f>CavityStatus[[#This Row],[Incentive Earned]]</f>
        <v>5750</v>
      </c>
      <c r="F42" s="123">
        <f>IF(CavityStatus[[#This Row],[Receipt Date]]&lt;&gt;0,CavityStatus[[#This Row],[Receipt Date]],"")</f>
        <v>42709</v>
      </c>
      <c r="G42" s="124">
        <f>CavityStatus[[#This Row],[Recipe Modification (Mod 9)]]</f>
        <v>4283.18</v>
      </c>
      <c r="H42" s="124">
        <f>CavityStatus[[#This Row],[Caps            
 (Mod 10)]]</f>
        <v>490</v>
      </c>
      <c r="I42" s="124">
        <f>CavityStatus[[#This Row],[Delivery &amp; Acceptance]]</f>
        <v>40187.5</v>
      </c>
      <c r="J42" s="124">
        <f>CavityStatus[[#This Row],[Total]]</f>
        <v>50710.68</v>
      </c>
      <c r="K42" s="126">
        <f>IF(CavityStatus[[#This Row],[Accept Date]]&lt;&gt;0,CavityStatus[[#This Row],[Accept Date]],"")</f>
        <v>42705</v>
      </c>
    </row>
    <row r="43" spans="2:11" x14ac:dyDescent="0.2">
      <c r="B43" s="125">
        <f>IF(CavityStatus[[#This Row],[Unit '#]]&lt;&gt;0,CavityStatus[[#This Row],[Unit '#]],"")</f>
        <v>40</v>
      </c>
      <c r="C43" s="122" t="str">
        <f>CavityStatus[[#This Row],[Serial '#]]</f>
        <v>CAV049</v>
      </c>
      <c r="D43" s="123">
        <f>IF(CavityStatus[[#This Row],[Actual Ship Date]]&lt;&gt;0,CavityStatus[[#This Row],[Actual Ship Date]],"")</f>
        <v>42702</v>
      </c>
      <c r="E43" s="124">
        <f>CavityStatus[[#This Row],[Incentive Earned]]</f>
        <v>5750</v>
      </c>
      <c r="F43" s="123">
        <f>IF(CavityStatus[[#This Row],[Receipt Date]]&lt;&gt;0,CavityStatus[[#This Row],[Receipt Date]],"")</f>
        <v>42709</v>
      </c>
      <c r="G43" s="124">
        <f>CavityStatus[[#This Row],[Recipe Modification (Mod 9)]]</f>
        <v>4283.18</v>
      </c>
      <c r="H43" s="124">
        <f>CavityStatus[[#This Row],[Caps            
 (Mod 10)]]</f>
        <v>490</v>
      </c>
      <c r="I43" s="124">
        <f>CavityStatus[[#This Row],[Delivery &amp; Acceptance]]</f>
        <v>40187.5</v>
      </c>
      <c r="J43" s="124">
        <f>CavityStatus[[#This Row],[Total]]</f>
        <v>50710.68</v>
      </c>
      <c r="K43" s="126">
        <f>IF(CavityStatus[[#This Row],[Accept Date]]&lt;&gt;0,CavityStatus[[#This Row],[Accept Date]],"")</f>
        <v>42705</v>
      </c>
    </row>
    <row r="44" spans="2:11" x14ac:dyDescent="0.2">
      <c r="B44" s="125">
        <f>IF(CavityStatus[[#This Row],[Unit '#]]&lt;&gt;0,CavityStatus[[#This Row],[Unit '#]],"")</f>
        <v>41</v>
      </c>
      <c r="C44" s="122" t="str">
        <f>CavityStatus[[#This Row],[Serial '#]]</f>
        <v>CAV039</v>
      </c>
      <c r="D44" s="123">
        <f>IF(CavityStatus[[#This Row],[Actual Ship Date]]&lt;&gt;0,CavityStatus[[#This Row],[Actual Ship Date]],"")</f>
        <v>42704</v>
      </c>
      <c r="E44" s="124">
        <f>CavityStatus[[#This Row],[Incentive Earned]]</f>
        <v>2270</v>
      </c>
      <c r="F44" s="123">
        <f>IF(CavityStatus[[#This Row],[Receipt Date]]&lt;&gt;0,CavityStatus[[#This Row],[Receipt Date]],"")</f>
        <v>42711</v>
      </c>
      <c r="G44" s="124">
        <f>CavityStatus[[#This Row],[Recipe Modification (Mod 9)]]</f>
        <v>4283.18</v>
      </c>
      <c r="H44" s="124">
        <f>CavityStatus[[#This Row],[Caps            
 (Mod 10)]]</f>
        <v>490</v>
      </c>
      <c r="I44" s="124">
        <f>CavityStatus[[#This Row],[Delivery &amp; Acceptance]]</f>
        <v>40187.5</v>
      </c>
      <c r="J44" s="124">
        <f>CavityStatus[[#This Row],[Total]]</f>
        <v>47230.68</v>
      </c>
      <c r="K44" s="126">
        <f>IF(CavityStatus[[#This Row],[Accept Date]]&lt;&gt;0,CavityStatus[[#This Row],[Accept Date]],"")</f>
        <v>42705</v>
      </c>
    </row>
    <row r="45" spans="2:11" x14ac:dyDescent="0.2">
      <c r="B45" s="125">
        <f>IF(CavityStatus[[#This Row],[Unit '#]]&lt;&gt;0,CavityStatus[[#This Row],[Unit '#]],"")</f>
        <v>42</v>
      </c>
      <c r="C45" s="122" t="str">
        <f>CavityStatus[[#This Row],[Serial '#]]</f>
        <v>CAV040</v>
      </c>
      <c r="D45" s="123">
        <f>IF(CavityStatus[[#This Row],[Actual Ship Date]]&lt;&gt;0,CavityStatus[[#This Row],[Actual Ship Date]],"")</f>
        <v>42704</v>
      </c>
      <c r="E45" s="124">
        <f>CavityStatus[[#This Row],[Incentive Earned]]</f>
        <v>2270</v>
      </c>
      <c r="F45" s="123">
        <f>IF(CavityStatus[[#This Row],[Receipt Date]]&lt;&gt;0,CavityStatus[[#This Row],[Receipt Date]],"")</f>
        <v>42711</v>
      </c>
      <c r="G45" s="124">
        <f>CavityStatus[[#This Row],[Recipe Modification (Mod 9)]]</f>
        <v>4283.18</v>
      </c>
      <c r="H45" s="124">
        <f>CavityStatus[[#This Row],[Caps            
 (Mod 10)]]</f>
        <v>490</v>
      </c>
      <c r="I45" s="124">
        <f>CavityStatus[[#This Row],[Delivery &amp; Acceptance]]</f>
        <v>40187.5</v>
      </c>
      <c r="J45" s="124">
        <f>CavityStatus[[#This Row],[Total]]</f>
        <v>47230.68</v>
      </c>
      <c r="K45" s="126">
        <f>IF(CavityStatus[[#This Row],[Accept Date]]&lt;&gt;0,CavityStatus[[#This Row],[Accept Date]],"")</f>
        <v>42705</v>
      </c>
    </row>
    <row r="46" spans="2:11" x14ac:dyDescent="0.2">
      <c r="B46" s="125">
        <f>IF(CavityStatus[[#This Row],[Unit '#]]&lt;&gt;0,CavityStatus[[#This Row],[Unit '#]],"")</f>
        <v>43</v>
      </c>
      <c r="C46" s="122" t="str">
        <f>CavityStatus[[#This Row],[Serial '#]]</f>
        <v>CAV041</v>
      </c>
      <c r="D46" s="123">
        <f>IF(CavityStatus[[#This Row],[Actual Ship Date]]&lt;&gt;0,CavityStatus[[#This Row],[Actual Ship Date]],"")</f>
        <v>42704</v>
      </c>
      <c r="E46" s="124">
        <f>CavityStatus[[#This Row],[Incentive Earned]]</f>
        <v>2270</v>
      </c>
      <c r="F46" s="123">
        <f>IF(CavityStatus[[#This Row],[Receipt Date]]&lt;&gt;0,CavityStatus[[#This Row],[Receipt Date]],"")</f>
        <v>42711</v>
      </c>
      <c r="G46" s="124">
        <f>CavityStatus[[#This Row],[Recipe Modification (Mod 9)]]</f>
        <v>4283.18</v>
      </c>
      <c r="H46" s="124">
        <f>CavityStatus[[#This Row],[Caps            
 (Mod 10)]]</f>
        <v>490</v>
      </c>
      <c r="I46" s="124">
        <f>CavityStatus[[#This Row],[Delivery &amp; Acceptance]]</f>
        <v>40187.5</v>
      </c>
      <c r="J46" s="124">
        <f>CavityStatus[[#This Row],[Total]]</f>
        <v>47230.68</v>
      </c>
      <c r="K46" s="126">
        <f>IF(CavityStatus[[#This Row],[Accept Date]]&lt;&gt;0,CavityStatus[[#This Row],[Accept Date]],"")</f>
        <v>42705</v>
      </c>
    </row>
    <row r="47" spans="2:11" x14ac:dyDescent="0.2">
      <c r="B47" s="125">
        <f>IF(CavityStatus[[#This Row],[Unit '#]]&lt;&gt;0,CavityStatus[[#This Row],[Unit '#]],"")</f>
        <v>44</v>
      </c>
      <c r="C47" s="122" t="str">
        <f>CavityStatus[[#This Row],[Serial '#]]</f>
        <v>CAV042</v>
      </c>
      <c r="D47" s="123">
        <f>IF(CavityStatus[[#This Row],[Actual Ship Date]]&lt;&gt;0,CavityStatus[[#This Row],[Actual Ship Date]],"")</f>
        <v>42704</v>
      </c>
      <c r="E47" s="124">
        <f>CavityStatus[[#This Row],[Incentive Earned]]</f>
        <v>2270</v>
      </c>
      <c r="F47" s="123">
        <f>IF(CavityStatus[[#This Row],[Receipt Date]]&lt;&gt;0,CavityStatus[[#This Row],[Receipt Date]],"")</f>
        <v>42711</v>
      </c>
      <c r="G47" s="124">
        <f>CavityStatus[[#This Row],[Recipe Modification (Mod 9)]]</f>
        <v>4283.18</v>
      </c>
      <c r="H47" s="124">
        <f>CavityStatus[[#This Row],[Caps            
 (Mod 10)]]</f>
        <v>490</v>
      </c>
      <c r="I47" s="124">
        <f>CavityStatus[[#This Row],[Delivery &amp; Acceptance]]</f>
        <v>40187.5</v>
      </c>
      <c r="J47" s="124">
        <f>CavityStatus[[#This Row],[Total]]</f>
        <v>47230.68</v>
      </c>
      <c r="K47" s="126">
        <f>IF(CavityStatus[[#This Row],[Accept Date]]&lt;&gt;0,CavityStatus[[#This Row],[Accept Date]],"")</f>
        <v>42705</v>
      </c>
    </row>
    <row r="48" spans="2:11" x14ac:dyDescent="0.2">
      <c r="B48" s="125">
        <f>IF(CavityStatus[[#This Row],[Unit '#]]&lt;&gt;0,CavityStatus[[#This Row],[Unit '#]],"")</f>
        <v>45</v>
      </c>
      <c r="C48" s="122" t="str">
        <f>CavityStatus[[#This Row],[Serial '#]]</f>
        <v>CAV043</v>
      </c>
      <c r="D48" s="123">
        <f>IF(CavityStatus[[#This Row],[Actual Ship Date]]&lt;&gt;0,CavityStatus[[#This Row],[Actual Ship Date]],"")</f>
        <v>42720</v>
      </c>
      <c r="E48" s="124">
        <f>CavityStatus[[#This Row],[Incentive Earned]]</f>
        <v>2270</v>
      </c>
      <c r="F48" s="123">
        <f>IF(CavityStatus[[#This Row],[Receipt Date]]&lt;&gt;0,CavityStatus[[#This Row],[Receipt Date]],"")</f>
        <v>42746</v>
      </c>
      <c r="G48" s="124">
        <f>CavityStatus[[#This Row],[Recipe Modification (Mod 9)]]</f>
        <v>4283.18</v>
      </c>
      <c r="H48" s="124">
        <f>CavityStatus[[#This Row],[Caps            
 (Mod 10)]]</f>
        <v>490</v>
      </c>
      <c r="I48" s="124">
        <f>CavityStatus[[#This Row],[Delivery &amp; Acceptance]]</f>
        <v>40187.5</v>
      </c>
      <c r="J48" s="124">
        <f>CavityStatus[[#This Row],[Total]]</f>
        <v>47230.68</v>
      </c>
      <c r="K48" s="126">
        <f>IF(CavityStatus[[#This Row],[Accept Date]]&lt;&gt;0,CavityStatus[[#This Row],[Accept Date]],"")</f>
        <v>42788</v>
      </c>
    </row>
    <row r="49" spans="2:11" x14ac:dyDescent="0.2">
      <c r="B49" s="125">
        <f>IF(CavityStatus[[#This Row],[Unit '#]]&lt;&gt;0,CavityStatus[[#This Row],[Unit '#]],"")</f>
        <v>46</v>
      </c>
      <c r="C49" s="122" t="str">
        <f>CavityStatus[[#This Row],[Serial '#]]</f>
        <v>CAV044</v>
      </c>
      <c r="D49" s="123">
        <f>IF(CavityStatus[[#This Row],[Actual Ship Date]]&lt;&gt;0,CavityStatus[[#This Row],[Actual Ship Date]],"")</f>
        <v>42720</v>
      </c>
      <c r="E49" s="124">
        <f>CavityStatus[[#This Row],[Incentive Earned]]</f>
        <v>2270</v>
      </c>
      <c r="F49" s="123">
        <f>IF(CavityStatus[[#This Row],[Receipt Date]]&lt;&gt;0,CavityStatus[[#This Row],[Receipt Date]],"")</f>
        <v>42746</v>
      </c>
      <c r="G49" s="124">
        <f>CavityStatus[[#This Row],[Recipe Modification (Mod 9)]]</f>
        <v>4283.18</v>
      </c>
      <c r="H49" s="124">
        <f>CavityStatus[[#This Row],[Caps            
 (Mod 10)]]</f>
        <v>490</v>
      </c>
      <c r="I49" s="124">
        <f>CavityStatus[[#This Row],[Delivery &amp; Acceptance]]</f>
        <v>40187.5</v>
      </c>
      <c r="J49" s="124">
        <f>CavityStatus[[#This Row],[Total]]</f>
        <v>47230.68</v>
      </c>
      <c r="K49" s="126">
        <f>IF(CavityStatus[[#This Row],[Accept Date]]&lt;&gt;0,CavityStatus[[#This Row],[Accept Date]],"")</f>
        <v>42788</v>
      </c>
    </row>
    <row r="50" spans="2:11" x14ac:dyDescent="0.2">
      <c r="B50" s="125">
        <f>IF(CavityStatus[[#This Row],[Unit '#]]&lt;&gt;0,CavityStatus[[#This Row],[Unit '#]],"")</f>
        <v>47</v>
      </c>
      <c r="C50" s="122" t="str">
        <f>CavityStatus[[#This Row],[Serial '#]]</f>
        <v>CAV047</v>
      </c>
      <c r="D50" s="123">
        <f>IF(CavityStatus[[#This Row],[Actual Ship Date]]&lt;&gt;0,CavityStatus[[#This Row],[Actual Ship Date]],"")</f>
        <v>42720</v>
      </c>
      <c r="E50" s="124">
        <f>CavityStatus[[#This Row],[Incentive Earned]]</f>
        <v>2270</v>
      </c>
      <c r="F50" s="123">
        <f>IF(CavityStatus[[#This Row],[Receipt Date]]&lt;&gt;0,CavityStatus[[#This Row],[Receipt Date]],"")</f>
        <v>42746</v>
      </c>
      <c r="G50" s="124">
        <f>CavityStatus[[#This Row],[Recipe Modification (Mod 9)]]</f>
        <v>4283.18</v>
      </c>
      <c r="H50" s="124">
        <f>CavityStatus[[#This Row],[Caps            
 (Mod 10)]]</f>
        <v>490</v>
      </c>
      <c r="I50" s="124">
        <f>CavityStatus[[#This Row],[Delivery &amp; Acceptance]]</f>
        <v>40187.5</v>
      </c>
      <c r="J50" s="124">
        <f>CavityStatus[[#This Row],[Total]]</f>
        <v>47230.68</v>
      </c>
      <c r="K50" s="126">
        <f>IF(CavityStatus[[#This Row],[Accept Date]]&lt;&gt;0,CavityStatus[[#This Row],[Accept Date]],"")</f>
        <v>42788</v>
      </c>
    </row>
    <row r="51" spans="2:11" x14ac:dyDescent="0.2">
      <c r="B51" s="125">
        <f>IF(CavityStatus[[#This Row],[Unit '#]]&lt;&gt;0,CavityStatus[[#This Row],[Unit '#]],"")</f>
        <v>48</v>
      </c>
      <c r="C51" s="122" t="str">
        <f>CavityStatus[[#This Row],[Serial '#]]</f>
        <v>CAV048</v>
      </c>
      <c r="D51" s="123">
        <f>IF(CavityStatus[[#This Row],[Actual Ship Date]]&lt;&gt;0,CavityStatus[[#This Row],[Actual Ship Date]],"")</f>
        <v>42720</v>
      </c>
      <c r="E51" s="124">
        <f>CavityStatus[[#This Row],[Incentive Earned]]</f>
        <v>2270</v>
      </c>
      <c r="F51" s="123">
        <f>IF(CavityStatus[[#This Row],[Receipt Date]]&lt;&gt;0,CavityStatus[[#This Row],[Receipt Date]],"")</f>
        <v>42746</v>
      </c>
      <c r="G51" s="124">
        <f>CavityStatus[[#This Row],[Recipe Modification (Mod 9)]]</f>
        <v>4283.18</v>
      </c>
      <c r="H51" s="124">
        <f>CavityStatus[[#This Row],[Caps            
 (Mod 10)]]</f>
        <v>490</v>
      </c>
      <c r="I51" s="124">
        <f>CavityStatus[[#This Row],[Delivery &amp; Acceptance]]</f>
        <v>40187.5</v>
      </c>
      <c r="J51" s="124">
        <f>CavityStatus[[#This Row],[Total]]</f>
        <v>47230.68</v>
      </c>
      <c r="K51" s="126">
        <f>IF(CavityStatus[[#This Row],[Accept Date]]&lt;&gt;0,CavityStatus[[#This Row],[Accept Date]],"")</f>
        <v>42788</v>
      </c>
    </row>
    <row r="52" spans="2:11" x14ac:dyDescent="0.2">
      <c r="B52" s="125">
        <f>IF(CavityStatus[[#This Row],[Unit '#]]&lt;&gt;0,CavityStatus[[#This Row],[Unit '#]],"")</f>
        <v>49</v>
      </c>
      <c r="C52" s="122" t="str">
        <f>CavityStatus[[#This Row],[Serial '#]]</f>
        <v>CAV046</v>
      </c>
      <c r="D52" s="123">
        <f>IF(CavityStatus[[#This Row],[Actual Ship Date]]&lt;&gt;0,CavityStatus[[#This Row],[Actual Ship Date]],"")</f>
        <v>42746</v>
      </c>
      <c r="E52" s="124">
        <f>CavityStatus[[#This Row],[Incentive Earned]]</f>
        <v>2270</v>
      </c>
      <c r="F52" s="123">
        <f>IF(CavityStatus[[#This Row],[Receipt Date]]&lt;&gt;0,CavityStatus[[#This Row],[Receipt Date]],"")</f>
        <v>42754</v>
      </c>
      <c r="G52" s="124">
        <f>CavityStatus[[#This Row],[Recipe Modification (Mod 9)]]</f>
        <v>4283.18</v>
      </c>
      <c r="H52" s="124">
        <f>CavityStatus[[#This Row],[Caps            
 (Mod 10)]]</f>
        <v>490</v>
      </c>
      <c r="I52" s="124">
        <f>CavityStatus[[#This Row],[Delivery &amp; Acceptance]]</f>
        <v>40187.5</v>
      </c>
      <c r="J52" s="124">
        <f>CavityStatus[[#This Row],[Total]]</f>
        <v>47230.68</v>
      </c>
      <c r="K52" s="126">
        <f>IF(CavityStatus[[#This Row],[Accept Date]]&lt;&gt;0,CavityStatus[[#This Row],[Accept Date]],"")</f>
        <v>42788</v>
      </c>
    </row>
    <row r="53" spans="2:11" x14ac:dyDescent="0.2">
      <c r="B53" s="125">
        <f>IF(CavityStatus[[#This Row],[Unit '#]]&lt;&gt;0,CavityStatus[[#This Row],[Unit '#]],"")</f>
        <v>50</v>
      </c>
      <c r="C53" s="122" t="str">
        <f>CavityStatus[[#This Row],[Serial '#]]</f>
        <v>CAV050</v>
      </c>
      <c r="D53" s="123">
        <f>IF(CavityStatus[[#This Row],[Actual Ship Date]]&lt;&gt;0,CavityStatus[[#This Row],[Actual Ship Date]],"")</f>
        <v>42746</v>
      </c>
      <c r="E53" s="124">
        <f>CavityStatus[[#This Row],[Incentive Earned]]</f>
        <v>2270</v>
      </c>
      <c r="F53" s="123">
        <f>IF(CavityStatus[[#This Row],[Receipt Date]]&lt;&gt;0,CavityStatus[[#This Row],[Receipt Date]],"")</f>
        <v>42754</v>
      </c>
      <c r="G53" s="124">
        <f>CavityStatus[[#This Row],[Recipe Modification (Mod 9)]]</f>
        <v>4283.18</v>
      </c>
      <c r="H53" s="124">
        <f>CavityStatus[[#This Row],[Caps            
 (Mod 10)]]</f>
        <v>490</v>
      </c>
      <c r="I53" s="124">
        <f>CavityStatus[[#This Row],[Delivery &amp; Acceptance]]</f>
        <v>40187.5</v>
      </c>
      <c r="J53" s="124">
        <f>CavityStatus[[#This Row],[Total]]</f>
        <v>47230.68</v>
      </c>
      <c r="K53" s="126">
        <f>IF(CavityStatus[[#This Row],[Accept Date]]&lt;&gt;0,CavityStatus[[#This Row],[Accept Date]],"")</f>
        <v>42788</v>
      </c>
    </row>
    <row r="54" spans="2:11" x14ac:dyDescent="0.2">
      <c r="B54" s="125">
        <f>IF(CavityStatus[[#This Row],[Unit '#]]&lt;&gt;0,CavityStatus[[#This Row],[Unit '#]],"")</f>
        <v>51</v>
      </c>
      <c r="C54" s="122" t="str">
        <f>CavityStatus[[#This Row],[Serial '#]]</f>
        <v>CAV051</v>
      </c>
      <c r="D54" s="123">
        <f>IF(CavityStatus[[#This Row],[Actual Ship Date]]&lt;&gt;0,CavityStatus[[#This Row],[Actual Ship Date]],"")</f>
        <v>42746</v>
      </c>
      <c r="E54" s="124">
        <f>CavityStatus[[#This Row],[Incentive Earned]]</f>
        <v>2270</v>
      </c>
      <c r="F54" s="123">
        <f>IF(CavityStatus[[#This Row],[Receipt Date]]&lt;&gt;0,CavityStatus[[#This Row],[Receipt Date]],"")</f>
        <v>42754</v>
      </c>
      <c r="G54" s="124">
        <f>CavityStatus[[#This Row],[Recipe Modification (Mod 9)]]</f>
        <v>4283.18</v>
      </c>
      <c r="H54" s="124">
        <f>CavityStatus[[#This Row],[Caps            
 (Mod 10)]]</f>
        <v>490</v>
      </c>
      <c r="I54" s="124">
        <f>CavityStatus[[#This Row],[Delivery &amp; Acceptance]]</f>
        <v>40187.5</v>
      </c>
      <c r="J54" s="124">
        <f>CavityStatus[[#This Row],[Total]]</f>
        <v>47230.68</v>
      </c>
      <c r="K54" s="126">
        <f>IF(CavityStatus[[#This Row],[Accept Date]]&lt;&gt;0,CavityStatus[[#This Row],[Accept Date]],"")</f>
        <v>42788</v>
      </c>
    </row>
    <row r="55" spans="2:11" x14ac:dyDescent="0.2">
      <c r="B55" s="125">
        <f>IF(CavityStatus[[#This Row],[Unit '#]]&lt;&gt;0,CavityStatus[[#This Row],[Unit '#]],"")</f>
        <v>52</v>
      </c>
      <c r="C55" s="122" t="str">
        <f>CavityStatus[[#This Row],[Serial '#]]</f>
        <v>CAV052</v>
      </c>
      <c r="D55" s="123">
        <f>IF(CavityStatus[[#This Row],[Actual Ship Date]]&lt;&gt;0,CavityStatus[[#This Row],[Actual Ship Date]],"")</f>
        <v>42746</v>
      </c>
      <c r="E55" s="124">
        <f>CavityStatus[[#This Row],[Incentive Earned]]</f>
        <v>2270</v>
      </c>
      <c r="F55" s="123">
        <f>IF(CavityStatus[[#This Row],[Receipt Date]]&lt;&gt;0,CavityStatus[[#This Row],[Receipt Date]],"")</f>
        <v>42754</v>
      </c>
      <c r="G55" s="124">
        <f>CavityStatus[[#This Row],[Recipe Modification (Mod 9)]]</f>
        <v>4283.18</v>
      </c>
      <c r="H55" s="124">
        <f>CavityStatus[[#This Row],[Caps            
 (Mod 10)]]</f>
        <v>490</v>
      </c>
      <c r="I55" s="124">
        <f>CavityStatus[[#This Row],[Delivery &amp; Acceptance]]</f>
        <v>40187.5</v>
      </c>
      <c r="J55" s="124">
        <f>CavityStatus[[#This Row],[Total]]</f>
        <v>47230.68</v>
      </c>
      <c r="K55" s="126">
        <f>IF(CavityStatus[[#This Row],[Accept Date]]&lt;&gt;0,CavityStatus[[#This Row],[Accept Date]],"")</f>
        <v>42788</v>
      </c>
    </row>
    <row r="56" spans="2:11" ht="13.15" customHeight="1" x14ac:dyDescent="0.2">
      <c r="B56" s="125">
        <f>IF(CavityStatus[[#This Row],[Unit '#]]&lt;&gt;0,CavityStatus[[#This Row],[Unit '#]],"")</f>
        <v>53</v>
      </c>
      <c r="C56" s="122" t="str">
        <f>CavityStatus[[#This Row],[Serial '#]]</f>
        <v>CAV054</v>
      </c>
      <c r="D56" s="123">
        <f>IF(CavityStatus[[#This Row],[Actual Ship Date]]&lt;&gt;0,CavityStatus[[#This Row],[Actual Ship Date]],"")</f>
        <v>42782</v>
      </c>
      <c r="E56" s="124">
        <f>CavityStatus[[#This Row],[Incentive Earned]]</f>
        <v>1000</v>
      </c>
      <c r="F56" s="123">
        <f>IF(CavityStatus[[#This Row],[Receipt Date]]&lt;&gt;0,CavityStatus[[#This Row],[Receipt Date]],"")</f>
        <v>42783</v>
      </c>
      <c r="G56" s="124">
        <f>CavityStatus[[#This Row],[Recipe Modification (Mod 9)]]</f>
        <v>4283.18</v>
      </c>
      <c r="H56" s="124">
        <f>CavityStatus[[#This Row],[Caps            
 (Mod 10)]]</f>
        <v>490</v>
      </c>
      <c r="I56" s="124">
        <f>CavityStatus[[#This Row],[Delivery &amp; Acceptance]]</f>
        <v>40187.5</v>
      </c>
      <c r="J56" s="124">
        <f>CavityStatus[[#This Row],[Total]]</f>
        <v>45960.68</v>
      </c>
      <c r="K56" s="126">
        <f>IF(CavityStatus[[#This Row],[Accept Date]]&lt;&gt;0,CavityStatus[[#This Row],[Accept Date]],"")</f>
        <v>42814</v>
      </c>
    </row>
    <row r="57" spans="2:11" ht="13.15" customHeight="1" x14ac:dyDescent="0.2">
      <c r="B57" s="125">
        <f>IF(CavityStatus[[#This Row],[Unit '#]]&lt;&gt;0,CavityStatus[[#This Row],[Unit '#]],"")</f>
        <v>54</v>
      </c>
      <c r="C57" s="122" t="str">
        <f>CavityStatus[[#This Row],[Serial '#]]</f>
        <v>CAV055</v>
      </c>
      <c r="D57" s="123">
        <f>IF(CavityStatus[[#This Row],[Actual Ship Date]]&lt;&gt;0,CavityStatus[[#This Row],[Actual Ship Date]],"")</f>
        <v>42782</v>
      </c>
      <c r="E57" s="124">
        <f>CavityStatus[[#This Row],[Incentive Earned]]</f>
        <v>1000</v>
      </c>
      <c r="F57" s="123">
        <f>IF(CavityStatus[[#This Row],[Receipt Date]]&lt;&gt;0,CavityStatus[[#This Row],[Receipt Date]],"")</f>
        <v>42783</v>
      </c>
      <c r="G57" s="124">
        <f>CavityStatus[[#This Row],[Recipe Modification (Mod 9)]]</f>
        <v>4283.18</v>
      </c>
      <c r="H57" s="124">
        <f>CavityStatus[[#This Row],[Caps            
 (Mod 10)]]</f>
        <v>490</v>
      </c>
      <c r="I57" s="124">
        <f>CavityStatus[[#This Row],[Delivery &amp; Acceptance]]</f>
        <v>40187.5</v>
      </c>
      <c r="J57" s="124">
        <f>CavityStatus[[#This Row],[Total]]</f>
        <v>45960.68</v>
      </c>
      <c r="K57" s="126">
        <f>IF(CavityStatus[[#This Row],[Accept Date]]&lt;&gt;0,CavityStatus[[#This Row],[Accept Date]],"")</f>
        <v>42814</v>
      </c>
    </row>
    <row r="58" spans="2:11" ht="13.15" customHeight="1" x14ac:dyDescent="0.2">
      <c r="B58" s="125">
        <f>IF(CavityStatus[[#This Row],[Unit '#]]&lt;&gt;0,CavityStatus[[#This Row],[Unit '#]],"")</f>
        <v>55</v>
      </c>
      <c r="C58" s="122" t="str">
        <f>CavityStatus[[#This Row],[Serial '#]]</f>
        <v>CAV064</v>
      </c>
      <c r="D58" s="123">
        <f>IF(CavityStatus[[#This Row],[Actual Ship Date]]&lt;&gt;0,CavityStatus[[#This Row],[Actual Ship Date]],"")</f>
        <v>42793</v>
      </c>
      <c r="E58" s="124">
        <f>CavityStatus[[#This Row],[Incentive Earned]]</f>
        <v>1000</v>
      </c>
      <c r="F58" s="123">
        <f>IF(CavityStatus[[#This Row],[Receipt Date]]&lt;&gt;0,CavityStatus[[#This Row],[Receipt Date]],"")</f>
        <v>42793</v>
      </c>
      <c r="G58" s="124">
        <f>CavityStatus[[#This Row],[Recipe Modification (Mod 9)]]</f>
        <v>4283.18</v>
      </c>
      <c r="H58" s="124">
        <f>CavityStatus[[#This Row],[Caps            
 (Mod 10)]]</f>
        <v>490</v>
      </c>
      <c r="I58" s="124">
        <f>CavityStatus[[#This Row],[Delivery &amp; Acceptance]]</f>
        <v>40187.5</v>
      </c>
      <c r="J58" s="124">
        <f>CavityStatus[[#This Row],[Total]]</f>
        <v>45960.68</v>
      </c>
      <c r="K58" s="126">
        <f>IF(CavityStatus[[#This Row],[Accept Date]]&lt;&gt;0,CavityStatus[[#This Row],[Accept Date]],"")</f>
        <v>42814</v>
      </c>
    </row>
    <row r="59" spans="2:11" ht="13.15" customHeight="1" x14ac:dyDescent="0.2">
      <c r="B59" s="125">
        <f>IF(CavityStatus[[#This Row],[Unit '#]]&lt;&gt;0,CavityStatus[[#This Row],[Unit '#]],"")</f>
        <v>56</v>
      </c>
      <c r="C59" s="122" t="str">
        <f>CavityStatus[[#This Row],[Serial '#]]</f>
        <v>CAV066</v>
      </c>
      <c r="D59" s="123">
        <f>IF(CavityStatus[[#This Row],[Actual Ship Date]]&lt;&gt;0,CavityStatus[[#This Row],[Actual Ship Date]],"")</f>
        <v>42793</v>
      </c>
      <c r="E59" s="145">
        <f>CavityStatus[[#This Row],[Incentive Earned]]</f>
        <v>1000</v>
      </c>
      <c r="F59" s="123">
        <f>IF(CavityStatus[[#This Row],[Receipt Date]]&lt;&gt;0,CavityStatus[[#This Row],[Receipt Date]],"")</f>
        <v>42793</v>
      </c>
      <c r="G59" s="124">
        <f>CavityStatus[[#This Row],[Recipe Modification (Mod 9)]]</f>
        <v>4283.18</v>
      </c>
      <c r="H59" s="145">
        <f>CavityStatus[[#This Row],[Caps            
 (Mod 10)]]</f>
        <v>490</v>
      </c>
      <c r="I59" s="124">
        <f>CavityStatus[[#This Row],[Delivery &amp; Acceptance]]</f>
        <v>40187.5</v>
      </c>
      <c r="J59" s="124">
        <f>CavityStatus[[#This Row],[Total]]</f>
        <v>45960.68</v>
      </c>
      <c r="K59" s="126">
        <f>IF(CavityStatus[[#This Row],[Accept Date]]&lt;&gt;0,CavityStatus[[#This Row],[Accept Date]],"")</f>
        <v>42814</v>
      </c>
    </row>
    <row r="60" spans="2:11" ht="13.15" customHeight="1" x14ac:dyDescent="0.2">
      <c r="B60" s="125">
        <f>IF(CavityStatus[[#This Row],[Unit '#]]&lt;&gt;0,CavityStatus[[#This Row],[Unit '#]],"")</f>
        <v>57</v>
      </c>
      <c r="C60" s="122" t="str">
        <f>CavityStatus[[#This Row],[Serial '#]]</f>
        <v>CAV067</v>
      </c>
      <c r="D60" s="123">
        <f>IF(CavityStatus[[#This Row],[Actual Ship Date]]&lt;&gt;0,CavityStatus[[#This Row],[Actual Ship Date]],"")</f>
        <v>42793</v>
      </c>
      <c r="E60" s="145">
        <f>CavityStatus[[#This Row],[Incentive Earned]]</f>
        <v>1000</v>
      </c>
      <c r="F60" s="123">
        <f>IF(CavityStatus[[#This Row],[Receipt Date]]&lt;&gt;0,CavityStatus[[#This Row],[Receipt Date]],"")</f>
        <v>42793</v>
      </c>
      <c r="G60" s="124">
        <f>CavityStatus[[#This Row],[Recipe Modification (Mod 9)]]</f>
        <v>4283.18</v>
      </c>
      <c r="H60" s="145">
        <f>CavityStatus[[#This Row],[Caps            
 (Mod 10)]]</f>
        <v>490</v>
      </c>
      <c r="I60" s="124">
        <f>CavityStatus[[#This Row],[Delivery &amp; Acceptance]]</f>
        <v>40187.5</v>
      </c>
      <c r="J60" s="124">
        <f>CavityStatus[[#This Row],[Total]]</f>
        <v>45960.68</v>
      </c>
      <c r="K60" s="126">
        <f>IF(CavityStatus[[#This Row],[Accept Date]]&lt;&gt;0,CavityStatus[[#This Row],[Accept Date]],"")</f>
        <v>42814</v>
      </c>
    </row>
    <row r="61" spans="2:11" ht="13.15" customHeight="1" x14ac:dyDescent="0.2">
      <c r="B61" s="125">
        <f>IF(CavityStatus[[#This Row],[Unit '#]]&lt;&gt;0,CavityStatus[[#This Row],[Unit '#]],"")</f>
        <v>58</v>
      </c>
      <c r="C61" s="122" t="str">
        <f>CavityStatus[[#This Row],[Serial '#]]</f>
        <v>CAV068</v>
      </c>
      <c r="D61" s="123">
        <f>IF(CavityStatus[[#This Row],[Actual Ship Date]]&lt;&gt;0,CavityStatus[[#This Row],[Actual Ship Date]],"")</f>
        <v>42793</v>
      </c>
      <c r="E61" s="124">
        <f>CavityStatus[[#This Row],[Incentive Earned]]</f>
        <v>1000</v>
      </c>
      <c r="F61" s="123">
        <f>IF(CavityStatus[[#This Row],[Receipt Date]]&lt;&gt;0,CavityStatus[[#This Row],[Receipt Date]],"")</f>
        <v>42793</v>
      </c>
      <c r="G61" s="124">
        <f>CavityStatus[[#This Row],[Recipe Modification (Mod 9)]]</f>
        <v>4283.18</v>
      </c>
      <c r="H61" s="124">
        <f>CavityStatus[[#This Row],[Caps            
 (Mod 10)]]</f>
        <v>490</v>
      </c>
      <c r="I61" s="124">
        <f>CavityStatus[[#This Row],[Delivery &amp; Acceptance]]</f>
        <v>40187.5</v>
      </c>
      <c r="J61" s="124">
        <f>CavityStatus[[#This Row],[Total]]</f>
        <v>45960.68</v>
      </c>
      <c r="K61" s="126">
        <f>IF(CavityStatus[[#This Row],[Accept Date]]&lt;&gt;0,CavityStatus[[#This Row],[Accept Date]],"")</f>
        <v>42814</v>
      </c>
    </row>
    <row r="62" spans="2:11" x14ac:dyDescent="0.2">
      <c r="B62" s="125">
        <f>IF(CavityStatus[[#This Row],[Unit '#]]&lt;&gt;0,CavityStatus[[#This Row],[Unit '#]],"")</f>
        <v>59</v>
      </c>
      <c r="C62" s="122" t="str">
        <f>CavityStatus[[#This Row],[Serial '#]]</f>
        <v>CAV065</v>
      </c>
      <c r="D62" s="123">
        <f>IF(CavityStatus[[#This Row],[Actual Ship Date]]&lt;&gt;0,CavityStatus[[#This Row],[Actual Ship Date]],"")</f>
        <v>42803</v>
      </c>
      <c r="E62" s="124">
        <f>CavityStatus[[#This Row],[Incentive Earned]]</f>
        <v>1000</v>
      </c>
      <c r="F62" s="123">
        <f>IF(CavityStatus[[#This Row],[Receipt Date]]&lt;&gt;0,CavityStatus[[#This Row],[Receipt Date]],"")</f>
        <v>42781</v>
      </c>
      <c r="G62" s="124">
        <f>CavityStatus[[#This Row],[Recipe Modification (Mod 9)]]</f>
        <v>4283.18</v>
      </c>
      <c r="H62" s="124">
        <f>CavityStatus[[#This Row],[Caps            
 (Mod 10)]]</f>
        <v>490</v>
      </c>
      <c r="I62" s="124">
        <f>CavityStatus[[#This Row],[Delivery &amp; Acceptance]]</f>
        <v>40187.5</v>
      </c>
      <c r="J62" s="124">
        <f>CavityStatus[[#This Row],[Total]]</f>
        <v>45960.68</v>
      </c>
      <c r="K62" s="126">
        <f>IF(CavityStatus[[#This Row],[Accept Date]]&lt;&gt;0,CavityStatus[[#This Row],[Accept Date]],"")</f>
        <v>42846</v>
      </c>
    </row>
    <row r="63" spans="2:11" x14ac:dyDescent="0.2">
      <c r="B63" s="125">
        <f>IF(CavityStatus[[#This Row],[Unit '#]]&lt;&gt;0,CavityStatus[[#This Row],[Unit '#]],"")</f>
        <v>60</v>
      </c>
      <c r="C63" s="122" t="str">
        <f>CavityStatus[[#This Row],[Serial '#]]</f>
        <v>CAV069</v>
      </c>
      <c r="D63" s="123">
        <f>IF(CavityStatus[[#This Row],[Actual Ship Date]]&lt;&gt;0,CavityStatus[[#This Row],[Actual Ship Date]],"")</f>
        <v>42803</v>
      </c>
      <c r="E63" s="124">
        <f>CavityStatus[[#This Row],[Incentive Earned]]</f>
        <v>1000</v>
      </c>
      <c r="F63" s="123">
        <f>IF(CavityStatus[[#This Row],[Receipt Date]]&lt;&gt;0,CavityStatus[[#This Row],[Receipt Date]],"")</f>
        <v>42781</v>
      </c>
      <c r="G63" s="124">
        <f>CavityStatus[[#This Row],[Recipe Modification (Mod 9)]]</f>
        <v>4283.18</v>
      </c>
      <c r="H63" s="124">
        <f>CavityStatus[[#This Row],[Caps            
 (Mod 10)]]</f>
        <v>490</v>
      </c>
      <c r="I63" s="124">
        <f>CavityStatus[[#This Row],[Delivery &amp; Acceptance]]</f>
        <v>40187.5</v>
      </c>
      <c r="J63" s="124">
        <f>CavityStatus[[#This Row],[Total]]</f>
        <v>45960.68</v>
      </c>
      <c r="K63" s="126">
        <f>IF(CavityStatus[[#This Row],[Accept Date]]&lt;&gt;0,CavityStatus[[#This Row],[Accept Date]],"")</f>
        <v>42846</v>
      </c>
    </row>
    <row r="64" spans="2:11" x14ac:dyDescent="0.2">
      <c r="B64" s="125">
        <f>IF(CavityStatus[[#This Row],[Unit '#]]&lt;&gt;0,CavityStatus[[#This Row],[Unit '#]],"")</f>
        <v>61</v>
      </c>
      <c r="C64" s="122" t="str">
        <f>CavityStatus[[#This Row],[Serial '#]]</f>
        <v>CAV071</v>
      </c>
      <c r="D64" s="123">
        <f>IF(CavityStatus[[#This Row],[Actual Ship Date]]&lt;&gt;0,CavityStatus[[#This Row],[Actual Ship Date]],"")</f>
        <v>42803</v>
      </c>
      <c r="E64" s="124">
        <f>CavityStatus[[#This Row],[Incentive Earned]]</f>
        <v>1000</v>
      </c>
      <c r="F64" s="123">
        <f>IF(CavityStatus[[#This Row],[Receipt Date]]&lt;&gt;0,CavityStatus[[#This Row],[Receipt Date]],"")</f>
        <v>42781</v>
      </c>
      <c r="G64" s="124">
        <f>CavityStatus[[#This Row],[Recipe Modification (Mod 9)]]</f>
        <v>4283.18</v>
      </c>
      <c r="H64" s="124">
        <f>CavityStatus[[#This Row],[Caps            
 (Mod 10)]]</f>
        <v>490</v>
      </c>
      <c r="I64" s="124">
        <f>CavityStatus[[#This Row],[Delivery &amp; Acceptance]]</f>
        <v>40187.5</v>
      </c>
      <c r="J64" s="124">
        <f>CavityStatus[[#This Row],[Total]]</f>
        <v>45960.68</v>
      </c>
      <c r="K64" s="126">
        <f>IF(CavityStatus[[#This Row],[Accept Date]]&lt;&gt;0,CavityStatus[[#This Row],[Accept Date]],"")</f>
        <v>42846</v>
      </c>
    </row>
    <row r="65" spans="2:11" x14ac:dyDescent="0.2">
      <c r="B65" s="125">
        <f>IF(CavityStatus[[#This Row],[Unit '#]]&lt;&gt;0,CavityStatus[[#This Row],[Unit '#]],"")</f>
        <v>62</v>
      </c>
      <c r="C65" s="122" t="str">
        <f>CavityStatus[[#This Row],[Serial '#]]</f>
        <v>CAV070</v>
      </c>
      <c r="D65" s="123">
        <f>IF(CavityStatus[[#This Row],[Actual Ship Date]]&lt;&gt;0,CavityStatus[[#This Row],[Actual Ship Date]],"")</f>
        <v>42816</v>
      </c>
      <c r="E65" s="124">
        <f>CavityStatus[[#This Row],[Incentive Earned]]</f>
        <v>1000</v>
      </c>
      <c r="F65" s="123">
        <f>IF(CavityStatus[[#This Row],[Receipt Date]]&lt;&gt;0,CavityStatus[[#This Row],[Receipt Date]],"")</f>
        <v>42829</v>
      </c>
      <c r="G65" s="124">
        <f>CavityStatus[[#This Row],[Recipe Modification (Mod 9)]]</f>
        <v>4283.18</v>
      </c>
      <c r="H65" s="124">
        <f>CavityStatus[[#This Row],[Caps            
 (Mod 10)]]</f>
        <v>490</v>
      </c>
      <c r="I65" s="124">
        <f>CavityStatus[[#This Row],[Delivery &amp; Acceptance]]</f>
        <v>40187.5</v>
      </c>
      <c r="J65" s="124">
        <f>CavityStatus[[#This Row],[Total]]</f>
        <v>45960.68</v>
      </c>
      <c r="K65" s="126">
        <f>IF(CavityStatus[[#This Row],[Accept Date]]&lt;&gt;0,CavityStatus[[#This Row],[Accept Date]],"")</f>
        <v>42846</v>
      </c>
    </row>
    <row r="66" spans="2:11" x14ac:dyDescent="0.2">
      <c r="B66" s="125">
        <f>IF(CavityStatus[[#This Row],[Unit '#]]&lt;&gt;0,CavityStatus[[#This Row],[Unit '#]],"")</f>
        <v>63</v>
      </c>
      <c r="C66" s="122" t="str">
        <f>CavityStatus[[#This Row],[Serial '#]]</f>
        <v>CAV072</v>
      </c>
      <c r="D66" s="123">
        <f>IF(CavityStatus[[#This Row],[Actual Ship Date]]&lt;&gt;0,CavityStatus[[#This Row],[Actual Ship Date]],"")</f>
        <v>42816</v>
      </c>
      <c r="E66" s="124">
        <f>CavityStatus[[#This Row],[Incentive Earned]]</f>
        <v>1000</v>
      </c>
      <c r="F66" s="123">
        <f>IF(CavityStatus[[#This Row],[Receipt Date]]&lt;&gt;0,CavityStatus[[#This Row],[Receipt Date]],"")</f>
        <v>42829</v>
      </c>
      <c r="G66" s="124">
        <f>CavityStatus[[#This Row],[Recipe Modification (Mod 9)]]</f>
        <v>4283.18</v>
      </c>
      <c r="H66" s="124">
        <f>CavityStatus[[#This Row],[Caps            
 (Mod 10)]]</f>
        <v>490</v>
      </c>
      <c r="I66" s="124">
        <f>CavityStatus[[#This Row],[Delivery &amp; Acceptance]]</f>
        <v>40187.5</v>
      </c>
      <c r="J66" s="124">
        <f>CavityStatus[[#This Row],[Total]]</f>
        <v>45960.68</v>
      </c>
      <c r="K66" s="126">
        <f>IF(CavityStatus[[#This Row],[Accept Date]]&lt;&gt;0,CavityStatus[[#This Row],[Accept Date]],"")</f>
        <v>42846</v>
      </c>
    </row>
    <row r="67" spans="2:11" x14ac:dyDescent="0.2">
      <c r="B67" s="125">
        <f>IF(CavityStatus[[#This Row],[Unit '#]]&lt;&gt;0,CavityStatus[[#This Row],[Unit '#]],"")</f>
        <v>64</v>
      </c>
      <c r="C67" s="122" t="str">
        <f>CavityStatus[[#This Row],[Serial '#]]</f>
        <v>CAV073</v>
      </c>
      <c r="D67" s="123">
        <f>IF(CavityStatus[[#This Row],[Actual Ship Date]]&lt;&gt;0,CavityStatus[[#This Row],[Actual Ship Date]],"")</f>
        <v>42816</v>
      </c>
      <c r="E67" s="124">
        <f>CavityStatus[[#This Row],[Incentive Earned]]</f>
        <v>1000</v>
      </c>
      <c r="F67" s="123">
        <f>IF(CavityStatus[[#This Row],[Receipt Date]]&lt;&gt;0,CavityStatus[[#This Row],[Receipt Date]],"")</f>
        <v>42829</v>
      </c>
      <c r="G67" s="124">
        <f>CavityStatus[[#This Row],[Recipe Modification (Mod 9)]]</f>
        <v>4283.18</v>
      </c>
      <c r="H67" s="124">
        <f>CavityStatus[[#This Row],[Caps            
 (Mod 10)]]</f>
        <v>490</v>
      </c>
      <c r="I67" s="124">
        <f>CavityStatus[[#This Row],[Delivery &amp; Acceptance]]</f>
        <v>40187.5</v>
      </c>
      <c r="J67" s="124">
        <f>CavityStatus[[#This Row],[Total]]</f>
        <v>45960.68</v>
      </c>
      <c r="K67" s="126">
        <f>IF(CavityStatus[[#This Row],[Accept Date]]&lt;&gt;0,CavityStatus[[#This Row],[Accept Date]],"")</f>
        <v>42846</v>
      </c>
    </row>
    <row r="68" spans="2:11" x14ac:dyDescent="0.2">
      <c r="B68" s="125">
        <f>IF(CavityStatus[[#This Row],[Unit '#]]&lt;&gt;0,CavityStatus[[#This Row],[Unit '#]],"")</f>
        <v>65</v>
      </c>
      <c r="C68" s="122" t="str">
        <f>CavityStatus[[#This Row],[Serial '#]]</f>
        <v>CAV075</v>
      </c>
      <c r="D68" s="123">
        <f>IF(CavityStatus[[#This Row],[Actual Ship Date]]&lt;&gt;0,CavityStatus[[#This Row],[Actual Ship Date]],"")</f>
        <v>42816</v>
      </c>
      <c r="E68" s="124">
        <f>CavityStatus[[#This Row],[Incentive Earned]]</f>
        <v>1000</v>
      </c>
      <c r="F68" s="123">
        <f>IF(CavityStatus[[#This Row],[Receipt Date]]&lt;&gt;0,CavityStatus[[#This Row],[Receipt Date]],"")</f>
        <v>42829</v>
      </c>
      <c r="G68" s="124">
        <f>CavityStatus[[#This Row],[Recipe Modification (Mod 9)]]</f>
        <v>4283.18</v>
      </c>
      <c r="H68" s="124">
        <f>CavityStatus[[#This Row],[Caps            
 (Mod 10)]]</f>
        <v>490</v>
      </c>
      <c r="I68" s="124">
        <f>CavityStatus[[#This Row],[Delivery &amp; Acceptance]]</f>
        <v>40187.5</v>
      </c>
      <c r="J68" s="124">
        <f>CavityStatus[[#This Row],[Total]]</f>
        <v>45960.68</v>
      </c>
      <c r="K68" s="126">
        <f>IF(CavityStatus[[#This Row],[Accept Date]]&lt;&gt;0,CavityStatus[[#This Row],[Accept Date]],"")</f>
        <v>42846</v>
      </c>
    </row>
    <row r="69" spans="2:11" x14ac:dyDescent="0.2">
      <c r="B69" s="125">
        <f>IF(CavityStatus[[#This Row],[Unit '#]]&lt;&gt;0,CavityStatus[[#This Row],[Unit '#]],"")</f>
        <v>66</v>
      </c>
      <c r="C69" s="122" t="str">
        <f>CavityStatus[[#This Row],[Serial '#]]</f>
        <v>CAV074</v>
      </c>
      <c r="D69" s="123">
        <f>IF(CavityStatus[[#This Row],[Actual Ship Date]]&lt;&gt;0,CavityStatus[[#This Row],[Actual Ship Date]],"")</f>
        <v>42818</v>
      </c>
      <c r="E69" s="145">
        <f>CavityStatus[[#This Row],[Incentive Earned]]</f>
        <v>1000</v>
      </c>
      <c r="F69" s="123">
        <f>IF(CavityStatus[[#This Row],[Receipt Date]]&lt;&gt;0,CavityStatus[[#This Row],[Receipt Date]],"")</f>
        <v>42832</v>
      </c>
      <c r="G69" s="124">
        <f>CavityStatus[[#This Row],[Recipe Modification (Mod 9)]]</f>
        <v>4283.18</v>
      </c>
      <c r="H69" s="145">
        <f>CavityStatus[[#This Row],[Caps            
 (Mod 10)]]</f>
        <v>490</v>
      </c>
      <c r="I69" s="124">
        <f>CavityStatus[[#This Row],[Delivery &amp; Acceptance]]</f>
        <v>40187.5</v>
      </c>
      <c r="J69" s="124">
        <f>CavityStatus[[#This Row],[Total]]</f>
        <v>45960.68</v>
      </c>
      <c r="K69" s="126">
        <f>IF(CavityStatus[[#This Row],[Accept Date]]&lt;&gt;0,CavityStatus[[#This Row],[Accept Date]],"")</f>
        <v>42846</v>
      </c>
    </row>
    <row r="70" spans="2:11" x14ac:dyDescent="0.2">
      <c r="B70" s="125">
        <f>IF(CavityStatus[[#This Row],[Unit '#]]&lt;&gt;0,CavityStatus[[#This Row],[Unit '#]],"")</f>
        <v>67</v>
      </c>
      <c r="C70" s="122" t="str">
        <f>CavityStatus[[#This Row],[Serial '#]]</f>
        <v>CAV076</v>
      </c>
      <c r="D70" s="123">
        <f>IF(CavityStatus[[#This Row],[Actual Ship Date]]&lt;&gt;0,CavityStatus[[#This Row],[Actual Ship Date]],"")</f>
        <v>42818</v>
      </c>
      <c r="E70" s="124">
        <f>CavityStatus[[#This Row],[Incentive Earned]]</f>
        <v>1000</v>
      </c>
      <c r="F70" s="123">
        <f>IF(CavityStatus[[#This Row],[Receipt Date]]&lt;&gt;0,CavityStatus[[#This Row],[Receipt Date]],"")</f>
        <v>42832</v>
      </c>
      <c r="G70" s="124">
        <f>CavityStatus[[#This Row],[Recipe Modification (Mod 9)]]</f>
        <v>4283.18</v>
      </c>
      <c r="H70" s="124">
        <f>CavityStatus[[#This Row],[Caps            
 (Mod 10)]]</f>
        <v>490</v>
      </c>
      <c r="I70" s="124">
        <f>CavityStatus[[#This Row],[Delivery &amp; Acceptance]]</f>
        <v>40187.5</v>
      </c>
      <c r="J70" s="124">
        <f>CavityStatus[[#This Row],[Total]]</f>
        <v>45960.68</v>
      </c>
      <c r="K70" s="126">
        <f>IF(CavityStatus[[#This Row],[Accept Date]]&lt;&gt;0,CavityStatus[[#This Row],[Accept Date]],"")</f>
        <v>42846</v>
      </c>
    </row>
    <row r="71" spans="2:11" x14ac:dyDescent="0.2">
      <c r="B71" s="125">
        <f>IF(CavityStatus[[#This Row],[Unit '#]]&lt;&gt;0,CavityStatus[[#This Row],[Unit '#]],"")</f>
        <v>68</v>
      </c>
      <c r="C71" s="122" t="str">
        <f>CavityStatus[[#This Row],[Serial '#]]</f>
        <v>CAV077</v>
      </c>
      <c r="D71" s="123">
        <f>IF(CavityStatus[[#This Row],[Actual Ship Date]]&lt;&gt;0,CavityStatus[[#This Row],[Actual Ship Date]],"")</f>
        <v>42818</v>
      </c>
      <c r="E71" s="145">
        <f>CavityStatus[[#This Row],[Incentive Earned]]</f>
        <v>1000</v>
      </c>
      <c r="F71" s="123">
        <f>IF(CavityStatus[[#This Row],[Receipt Date]]&lt;&gt;0,CavityStatus[[#This Row],[Receipt Date]],"")</f>
        <v>42832</v>
      </c>
      <c r="G71" s="124">
        <f>CavityStatus[[#This Row],[Recipe Modification (Mod 9)]]</f>
        <v>4283.18</v>
      </c>
      <c r="H71" s="145">
        <f>CavityStatus[[#This Row],[Caps            
 (Mod 10)]]</f>
        <v>490</v>
      </c>
      <c r="I71" s="124">
        <f>CavityStatus[[#This Row],[Delivery &amp; Acceptance]]</f>
        <v>40187.5</v>
      </c>
      <c r="J71" s="124">
        <f>CavityStatus[[#This Row],[Total]]</f>
        <v>45960.68</v>
      </c>
      <c r="K71" s="126">
        <f>IF(CavityStatus[[#This Row],[Accept Date]]&lt;&gt;0,CavityStatus[[#This Row],[Accept Date]],"")</f>
        <v>42846</v>
      </c>
    </row>
    <row r="72" spans="2:11" x14ac:dyDescent="0.2">
      <c r="B72" s="125">
        <f>IF(CavityStatus[[#This Row],[Unit '#]]&lt;&gt;0,CavityStatus[[#This Row],[Unit '#]],"")</f>
        <v>69</v>
      </c>
      <c r="C72" s="122" t="str">
        <f>CavityStatus[[#This Row],[Serial '#]]</f>
        <v>CAV078</v>
      </c>
      <c r="D72" s="123">
        <f>IF(CavityStatus[[#This Row],[Actual Ship Date]]&lt;&gt;0,CavityStatus[[#This Row],[Actual Ship Date]],"")</f>
        <v>42818</v>
      </c>
      <c r="E72" s="145">
        <f>CavityStatus[[#This Row],[Incentive Earned]]</f>
        <v>1000</v>
      </c>
      <c r="F72" s="123">
        <f>IF(CavityStatus[[#This Row],[Receipt Date]]&lt;&gt;0,CavityStatus[[#This Row],[Receipt Date]],"")</f>
        <v>42832</v>
      </c>
      <c r="G72" s="124">
        <f>CavityStatus[[#This Row],[Recipe Modification (Mod 9)]]</f>
        <v>4283.18</v>
      </c>
      <c r="H72" s="145">
        <f>CavityStatus[[#This Row],[Caps            
 (Mod 10)]]</f>
        <v>490</v>
      </c>
      <c r="I72" s="124">
        <f>CavityStatus[[#This Row],[Delivery &amp; Acceptance]]</f>
        <v>40187.5</v>
      </c>
      <c r="J72" s="124">
        <f>CavityStatus[[#This Row],[Total]]</f>
        <v>45960.68</v>
      </c>
      <c r="K72" s="126">
        <f>IF(CavityStatus[[#This Row],[Accept Date]]&lt;&gt;0,CavityStatus[[#This Row],[Accept Date]],"")</f>
        <v>42846</v>
      </c>
    </row>
    <row r="73" spans="2:11" x14ac:dyDescent="0.2">
      <c r="B73" s="125">
        <f>IF(CavityStatus[[#This Row],[Unit '#]]&lt;&gt;0,CavityStatus[[#This Row],[Unit '#]],"")</f>
        <v>70</v>
      </c>
      <c r="C73" s="122" t="str">
        <f>CavityStatus[[#This Row],[Serial '#]]</f>
        <v>CAV079</v>
      </c>
      <c r="D73" s="123">
        <f>IF(CavityStatus[[#This Row],[Actual Ship Date]]&lt;&gt;0,CavityStatus[[#This Row],[Actual Ship Date]],"")</f>
        <v>42825</v>
      </c>
      <c r="E73" s="145">
        <f>CavityStatus[[#This Row],[Incentive Earned]]</f>
        <v>1000</v>
      </c>
      <c r="F73" s="123">
        <f>IF(CavityStatus[[#This Row],[Receipt Date]]&lt;&gt;0,CavityStatus[[#This Row],[Receipt Date]],"")</f>
        <v>42838</v>
      </c>
      <c r="G73" s="124">
        <f>CavityStatus[[#This Row],[Recipe Modification (Mod 9)]]</f>
        <v>4283.18</v>
      </c>
      <c r="H73" s="145">
        <f>CavityStatus[[#This Row],[Caps            
 (Mod 10)]]</f>
        <v>490</v>
      </c>
      <c r="I73" s="124">
        <f>CavityStatus[[#This Row],[Delivery &amp; Acceptance]]</f>
        <v>40187.5</v>
      </c>
      <c r="J73" s="124">
        <f>CavityStatus[[#This Row],[Total]]</f>
        <v>45960.68</v>
      </c>
      <c r="K73" s="126">
        <f>IF(CavityStatus[[#This Row],[Accept Date]]&lt;&gt;0,CavityStatus[[#This Row],[Accept Date]],"")</f>
        <v>42846</v>
      </c>
    </row>
    <row r="74" spans="2:11" x14ac:dyDescent="0.2">
      <c r="B74" s="125">
        <f>IF(CavityStatus[[#This Row],[Unit '#]]&lt;&gt;0,CavityStatus[[#This Row],[Unit '#]],"")</f>
        <v>71</v>
      </c>
      <c r="C74" s="122" t="str">
        <f>CavityStatus[[#This Row],[Serial '#]]</f>
        <v>CAV080</v>
      </c>
      <c r="D74" s="123">
        <f>IF(CavityStatus[[#This Row],[Actual Ship Date]]&lt;&gt;0,CavityStatus[[#This Row],[Actual Ship Date]],"")</f>
        <v>42825</v>
      </c>
      <c r="E74" s="145">
        <f>CavityStatus[[#This Row],[Incentive Earned]]</f>
        <v>1000</v>
      </c>
      <c r="F74" s="123">
        <f>IF(CavityStatus[[#This Row],[Receipt Date]]&lt;&gt;0,CavityStatus[[#This Row],[Receipt Date]],"")</f>
        <v>42838</v>
      </c>
      <c r="G74" s="124">
        <f>CavityStatus[[#This Row],[Recipe Modification (Mod 9)]]</f>
        <v>4283.18</v>
      </c>
      <c r="H74" s="145">
        <f>CavityStatus[[#This Row],[Caps            
 (Mod 10)]]</f>
        <v>490</v>
      </c>
      <c r="I74" s="124">
        <f>CavityStatus[[#This Row],[Delivery &amp; Acceptance]]</f>
        <v>40187.5</v>
      </c>
      <c r="J74" s="124">
        <f>CavityStatus[[#This Row],[Total]]</f>
        <v>45960.68</v>
      </c>
      <c r="K74" s="126">
        <f>IF(CavityStatus[[#This Row],[Accept Date]]&lt;&gt;0,CavityStatus[[#This Row],[Accept Date]],"")</f>
        <v>42846</v>
      </c>
    </row>
    <row r="75" spans="2:11" x14ac:dyDescent="0.2">
      <c r="B75" s="125">
        <f>IF(CavityStatus[[#This Row],[Unit '#]]&lt;&gt;0,CavityStatus[[#This Row],[Unit '#]],"")</f>
        <v>72</v>
      </c>
      <c r="C75" s="122" t="str">
        <f>CavityStatus[[#This Row],[Serial '#]]</f>
        <v>CAV082</v>
      </c>
      <c r="D75" s="123">
        <f>IF(CavityStatus[[#This Row],[Actual Ship Date]]&lt;&gt;0,CavityStatus[[#This Row],[Actual Ship Date]],"")</f>
        <v>42825</v>
      </c>
      <c r="E75" s="145">
        <f>CavityStatus[[#This Row],[Incentive Earned]]</f>
        <v>1000</v>
      </c>
      <c r="F75" s="123">
        <f>IF(CavityStatus[[#This Row],[Receipt Date]]&lt;&gt;0,CavityStatus[[#This Row],[Receipt Date]],"")</f>
        <v>42838</v>
      </c>
      <c r="G75" s="124">
        <f>CavityStatus[[#This Row],[Recipe Modification (Mod 9)]]</f>
        <v>4283.18</v>
      </c>
      <c r="H75" s="145">
        <f>CavityStatus[[#This Row],[Caps            
 (Mod 10)]]</f>
        <v>490</v>
      </c>
      <c r="I75" s="124">
        <f>CavityStatus[[#This Row],[Delivery &amp; Acceptance]]</f>
        <v>40187.5</v>
      </c>
      <c r="J75" s="124">
        <f>CavityStatus[[#This Row],[Total]]</f>
        <v>45960.68</v>
      </c>
      <c r="K75" s="126">
        <f>IF(CavityStatus[[#This Row],[Accept Date]]&lt;&gt;0,CavityStatus[[#This Row],[Accept Date]],"")</f>
        <v>42846</v>
      </c>
    </row>
    <row r="76" spans="2:11" ht="13.5" thickBot="1" x14ac:dyDescent="0.25">
      <c r="B76" s="127">
        <f>IF(CavityStatus[[#This Row],[Unit '#]]&lt;&gt;0,CavityStatus[[#This Row],[Unit '#]],"")</f>
        <v>73</v>
      </c>
      <c r="C76" s="128" t="str">
        <f>CavityStatus[[#This Row],[Serial '#]]</f>
        <v>CAV083</v>
      </c>
      <c r="D76" s="129">
        <f>IF(CavityStatus[[#This Row],[Actual Ship Date]]&lt;&gt;0,CavityStatus[[#This Row],[Actual Ship Date]],"")</f>
        <v>42825</v>
      </c>
      <c r="E76" s="195">
        <f>CavityStatus[[#This Row],[Incentive Earned]]</f>
        <v>1000</v>
      </c>
      <c r="F76" s="129">
        <f>IF(CavityStatus[[#This Row],[Receipt Date]]&lt;&gt;0,CavityStatus[[#This Row],[Receipt Date]],"")</f>
        <v>42838</v>
      </c>
      <c r="G76" s="130">
        <f>CavityStatus[[#This Row],[Recipe Modification (Mod 9)]]</f>
        <v>4283.18</v>
      </c>
      <c r="H76" s="195">
        <f>CavityStatus[[#This Row],[Caps            
 (Mod 10)]]</f>
        <v>490</v>
      </c>
      <c r="I76" s="130">
        <f>CavityStatus[[#This Row],[Delivery &amp; Acceptance]]</f>
        <v>40187.5</v>
      </c>
      <c r="J76" s="130">
        <f>CavityStatus[[#This Row],[Total]]</f>
        <v>45960.68</v>
      </c>
      <c r="K76" s="131">
        <f>IF(CavityStatus[[#This Row],[Accept Date]]&lt;&gt;0,CavityStatus[[#This Row],[Accept Date]],"")</f>
        <v>42846</v>
      </c>
    </row>
    <row r="77" spans="2:11" ht="15" customHeight="1" thickTop="1" x14ac:dyDescent="0.2">
      <c r="B77" s="137">
        <f>IF(CavityStatus[[#This Row],[Unit '#]]&lt;&gt;0,CavityStatus[[#This Row],[Unit '#]],"")</f>
        <v>74</v>
      </c>
      <c r="C77" s="138" t="str">
        <f>CavityStatus[[#This Row],[Serial '#]]</f>
        <v>CAV081</v>
      </c>
      <c r="D77" s="139">
        <f>IF(CavityStatus[[#This Row],[Actual Ship Date]]&lt;&gt;0,CavityStatus[[#This Row],[Actual Ship Date]],"")</f>
        <v>42843</v>
      </c>
      <c r="E77" s="144">
        <f>CavityStatus[[#This Row],[Incentive Earned]]</f>
        <v>1000</v>
      </c>
      <c r="F77" s="129">
        <f>IF(CavityStatus[[#This Row],[Receipt Date]]&lt;&gt;0,CavityStatus[[#This Row],[Receipt Date]],"")</f>
        <v>42880</v>
      </c>
      <c r="G77" s="140">
        <f>CavityStatus[[#This Row],[Recipe Modification (Mod 9)]]</f>
        <v>4283.18</v>
      </c>
      <c r="H77" s="144">
        <f>CavityStatus[[#This Row],[Caps            
 (Mod 10)]]</f>
        <v>490</v>
      </c>
      <c r="I77" s="140">
        <f>CavityStatus[[#This Row],[Delivery &amp; Acceptance]]</f>
        <v>40187.5</v>
      </c>
      <c r="J77" s="140">
        <f>CavityStatus[[#This Row],[Total]]</f>
        <v>45960.68</v>
      </c>
      <c r="K77" s="141">
        <f>IF(CavityStatus[[#This Row],[Accept Date]]&lt;&gt;0,CavityStatus[[#This Row],[Accept Date]],"")</f>
        <v>42878</v>
      </c>
    </row>
    <row r="78" spans="2:11" ht="15" customHeight="1" x14ac:dyDescent="0.2">
      <c r="B78" s="142">
        <f>IF(CavityStatus[[#This Row],[Unit '#]]&lt;&gt;0,CavityStatus[[#This Row],[Unit '#]],"")</f>
        <v>75</v>
      </c>
      <c r="C78" s="122" t="str">
        <f>CavityStatus[[#This Row],[Serial '#]]</f>
        <v>CAV085</v>
      </c>
      <c r="D78" s="123">
        <f>IF(CavityStatus[[#This Row],[Actual Ship Date]]&lt;&gt;0,CavityStatus[[#This Row],[Actual Ship Date]],"")</f>
        <v>42843</v>
      </c>
      <c r="E78" s="124">
        <f>CavityStatus[[#This Row],[Incentive Earned]]</f>
        <v>1000</v>
      </c>
      <c r="F78" s="129">
        <f>IF(CavityStatus[[#This Row],[Receipt Date]]&lt;&gt;0,CavityStatus[[#This Row],[Receipt Date]],"")</f>
        <v>42880</v>
      </c>
      <c r="G78" s="124">
        <f>CavityStatus[[#This Row],[Recipe Modification (Mod 9)]]</f>
        <v>4283.18</v>
      </c>
      <c r="H78" s="124">
        <f>CavityStatus[[#This Row],[Caps            
 (Mod 10)]]</f>
        <v>490</v>
      </c>
      <c r="I78" s="124">
        <f>CavityStatus[[#This Row],[Delivery &amp; Acceptance]]</f>
        <v>40187.5</v>
      </c>
      <c r="J78" s="124">
        <f>CavityStatus[[#This Row],[Total]]</f>
        <v>45960.68</v>
      </c>
      <c r="K78" s="143">
        <f>IF(CavityStatus[[#This Row],[Accept Date]]&lt;&gt;0,CavityStatus[[#This Row],[Accept Date]],"")</f>
        <v>42878</v>
      </c>
    </row>
    <row r="79" spans="2:11" ht="15" customHeight="1" x14ac:dyDescent="0.2">
      <c r="B79" s="142">
        <f>IF(CavityStatus[[#This Row],[Unit '#]]&lt;&gt;0,CavityStatus[[#This Row],[Unit '#]],"")</f>
        <v>76</v>
      </c>
      <c r="C79" s="122" t="str">
        <f>CavityStatus[[#This Row],[Serial '#]]</f>
        <v>CAV086</v>
      </c>
      <c r="D79" s="123">
        <f>IF(CavityStatus[[#This Row],[Actual Ship Date]]&lt;&gt;0,CavityStatus[[#This Row],[Actual Ship Date]],"")</f>
        <v>42843</v>
      </c>
      <c r="E79" s="124">
        <f>CavityStatus[[#This Row],[Incentive Earned]]</f>
        <v>1000</v>
      </c>
      <c r="F79" s="129">
        <f>IF(CavityStatus[[#This Row],[Receipt Date]]&lt;&gt;0,CavityStatus[[#This Row],[Receipt Date]],"")</f>
        <v>42880</v>
      </c>
      <c r="G79" s="124">
        <f>CavityStatus[[#This Row],[Recipe Modification (Mod 9)]]</f>
        <v>4283.18</v>
      </c>
      <c r="H79" s="124">
        <f>CavityStatus[[#This Row],[Caps            
 (Mod 10)]]</f>
        <v>490</v>
      </c>
      <c r="I79" s="124">
        <f>CavityStatus[[#This Row],[Delivery &amp; Acceptance]]</f>
        <v>40187.5</v>
      </c>
      <c r="J79" s="124">
        <f>CavityStatus[[#This Row],[Total]]</f>
        <v>45960.68</v>
      </c>
      <c r="K79" s="143">
        <f>IF(CavityStatus[[#This Row],[Accept Date]]&lt;&gt;0,CavityStatus[[#This Row],[Accept Date]],"")</f>
        <v>42878</v>
      </c>
    </row>
    <row r="80" spans="2:11" ht="15" customHeight="1" x14ac:dyDescent="0.2">
      <c r="B80" s="142">
        <f>IF(CavityStatus[[#This Row],[Unit '#]]&lt;&gt;0,CavityStatus[[#This Row],[Unit '#]],"")</f>
        <v>77</v>
      </c>
      <c r="C80" s="122" t="str">
        <f>CavityStatus[[#This Row],[Serial '#]]</f>
        <v>CAV057</v>
      </c>
      <c r="D80" s="123">
        <f>IF(CavityStatus[[#This Row],[Actual Ship Date]]&lt;&gt;0,CavityStatus[[#This Row],[Actual Ship Date]],"")</f>
        <v>42853</v>
      </c>
      <c r="E80" s="124">
        <f>CavityStatus[[#This Row],[Incentive Earned]]</f>
        <v>1000</v>
      </c>
      <c r="F80" s="129">
        <f>IF(CavityStatus[[#This Row],[Receipt Date]]&lt;&gt;0,CavityStatus[[#This Row],[Receipt Date]],"")</f>
        <v>42860</v>
      </c>
      <c r="G80" s="124">
        <f>CavityStatus[[#This Row],[Recipe Modification (Mod 9)]]</f>
        <v>4283.18</v>
      </c>
      <c r="H80" s="124">
        <f>CavityStatus[[#This Row],[Caps            
 (Mod 10)]]</f>
        <v>490</v>
      </c>
      <c r="I80" s="124">
        <f>CavityStatus[[#This Row],[Delivery &amp; Acceptance]]</f>
        <v>40187.5</v>
      </c>
      <c r="J80" s="124">
        <f>CavityStatus[[#This Row],[Total]]</f>
        <v>45960.68</v>
      </c>
      <c r="K80" s="143">
        <f>IF(CavityStatus[[#This Row],[Accept Date]]&lt;&gt;0,CavityStatus[[#This Row],[Accept Date]],"")</f>
        <v>42878</v>
      </c>
    </row>
    <row r="81" spans="2:11" ht="15" customHeight="1" x14ac:dyDescent="0.2">
      <c r="B81" s="142">
        <f>IF(CavityStatus[[#This Row],[Unit '#]]&lt;&gt;0,CavityStatus[[#This Row],[Unit '#]],"")</f>
        <v>78</v>
      </c>
      <c r="C81" s="122" t="str">
        <f>CavityStatus[[#This Row],[Serial '#]]</f>
        <v>CAV061</v>
      </c>
      <c r="D81" s="123">
        <f>IF(CavityStatus[[#This Row],[Actual Ship Date]]&lt;&gt;0,CavityStatus[[#This Row],[Actual Ship Date]],"")</f>
        <v>42853</v>
      </c>
      <c r="E81" s="124">
        <f>CavityStatus[[#This Row],[Incentive Earned]]</f>
        <v>1000</v>
      </c>
      <c r="F81" s="129">
        <f>IF(CavityStatus[[#This Row],[Receipt Date]]&lt;&gt;0,CavityStatus[[#This Row],[Receipt Date]],"")</f>
        <v>42860</v>
      </c>
      <c r="G81" s="124">
        <f>CavityStatus[[#This Row],[Recipe Modification (Mod 9)]]</f>
        <v>4283.18</v>
      </c>
      <c r="H81" s="124">
        <f>CavityStatus[[#This Row],[Caps            
 (Mod 10)]]</f>
        <v>490</v>
      </c>
      <c r="I81" s="124">
        <f>CavityStatus[[#This Row],[Delivery &amp; Acceptance]]</f>
        <v>40187.5</v>
      </c>
      <c r="J81" s="124">
        <f>CavityStatus[[#This Row],[Total]]</f>
        <v>45960.68</v>
      </c>
      <c r="K81" s="143">
        <f>IF(CavityStatus[[#This Row],[Accept Date]]&lt;&gt;0,CavityStatus[[#This Row],[Accept Date]],"")</f>
        <v>42878</v>
      </c>
    </row>
    <row r="82" spans="2:11" ht="15" customHeight="1" x14ac:dyDescent="0.2">
      <c r="B82" s="142">
        <f>IF(CavityStatus[[#This Row],[Unit '#]]&lt;&gt;0,CavityStatus[[#This Row],[Unit '#]],"")</f>
        <v>79</v>
      </c>
      <c r="C82" s="122" t="str">
        <f>CavityStatus[[#This Row],[Serial '#]]</f>
        <v>CAV062</v>
      </c>
      <c r="D82" s="123">
        <f>IF(CavityStatus[[#This Row],[Actual Ship Date]]&lt;&gt;0,CavityStatus[[#This Row],[Actual Ship Date]],"")</f>
        <v>42853</v>
      </c>
      <c r="E82" s="124">
        <f>CavityStatus[[#This Row],[Incentive Earned]]</f>
        <v>1000</v>
      </c>
      <c r="F82" s="129">
        <f>IF(CavityStatus[[#This Row],[Receipt Date]]&lt;&gt;0,CavityStatus[[#This Row],[Receipt Date]],"")</f>
        <v>42860</v>
      </c>
      <c r="G82" s="124">
        <f>CavityStatus[[#This Row],[Recipe Modification (Mod 9)]]</f>
        <v>4283.18</v>
      </c>
      <c r="H82" s="124">
        <f>CavityStatus[[#This Row],[Caps            
 (Mod 10)]]</f>
        <v>490</v>
      </c>
      <c r="I82" s="124">
        <f>CavityStatus[[#This Row],[Delivery &amp; Acceptance]]</f>
        <v>40187.5</v>
      </c>
      <c r="J82" s="124">
        <f>CavityStatus[[#This Row],[Total]]</f>
        <v>45960.68</v>
      </c>
      <c r="K82" s="143">
        <f>IF(CavityStatus[[#This Row],[Accept Date]]&lt;&gt;0,CavityStatus[[#This Row],[Accept Date]],"")</f>
        <v>42878</v>
      </c>
    </row>
    <row r="83" spans="2:11" ht="15" customHeight="1" x14ac:dyDescent="0.2">
      <c r="B83" s="142">
        <f>IF(CavityStatus[[#This Row],[Unit '#]]&lt;&gt;0,CavityStatus[[#This Row],[Unit '#]],"")</f>
        <v>80</v>
      </c>
      <c r="C83" s="122" t="str">
        <f>CavityStatus[[#This Row],[Serial '#]]</f>
        <v>CAV063</v>
      </c>
      <c r="D83" s="123">
        <f>IF(CavityStatus[[#This Row],[Actual Ship Date]]&lt;&gt;0,CavityStatus[[#This Row],[Actual Ship Date]],"")</f>
        <v>42853</v>
      </c>
      <c r="E83" s="124">
        <f>CavityStatus[[#This Row],[Incentive Earned]]</f>
        <v>1000</v>
      </c>
      <c r="F83" s="129">
        <f>IF(CavityStatus[[#This Row],[Receipt Date]]&lt;&gt;0,CavityStatus[[#This Row],[Receipt Date]],"")</f>
        <v>42860</v>
      </c>
      <c r="G83" s="124">
        <f>CavityStatus[[#This Row],[Recipe Modification (Mod 9)]]</f>
        <v>4283.18</v>
      </c>
      <c r="H83" s="124">
        <f>CavityStatus[[#This Row],[Caps            
 (Mod 10)]]</f>
        <v>490</v>
      </c>
      <c r="I83" s="124">
        <f>CavityStatus[[#This Row],[Delivery &amp; Acceptance]]</f>
        <v>40187.5</v>
      </c>
      <c r="J83" s="124">
        <f>CavityStatus[[#This Row],[Total]]</f>
        <v>45960.68</v>
      </c>
      <c r="K83" s="143">
        <f>IF(CavityStatus[[#This Row],[Accept Date]]&lt;&gt;0,CavityStatus[[#This Row],[Accept Date]],"")</f>
        <v>42878</v>
      </c>
    </row>
    <row r="84" spans="2:11" ht="15" customHeight="1" x14ac:dyDescent="0.2">
      <c r="B84" s="142">
        <f>IF(CavityStatus[[#This Row],[Unit '#]]&lt;&gt;0,CavityStatus[[#This Row],[Unit '#]],"")</f>
        <v>81</v>
      </c>
      <c r="C84" s="122" t="str">
        <f>CavityStatus[[#This Row],[Serial '#]]</f>
        <v>CAV053</v>
      </c>
      <c r="D84" s="123">
        <f>IF(CavityStatus[[#This Row],[Actual Ship Date]]&lt;&gt;0,CavityStatus[[#This Row],[Actual Ship Date]],"")</f>
        <v>42865</v>
      </c>
      <c r="E84" s="124">
        <f>CavityStatus[[#This Row],[Incentive Earned]]</f>
        <v>1000</v>
      </c>
      <c r="F84" s="129">
        <f>IF(CavityStatus[[#This Row],[Receipt Date]]&lt;&gt;0,CavityStatus[[#This Row],[Receipt Date]],"")</f>
        <v>42872</v>
      </c>
      <c r="G84" s="124">
        <f>CavityStatus[[#This Row],[Recipe Modification (Mod 9)]]</f>
        <v>4283.18</v>
      </c>
      <c r="H84" s="124">
        <f>CavityStatus[[#This Row],[Caps            
 (Mod 10)]]</f>
        <v>490</v>
      </c>
      <c r="I84" s="124">
        <f>CavityStatus[[#This Row],[Delivery &amp; Acceptance]]</f>
        <v>40187.5</v>
      </c>
      <c r="J84" s="124">
        <f>CavityStatus[[#This Row],[Total]]</f>
        <v>45960.68</v>
      </c>
      <c r="K84" s="143">
        <f>IF(CavityStatus[[#This Row],[Accept Date]]&lt;&gt;0,CavityStatus[[#This Row],[Accept Date]],"")</f>
        <v>42878</v>
      </c>
    </row>
    <row r="85" spans="2:11" ht="15" customHeight="1" x14ac:dyDescent="0.2">
      <c r="B85" s="142">
        <f>IF(CavityStatus[[#This Row],[Unit '#]]&lt;&gt;0,CavityStatus[[#This Row],[Unit '#]],"")</f>
        <v>82</v>
      </c>
      <c r="C85" s="122" t="str">
        <f>CavityStatus[[#This Row],[Serial '#]]</f>
        <v>CAV056</v>
      </c>
      <c r="D85" s="123">
        <f>IF(CavityStatus[[#This Row],[Actual Ship Date]]&lt;&gt;0,CavityStatus[[#This Row],[Actual Ship Date]],"")</f>
        <v>42865</v>
      </c>
      <c r="E85" s="124">
        <f>CavityStatus[[#This Row],[Incentive Earned]]</f>
        <v>1000</v>
      </c>
      <c r="F85" s="129">
        <f>IF(CavityStatus[[#This Row],[Receipt Date]]&lt;&gt;0,CavityStatus[[#This Row],[Receipt Date]],"")</f>
        <v>42872</v>
      </c>
      <c r="G85" s="124">
        <f>CavityStatus[[#This Row],[Recipe Modification (Mod 9)]]</f>
        <v>4283.18</v>
      </c>
      <c r="H85" s="124">
        <f>CavityStatus[[#This Row],[Caps            
 (Mod 10)]]</f>
        <v>490</v>
      </c>
      <c r="I85" s="124">
        <f>CavityStatus[[#This Row],[Delivery &amp; Acceptance]]</f>
        <v>40187.5</v>
      </c>
      <c r="J85" s="124">
        <f>CavityStatus[[#This Row],[Total]]</f>
        <v>45960.68</v>
      </c>
      <c r="K85" s="143">
        <f>IF(CavityStatus[[#This Row],[Accept Date]]&lt;&gt;0,CavityStatus[[#This Row],[Accept Date]],"")</f>
        <v>42878</v>
      </c>
    </row>
    <row r="86" spans="2:11" ht="15" customHeight="1" x14ac:dyDescent="0.2">
      <c r="B86" s="142">
        <f>IF(CavityStatus[[#This Row],[Unit '#]]&lt;&gt;0,CavityStatus[[#This Row],[Unit '#]],"")</f>
        <v>83</v>
      </c>
      <c r="C86" s="122" t="str">
        <f>CavityStatus[[#This Row],[Serial '#]]</f>
        <v>CAV059</v>
      </c>
      <c r="D86" s="123">
        <f>IF(CavityStatus[[#This Row],[Actual Ship Date]]&lt;&gt;0,CavityStatus[[#This Row],[Actual Ship Date]],"")</f>
        <v>42865</v>
      </c>
      <c r="E86" s="124">
        <f>CavityStatus[[#This Row],[Incentive Earned]]</f>
        <v>1000</v>
      </c>
      <c r="F86" s="129">
        <f>IF(CavityStatus[[#This Row],[Receipt Date]]&lt;&gt;0,CavityStatus[[#This Row],[Receipt Date]],"")</f>
        <v>42872</v>
      </c>
      <c r="G86" s="124">
        <f>CavityStatus[[#This Row],[Recipe Modification (Mod 9)]]</f>
        <v>4283.18</v>
      </c>
      <c r="H86" s="124">
        <f>CavityStatus[[#This Row],[Caps            
 (Mod 10)]]</f>
        <v>490</v>
      </c>
      <c r="I86" s="124">
        <f>CavityStatus[[#This Row],[Delivery &amp; Acceptance]]</f>
        <v>40187.5</v>
      </c>
      <c r="J86" s="124">
        <f>CavityStatus[[#This Row],[Total]]</f>
        <v>45960.68</v>
      </c>
      <c r="K86" s="143">
        <f>IF(CavityStatus[[#This Row],[Accept Date]]&lt;&gt;0,CavityStatus[[#This Row],[Accept Date]],"")</f>
        <v>42878</v>
      </c>
    </row>
    <row r="87" spans="2:11" ht="15" customHeight="1" x14ac:dyDescent="0.2">
      <c r="B87" s="142">
        <f>IF(CavityStatus[[#This Row],[Unit '#]]&lt;&gt;0,CavityStatus[[#This Row],[Unit '#]],"")</f>
        <v>84</v>
      </c>
      <c r="C87" s="122" t="str">
        <f>CavityStatus[[#This Row],[Serial '#]]</f>
        <v>CAV060</v>
      </c>
      <c r="D87" s="123">
        <f>IF(CavityStatus[[#This Row],[Actual Ship Date]]&lt;&gt;0,CavityStatus[[#This Row],[Actual Ship Date]],"")</f>
        <v>42865</v>
      </c>
      <c r="E87" s="124">
        <f>CavityStatus[[#This Row],[Incentive Earned]]</f>
        <v>1000</v>
      </c>
      <c r="F87" s="129">
        <f>IF(CavityStatus[[#This Row],[Receipt Date]]&lt;&gt;0,CavityStatus[[#This Row],[Receipt Date]],"")</f>
        <v>42872</v>
      </c>
      <c r="G87" s="124">
        <f>CavityStatus[[#This Row],[Recipe Modification (Mod 9)]]</f>
        <v>4283.18</v>
      </c>
      <c r="H87" s="124">
        <f>CavityStatus[[#This Row],[Caps            
 (Mod 10)]]</f>
        <v>490</v>
      </c>
      <c r="I87" s="124">
        <f>CavityStatus[[#This Row],[Delivery &amp; Acceptance]]</f>
        <v>40187.5</v>
      </c>
      <c r="J87" s="124">
        <f>CavityStatus[[#This Row],[Total]]</f>
        <v>45960.68</v>
      </c>
      <c r="K87" s="143">
        <f>IF(CavityStatus[[#This Row],[Accept Date]]&lt;&gt;0,CavityStatus[[#This Row],[Accept Date]],"")</f>
        <v>42878</v>
      </c>
    </row>
    <row r="88" spans="2:11" ht="13.15" customHeight="1" x14ac:dyDescent="0.2">
      <c r="B88" s="142">
        <f>IF(CavityStatus[[#This Row],[Unit '#]]&lt;&gt;0,CavityStatus[[#This Row],[Unit '#]],"")</f>
        <v>85</v>
      </c>
      <c r="C88" s="122" t="str">
        <f>CavityStatus[[#This Row],[Serial '#]]</f>
        <v>CAV058</v>
      </c>
      <c r="D88" s="123">
        <v>42893</v>
      </c>
      <c r="E88" s="124">
        <f>CavityStatus[[#This Row],[Incentive Earned]]</f>
        <v>1000</v>
      </c>
      <c r="F88" s="129">
        <v>42927</v>
      </c>
      <c r="G88" s="124">
        <f>CavityStatus[[#This Row],[Recipe Modification (Mod 9)]]</f>
        <v>4283.18</v>
      </c>
      <c r="H88" s="124">
        <f>CavityStatus[[#This Row],[Caps            
 (Mod 10)]]</f>
        <v>490</v>
      </c>
      <c r="I88" s="124">
        <f>CavityStatus[[#This Row],[Delivery &amp; Acceptance]]</f>
        <v>40187.5</v>
      </c>
      <c r="J88" s="124">
        <f>CavityStatus[[#This Row],[Total]]</f>
        <v>45960.68</v>
      </c>
      <c r="K88" s="143">
        <f>IF(CavityStatus[[#This Row],[Accept Date]]&lt;&gt;0,CavityStatus[[#This Row],[Accept Date]],"")</f>
        <v>42916</v>
      </c>
    </row>
    <row r="89" spans="2:11" ht="13.15" customHeight="1" x14ac:dyDescent="0.2">
      <c r="B89" s="142">
        <f>IF(CavityStatus[[#This Row],[Unit '#]]&lt;&gt;0,CavityStatus[[#This Row],[Unit '#]],"")</f>
        <v>86</v>
      </c>
      <c r="C89" s="122" t="str">
        <f>CavityStatus[[#This Row],[Serial '#]]</f>
        <v>CAV091</v>
      </c>
      <c r="D89" s="123">
        <f>IF(CavityStatus[[#This Row],[Actual Ship Date]]&lt;&gt;0,CavityStatus[[#This Row],[Actual Ship Date]],"")</f>
        <v>42870</v>
      </c>
      <c r="E89" s="124">
        <f>CavityStatus[[#This Row],[Incentive Earned]]</f>
        <v>1000</v>
      </c>
      <c r="F89" s="129">
        <f>IF(CavityStatus[[#This Row],[Receipt Date]]&lt;&gt;0,CavityStatus[[#This Row],[Receipt Date]],"")</f>
        <v>42877</v>
      </c>
      <c r="G89" s="124">
        <f>CavityStatus[[#This Row],[Recipe Modification (Mod 9)]]</f>
        <v>4283.18</v>
      </c>
      <c r="H89" s="124">
        <f>CavityStatus[[#This Row],[Caps            
 (Mod 10)]]</f>
        <v>490</v>
      </c>
      <c r="I89" s="124">
        <f>CavityStatus[[#This Row],[Delivery &amp; Acceptance]]</f>
        <v>40187.5</v>
      </c>
      <c r="J89" s="124">
        <f>CavityStatus[[#This Row],[Total]]</f>
        <v>45960.68</v>
      </c>
      <c r="K89" s="143">
        <f>IF(CavityStatus[[#This Row],[Accept Date]]&lt;&gt;0,CavityStatus[[#This Row],[Accept Date]],"")</f>
        <v>42916</v>
      </c>
    </row>
    <row r="90" spans="2:11" ht="13.15" customHeight="1" x14ac:dyDescent="0.2">
      <c r="B90" s="142">
        <f>IF(CavityStatus[[#This Row],[Unit '#]]&lt;&gt;0,CavityStatus[[#This Row],[Unit '#]],"")</f>
        <v>87</v>
      </c>
      <c r="C90" s="122" t="str">
        <f>CavityStatus[[#This Row],[Serial '#]]</f>
        <v>CAV093</v>
      </c>
      <c r="D90" s="123">
        <f>IF(CavityStatus[[#This Row],[Actual Ship Date]]&lt;&gt;0,CavityStatus[[#This Row],[Actual Ship Date]],"")</f>
        <v>42870</v>
      </c>
      <c r="E90" s="124">
        <f>CavityStatus[[#This Row],[Incentive Earned]]</f>
        <v>1000</v>
      </c>
      <c r="F90" s="129">
        <f>IF(CavityStatus[[#This Row],[Receipt Date]]&lt;&gt;0,CavityStatus[[#This Row],[Receipt Date]],"")</f>
        <v>42877</v>
      </c>
      <c r="G90" s="124">
        <f>CavityStatus[[#This Row],[Recipe Modification (Mod 9)]]</f>
        <v>4283.18</v>
      </c>
      <c r="H90" s="124">
        <f>CavityStatus[[#This Row],[Caps            
 (Mod 10)]]</f>
        <v>490</v>
      </c>
      <c r="I90" s="124">
        <f>CavityStatus[[#This Row],[Delivery &amp; Acceptance]]</f>
        <v>40187.5</v>
      </c>
      <c r="J90" s="124">
        <f>CavityStatus[[#This Row],[Total]]</f>
        <v>45960.68</v>
      </c>
      <c r="K90" s="143">
        <f>IF(CavityStatus[[#This Row],[Accept Date]]&lt;&gt;0,CavityStatus[[#This Row],[Accept Date]],"")</f>
        <v>42916</v>
      </c>
    </row>
    <row r="91" spans="2:11" ht="13.15" customHeight="1" x14ac:dyDescent="0.2">
      <c r="B91" s="142">
        <f>IF(CavityStatus[[#This Row],[Unit '#]]&lt;&gt;0,CavityStatus[[#This Row],[Unit '#]],"")</f>
        <v>88</v>
      </c>
      <c r="C91" s="122" t="str">
        <f>CavityStatus[[#This Row],[Serial '#]]</f>
        <v>CAV098</v>
      </c>
      <c r="D91" s="123"/>
      <c r="E91" s="124">
        <f>CavityStatus[[#This Row],[Incentive Earned]]</f>
        <v>1000</v>
      </c>
      <c r="F91" s="129">
        <f>IF(CavityStatus[[#This Row],[Receipt Date]]&lt;&gt;0,CavityStatus[[#This Row],[Receipt Date]],"")</f>
        <v>42877</v>
      </c>
      <c r="G91" s="124">
        <f>CavityStatus[[#This Row],[Recipe Modification (Mod 9)]]</f>
        <v>4283.18</v>
      </c>
      <c r="H91" s="124">
        <f>CavityStatus[[#This Row],[Caps            
 (Mod 10)]]</f>
        <v>490</v>
      </c>
      <c r="I91" s="124">
        <f>CavityStatus[[#This Row],[Delivery &amp; Acceptance]]</f>
        <v>40187.5</v>
      </c>
      <c r="J91" s="124">
        <f>CavityStatus[[#This Row],[Total]]</f>
        <v>45960.68</v>
      </c>
      <c r="K91" s="143">
        <f>IF(CavityStatus[[#This Row],[Accept Date]]&lt;&gt;0,CavityStatus[[#This Row],[Accept Date]],"")</f>
        <v>42916</v>
      </c>
    </row>
    <row r="92" spans="2:11" ht="13.15" customHeight="1" x14ac:dyDescent="0.2">
      <c r="B92" s="132">
        <f>IF(CavityStatus[[#This Row],[Unit '#]]&lt;&gt;0,CavityStatus[[#This Row],[Unit '#]],"")</f>
        <v>89</v>
      </c>
      <c r="C92" s="133" t="str">
        <f>CavityStatus[[#This Row],[Serial '#]]</f>
        <v>CAV084</v>
      </c>
      <c r="D92" s="134">
        <f>IF(CavityStatus[[#This Row],[Actual Ship Date]]&lt;&gt;0,CavityStatus[[#This Row],[Actual Ship Date]],"")</f>
        <v>42877</v>
      </c>
      <c r="E92" s="124">
        <f>CavityStatus[[#This Row],[Incentive Earned]]</f>
        <v>1000</v>
      </c>
      <c r="F92" s="129">
        <f>IF(CavityStatus[[#This Row],[Receipt Date]]&lt;&gt;0,CavityStatus[[#This Row],[Receipt Date]],"")</f>
        <v>42885</v>
      </c>
      <c r="G92" s="135">
        <f>CavityStatus[[#This Row],[Recipe Modification (Mod 9)]]</f>
        <v>4283.18</v>
      </c>
      <c r="H92" s="135">
        <f>CavityStatus[[#This Row],[Caps            
 (Mod 10)]]</f>
        <v>490</v>
      </c>
      <c r="I92" s="135">
        <f>CavityStatus[[#This Row],[Delivery &amp; Acceptance]]</f>
        <v>40187.5</v>
      </c>
      <c r="J92" s="135">
        <f>CavityStatus[[#This Row],[Total]]</f>
        <v>45960.68</v>
      </c>
      <c r="K92" s="136">
        <f>IF(CavityStatus[[#This Row],[Accept Date]]&lt;&gt;0,CavityStatus[[#This Row],[Accept Date]],"")</f>
        <v>42916</v>
      </c>
    </row>
    <row r="93" spans="2:11" ht="13.15" customHeight="1" x14ac:dyDescent="0.2">
      <c r="B93" s="125">
        <f>IF(CavityStatus[[#This Row],[Unit '#]]&lt;&gt;0,CavityStatus[[#This Row],[Unit '#]],"")</f>
        <v>90</v>
      </c>
      <c r="C93" s="122" t="str">
        <f>CavityStatus[[#This Row],[Serial '#]]</f>
        <v>CAV092</v>
      </c>
      <c r="D93" s="123">
        <f>IF(CavityStatus[[#This Row],[Actual Ship Date]]&lt;&gt;0,CavityStatus[[#This Row],[Actual Ship Date]],"")</f>
        <v>42877</v>
      </c>
      <c r="E93" s="124">
        <f>CavityStatus[[#This Row],[Incentive Earned]]</f>
        <v>1000</v>
      </c>
      <c r="F93" s="129">
        <f>IF(CavityStatus[[#This Row],[Receipt Date]]&lt;&gt;0,CavityStatus[[#This Row],[Receipt Date]],"")</f>
        <v>42885</v>
      </c>
      <c r="G93" s="124">
        <f>CavityStatus[[#This Row],[Recipe Modification (Mod 9)]]</f>
        <v>4283.18</v>
      </c>
      <c r="H93" s="145">
        <f>CavityStatus[[#This Row],[Caps            
 (Mod 10)]]</f>
        <v>490</v>
      </c>
      <c r="I93" s="124">
        <f>CavityStatus[[#This Row],[Delivery &amp; Acceptance]]</f>
        <v>40187.5</v>
      </c>
      <c r="J93" s="124">
        <f>CavityStatus[[#This Row],[Total]]</f>
        <v>45960.68</v>
      </c>
      <c r="K93" s="126">
        <f>IF(CavityStatus[[#This Row],[Accept Date]]&lt;&gt;0,CavityStatus[[#This Row],[Accept Date]],"")</f>
        <v>42916</v>
      </c>
    </row>
    <row r="94" spans="2:11" ht="13.15" customHeight="1" x14ac:dyDescent="0.2">
      <c r="B94" s="125">
        <f>IF(CavityStatus[[#This Row],[Unit '#]]&lt;&gt;0,CavityStatus[[#This Row],[Unit '#]],"")</f>
        <v>91</v>
      </c>
      <c r="C94" s="122" t="str">
        <f>CavityStatus[[#This Row],[Serial '#]]</f>
        <v>CAV094</v>
      </c>
      <c r="D94" s="123">
        <v>42908</v>
      </c>
      <c r="E94" s="124">
        <f>CavityStatus[[#This Row],[Incentive Earned]]</f>
        <v>1000</v>
      </c>
      <c r="F94" s="129">
        <f>IF(CavityStatus[[#This Row],[Receipt Date]]&lt;&gt;0,CavityStatus[[#This Row],[Receipt Date]],"")</f>
        <v>42885</v>
      </c>
      <c r="G94" s="124">
        <f>CavityStatus[[#This Row],[Recipe Modification (Mod 9)]]</f>
        <v>4283.18</v>
      </c>
      <c r="H94" s="124">
        <f>CavityStatus[[#This Row],[Caps            
 (Mod 10)]]</f>
        <v>490</v>
      </c>
      <c r="I94" s="124">
        <f>CavityStatus[[#This Row],[Delivery &amp; Acceptance]]</f>
        <v>40187.5</v>
      </c>
      <c r="J94" s="124">
        <f>CavityStatus[[#This Row],[Total]]</f>
        <v>45960.68</v>
      </c>
      <c r="K94" s="126">
        <f>IF(CavityStatus[[#This Row],[Accept Date]]&lt;&gt;0,CavityStatus[[#This Row],[Accept Date]],"")</f>
        <v>42916</v>
      </c>
    </row>
    <row r="95" spans="2:11" ht="13.15" customHeight="1" x14ac:dyDescent="0.2">
      <c r="B95" s="125">
        <f>IF(CavityStatus[[#This Row],[Unit '#]]&lt;&gt;0,CavityStatus[[#This Row],[Unit '#]],"")</f>
        <v>92</v>
      </c>
      <c r="C95" s="122" t="str">
        <f>CavityStatus[[#This Row],[Serial '#]]</f>
        <v>CAV104</v>
      </c>
      <c r="D95" s="123">
        <f>IF(CavityStatus[[#This Row],[Actual Ship Date]]&lt;&gt;0,CavityStatus[[#This Row],[Actual Ship Date]],"")</f>
        <v>42877</v>
      </c>
      <c r="E95" s="124">
        <f>CavityStatus[[#This Row],[Incentive Earned]]</f>
        <v>1000</v>
      </c>
      <c r="F95" s="129">
        <f>IF(CavityStatus[[#This Row],[Receipt Date]]&lt;&gt;0,CavityStatus[[#This Row],[Receipt Date]],"")</f>
        <v>42885</v>
      </c>
      <c r="G95" s="124">
        <f>CavityStatus[[#This Row],[Recipe Modification (Mod 9)]]</f>
        <v>4283.18</v>
      </c>
      <c r="H95" s="145">
        <f>CavityStatus[[#This Row],[Caps            
 (Mod 10)]]</f>
        <v>490</v>
      </c>
      <c r="I95" s="124">
        <f>CavityStatus[[#This Row],[Delivery &amp; Acceptance]]</f>
        <v>40187.5</v>
      </c>
      <c r="J95" s="124">
        <f>CavityStatus[[#This Row],[Total]]</f>
        <v>45960.68</v>
      </c>
      <c r="K95" s="126">
        <f>IF(CavityStatus[[#This Row],[Accept Date]]&lt;&gt;0,CavityStatus[[#This Row],[Accept Date]],"")</f>
        <v>42916</v>
      </c>
    </row>
    <row r="96" spans="2:11" ht="13.15" customHeight="1" x14ac:dyDescent="0.2">
      <c r="B96" s="125">
        <f>IF(CavityStatus[[#This Row],[Unit '#]]&lt;&gt;0,CavityStatus[[#This Row],[Unit '#]],"")</f>
        <v>93</v>
      </c>
      <c r="C96" s="122" t="str">
        <f>CavityStatus[[#This Row],[Serial '#]]</f>
        <v>CAV103</v>
      </c>
      <c r="D96" s="123">
        <v>42893</v>
      </c>
      <c r="E96" s="124">
        <f>CavityStatus[[#This Row],[Incentive Earned]]</f>
        <v>1000</v>
      </c>
      <c r="F96" s="129">
        <f>IF(CavityStatus[[#This Row],[Receipt Date]]&lt;&gt;0,CavityStatus[[#This Row],[Receipt Date]],"")</f>
        <v>42895</v>
      </c>
      <c r="G96" s="124">
        <f>CavityStatus[[#This Row],[Recipe Modification (Mod 9)]]</f>
        <v>4283.18</v>
      </c>
      <c r="H96" s="124">
        <f>CavityStatus[[#This Row],[Caps            
 (Mod 10)]]</f>
        <v>490</v>
      </c>
      <c r="I96" s="124">
        <f>CavityStatus[[#This Row],[Delivery &amp; Acceptance]]</f>
        <v>40187.5</v>
      </c>
      <c r="J96" s="124">
        <f>CavityStatus[[#This Row],[Total]]</f>
        <v>45960.68</v>
      </c>
      <c r="K96" s="126">
        <f>IF(CavityStatus[[#This Row],[Accept Date]]&lt;&gt;0,CavityStatus[[#This Row],[Accept Date]],"")</f>
        <v>42916</v>
      </c>
    </row>
    <row r="97" spans="2:11" ht="13.15" customHeight="1" x14ac:dyDescent="0.2">
      <c r="B97" s="125">
        <f>IF(CavityStatus[[#This Row],[Unit '#]]&lt;&gt;0,CavityStatus[[#This Row],[Unit '#]],"")</f>
        <v>94</v>
      </c>
      <c r="C97" s="122" t="str">
        <f>CavityStatus[[#This Row],[Serial '#]]</f>
        <v>CAV108</v>
      </c>
      <c r="D97" s="123">
        <f>IF(CavityStatus[[#This Row],[Actual Ship Date]]&lt;&gt;0,CavityStatus[[#This Row],[Actual Ship Date]],"")</f>
        <v>42888</v>
      </c>
      <c r="E97" s="124">
        <f>CavityStatus[[#This Row],[Incentive Earned]]</f>
        <v>1000</v>
      </c>
      <c r="F97" s="129">
        <f>IF(CavityStatus[[#This Row],[Receipt Date]]&lt;&gt;0,CavityStatus[[#This Row],[Receipt Date]],"")</f>
        <v>42895</v>
      </c>
      <c r="G97" s="124">
        <f>CavityStatus[[#This Row],[Recipe Modification (Mod 9)]]</f>
        <v>4283.18</v>
      </c>
      <c r="H97" s="145">
        <f>CavityStatus[[#This Row],[Caps            
 (Mod 10)]]</f>
        <v>490</v>
      </c>
      <c r="I97" s="124">
        <f>CavityStatus[[#This Row],[Delivery &amp; Acceptance]]</f>
        <v>40187.5</v>
      </c>
      <c r="J97" s="124">
        <f>CavityStatus[[#This Row],[Total]]</f>
        <v>45960.68</v>
      </c>
      <c r="K97" s="126">
        <f>IF(CavityStatus[[#This Row],[Accept Date]]&lt;&gt;0,CavityStatus[[#This Row],[Accept Date]],"")</f>
        <v>42916</v>
      </c>
    </row>
    <row r="98" spans="2:11" ht="13.15" customHeight="1" x14ac:dyDescent="0.2">
      <c r="B98" s="125">
        <f>IF(CavityStatus[[#This Row],[Unit '#]]&lt;&gt;0,CavityStatus[[#This Row],[Unit '#]],"")</f>
        <v>95</v>
      </c>
      <c r="C98" s="122" t="str">
        <f>CavityStatus[[#This Row],[Serial '#]]</f>
        <v>CAV110</v>
      </c>
      <c r="D98" s="123">
        <v>42893</v>
      </c>
      <c r="E98" s="124">
        <f>CavityStatus[[#This Row],[Incentive Earned]]</f>
        <v>1000</v>
      </c>
      <c r="F98" s="129">
        <v>42927</v>
      </c>
      <c r="G98" s="124">
        <f>CavityStatus[[#This Row],[Recipe Modification (Mod 9)]]</f>
        <v>4283.18</v>
      </c>
      <c r="H98" s="124">
        <f>CavityStatus[[#This Row],[Caps            
 (Mod 10)]]</f>
        <v>490</v>
      </c>
      <c r="I98" s="124">
        <f>CavityStatus[[#This Row],[Delivery &amp; Acceptance]]</f>
        <v>40187.5</v>
      </c>
      <c r="J98" s="124">
        <f>CavityStatus[[#This Row],[Total]]</f>
        <v>45960.68</v>
      </c>
      <c r="K98" s="126">
        <f>IF(CavityStatus[[#This Row],[Accept Date]]&lt;&gt;0,CavityStatus[[#This Row],[Accept Date]],"")</f>
        <v>42916</v>
      </c>
    </row>
    <row r="99" spans="2:11" ht="13.15" customHeight="1" x14ac:dyDescent="0.2">
      <c r="B99" s="125">
        <f>IF(CavityStatus[[#This Row],[Unit '#]]&lt;&gt;0,CavityStatus[[#This Row],[Unit '#]],"")</f>
        <v>96</v>
      </c>
      <c r="C99" s="122" t="str">
        <f>CavityStatus[[#This Row],[Serial '#]]</f>
        <v>CAV111</v>
      </c>
      <c r="D99" s="123">
        <v>42914</v>
      </c>
      <c r="E99" s="124">
        <f>CavityStatus[[#This Row],[Incentive Earned]]</f>
        <v>1000</v>
      </c>
      <c r="F99" s="129">
        <v>42926</v>
      </c>
      <c r="G99" s="124">
        <f>CavityStatus[[#This Row],[Recipe Modification (Mod 9)]]</f>
        <v>4283.18</v>
      </c>
      <c r="H99" s="124">
        <f>CavityStatus[[#This Row],[Caps            
 (Mod 10)]]</f>
        <v>490</v>
      </c>
      <c r="I99" s="124">
        <f>CavityStatus[[#This Row],[Delivery &amp; Acceptance]]</f>
        <v>40187.5</v>
      </c>
      <c r="J99" s="124">
        <f>CavityStatus[[#This Row],[Total]]</f>
        <v>45960.68</v>
      </c>
      <c r="K99" s="126">
        <f>IF(CavityStatus[[#This Row],[Accept Date]]&lt;&gt;0,CavityStatus[[#This Row],[Accept Date]],"")</f>
        <v>42916</v>
      </c>
    </row>
    <row r="100" spans="2:11" ht="13.15" customHeight="1" x14ac:dyDescent="0.2">
      <c r="B100" s="125">
        <f>IF(CavityStatus[[#This Row],[Unit '#]]&lt;&gt;0,CavityStatus[[#This Row],[Unit '#]],"")</f>
        <v>97</v>
      </c>
      <c r="C100" s="122" t="str">
        <f>CavityStatus[[#This Row],[Serial '#]]</f>
        <v>CAV087</v>
      </c>
      <c r="D100" s="123">
        <v>42928</v>
      </c>
      <c r="E100" s="124">
        <f>CavityStatus[[#This Row],[Incentive Earned]]</f>
        <v>1000</v>
      </c>
      <c r="F100" s="129">
        <f>IF(CavityStatus[[#This Row],[Receipt Date]]&lt;&gt;0,CavityStatus[[#This Row],[Receipt Date]],"")</f>
        <v>42901</v>
      </c>
      <c r="G100" s="124">
        <f>CavityStatus[[#This Row],[Recipe Modification (Mod 9)]]</f>
        <v>4283.18</v>
      </c>
      <c r="H100" s="124">
        <f>CavityStatus[[#This Row],[Caps            
 (Mod 10)]]</f>
        <v>490</v>
      </c>
      <c r="I100" s="124">
        <f>CavityStatus[[#This Row],[Delivery &amp; Acceptance]]</f>
        <v>40187.5</v>
      </c>
      <c r="J100" s="124">
        <f>CavityStatus[[#This Row],[Total]]</f>
        <v>45960.68</v>
      </c>
      <c r="K100" s="126">
        <f>IF(CavityStatus[[#This Row],[Accept Date]]&lt;&gt;0,CavityStatus[[#This Row],[Accept Date]],"")</f>
        <v>42916</v>
      </c>
    </row>
    <row r="101" spans="2:11" ht="13.15" customHeight="1" x14ac:dyDescent="0.2">
      <c r="B101" s="125">
        <f>IF(CavityStatus[[#This Row],[Unit '#]]&lt;&gt;0,CavityStatus[[#This Row],[Unit '#]],"")</f>
        <v>98</v>
      </c>
      <c r="C101" s="122" t="str">
        <f>CavityStatus[[#This Row],[Serial '#]]</f>
        <v>CAV088</v>
      </c>
      <c r="D101" s="123">
        <v>42914</v>
      </c>
      <c r="E101" s="124">
        <f>CavityStatus[[#This Row],[Incentive Earned]]</f>
        <v>1000</v>
      </c>
      <c r="F101" s="129">
        <v>42926</v>
      </c>
      <c r="G101" s="124">
        <f>CavityStatus[[#This Row],[Recipe Modification (Mod 9)]]</f>
        <v>4283.18</v>
      </c>
      <c r="H101" s="124">
        <f>CavityStatus[[#This Row],[Caps            
 (Mod 10)]]</f>
        <v>490</v>
      </c>
      <c r="I101" s="124">
        <f>CavityStatus[[#This Row],[Delivery &amp; Acceptance]]</f>
        <v>40187.5</v>
      </c>
      <c r="J101" s="124">
        <f>CavityStatus[[#This Row],[Total]]</f>
        <v>45960.68</v>
      </c>
      <c r="K101" s="126">
        <f>IF(CavityStatus[[#This Row],[Accept Date]]&lt;&gt;0,CavityStatus[[#This Row],[Accept Date]],"")</f>
        <v>42916</v>
      </c>
    </row>
    <row r="102" spans="2:11" ht="13.15" customHeight="1" x14ac:dyDescent="0.2">
      <c r="B102" s="125">
        <f>IF(CavityStatus[[#This Row],[Unit '#]]&lt;&gt;0,CavityStatus[[#This Row],[Unit '#]],"")</f>
        <v>99</v>
      </c>
      <c r="C102" s="122" t="str">
        <f>CavityStatus[[#This Row],[Serial '#]]</f>
        <v>CAV089</v>
      </c>
      <c r="D102" s="123">
        <v>42893</v>
      </c>
      <c r="E102" s="124">
        <f>CavityStatus[[#This Row],[Incentive Earned]]</f>
        <v>1000</v>
      </c>
      <c r="F102" s="129">
        <v>42927</v>
      </c>
      <c r="G102" s="124">
        <f>CavityStatus[[#This Row],[Recipe Modification (Mod 9)]]</f>
        <v>4283.18</v>
      </c>
      <c r="H102" s="124">
        <f>CavityStatus[[#This Row],[Caps            
 (Mod 10)]]</f>
        <v>490</v>
      </c>
      <c r="I102" s="124">
        <f>CavityStatus[[#This Row],[Delivery &amp; Acceptance]]</f>
        <v>40187.5</v>
      </c>
      <c r="J102" s="124">
        <f>CavityStatus[[#This Row],[Total]]</f>
        <v>45960.68</v>
      </c>
      <c r="K102" s="126">
        <f>IF(CavityStatus[[#This Row],[Accept Date]]&lt;&gt;0,CavityStatus[[#This Row],[Accept Date]],"")</f>
        <v>42916</v>
      </c>
    </row>
    <row r="103" spans="2:11" ht="13.15" customHeight="1" x14ac:dyDescent="0.2">
      <c r="B103" s="125">
        <f>IF(CavityStatus[[#This Row],[Unit '#]]&lt;&gt;0,CavityStatus[[#This Row],[Unit '#]],"")</f>
        <v>100</v>
      </c>
      <c r="C103" s="122" t="str">
        <f>CavityStatus[[#This Row],[Serial '#]]</f>
        <v>CAV090</v>
      </c>
      <c r="D103" s="123">
        <v>42884</v>
      </c>
      <c r="E103" s="124">
        <f>CavityStatus[[#This Row],[Incentive Earned]]</f>
        <v>1000</v>
      </c>
      <c r="F103" s="129">
        <f>IF(CavityStatus[[#This Row],[Receipt Date]]&lt;&gt;0,CavityStatus[[#This Row],[Receipt Date]],"")</f>
        <v>42901</v>
      </c>
      <c r="G103" s="124">
        <f>CavityStatus[[#This Row],[Recipe Modification (Mod 9)]]</f>
        <v>4283.18</v>
      </c>
      <c r="H103" s="124">
        <f>CavityStatus[[#This Row],[Caps            
 (Mod 10)]]</f>
        <v>490</v>
      </c>
      <c r="I103" s="124">
        <f>CavityStatus[[#This Row],[Delivery &amp; Acceptance]]</f>
        <v>40187.5</v>
      </c>
      <c r="J103" s="124">
        <f>CavityStatus[[#This Row],[Total]]</f>
        <v>45960.68</v>
      </c>
      <c r="K103" s="126">
        <f>IF(CavityStatus[[#This Row],[Accept Date]]&lt;&gt;0,CavityStatus[[#This Row],[Accept Date]],"")</f>
        <v>42916</v>
      </c>
    </row>
    <row r="104" spans="2:11" ht="13.15" customHeight="1" x14ac:dyDescent="0.2">
      <c r="B104" s="125">
        <f>IF(CavityStatus[[#This Row],[Unit '#]]&lt;&gt;0,CavityStatus[[#This Row],[Unit '#]],"")</f>
        <v>101</v>
      </c>
      <c r="C104" s="122" t="str">
        <f>CavityStatus[[#This Row],[Serial '#]]</f>
        <v>CAV109</v>
      </c>
      <c r="D104" s="123">
        <f>IF(CavityStatus[[#This Row],[Actual Ship Date]]&lt;&gt;0,CavityStatus[[#This Row],[Actual Ship Date]],"")</f>
        <v>42895</v>
      </c>
      <c r="E104" s="124">
        <f>CavityStatus[[#This Row],[Incentive Earned]]</f>
        <v>1000</v>
      </c>
      <c r="F104" s="129">
        <f>IF(CavityStatus[[#This Row],[Receipt Date]]&lt;&gt;0,CavityStatus[[#This Row],[Receipt Date]],"")</f>
        <v>42901</v>
      </c>
      <c r="G104" s="124">
        <f>CavityStatus[[#This Row],[Recipe Modification (Mod 9)]]</f>
        <v>4283.18</v>
      </c>
      <c r="H104" s="124">
        <f>CavityStatus[[#This Row],[Caps            
 (Mod 10)]]</f>
        <v>490</v>
      </c>
      <c r="I104" s="124">
        <f>CavityStatus[[#This Row],[Delivery &amp; Acceptance]]</f>
        <v>40187.5</v>
      </c>
      <c r="J104" s="124">
        <f>CavityStatus[[#This Row],[Total]]</f>
        <v>45960.68</v>
      </c>
      <c r="K104" s="126">
        <f>IF(CavityStatus[[#This Row],[Accept Date]]&lt;&gt;0,CavityStatus[[#This Row],[Accept Date]],"")</f>
        <v>42916</v>
      </c>
    </row>
    <row r="105" spans="2:11" ht="13.15" customHeight="1" x14ac:dyDescent="0.2">
      <c r="B105" s="125">
        <f>IF(CavityStatus[[#This Row],[Unit '#]]&lt;&gt;0,CavityStatus[[#This Row],[Unit '#]],"")</f>
        <v>102</v>
      </c>
      <c r="C105" s="122" t="str">
        <f>CavityStatus[[#This Row],[Serial '#]]</f>
        <v>CAV112</v>
      </c>
      <c r="D105" s="123">
        <f>IF(CavityStatus[[#This Row],[Actual Ship Date]]&lt;&gt;0,CavityStatus[[#This Row],[Actual Ship Date]],"")</f>
        <v>42895</v>
      </c>
      <c r="E105" s="124">
        <f>CavityStatus[[#This Row],[Incentive Earned]]</f>
        <v>1000</v>
      </c>
      <c r="F105" s="129">
        <f>IF(CavityStatus[[#This Row],[Receipt Date]]&lt;&gt;0,CavityStatus[[#This Row],[Receipt Date]],"")</f>
        <v>42901</v>
      </c>
      <c r="G105" s="124">
        <f>CavityStatus[[#This Row],[Recipe Modification (Mod 9)]]</f>
        <v>4283.18</v>
      </c>
      <c r="H105" s="124">
        <f>CavityStatus[[#This Row],[Caps            
 (Mod 10)]]</f>
        <v>490</v>
      </c>
      <c r="I105" s="124">
        <f>CavityStatus[[#This Row],[Delivery &amp; Acceptance]]</f>
        <v>40187.5</v>
      </c>
      <c r="J105" s="124">
        <f>CavityStatus[[#This Row],[Total]]</f>
        <v>45960.68</v>
      </c>
      <c r="K105" s="126">
        <f>IF(CavityStatus[[#This Row],[Accept Date]]&lt;&gt;0,CavityStatus[[#This Row],[Accept Date]],"")</f>
        <v>42916</v>
      </c>
    </row>
    <row r="106" spans="2:11" x14ac:dyDescent="0.2">
      <c r="B106" s="125">
        <f>IF(CavityStatus[[#This Row],[Unit '#]]&lt;&gt;0,CavityStatus[[#This Row],[Unit '#]],"")</f>
        <v>103</v>
      </c>
      <c r="C106" s="122" t="str">
        <f>CavityStatus[[#This Row],[Serial '#]]</f>
        <v>CAV097</v>
      </c>
      <c r="D106" s="123">
        <f>IF(CavityStatus[[#This Row],[Actual Ship Date]]&lt;&gt;0,CavityStatus[[#This Row],[Actual Ship Date]],"")</f>
        <v>42908</v>
      </c>
      <c r="E106" s="124">
        <f>CavityStatus[[#This Row],[Incentive Earned]]</f>
        <v>1000</v>
      </c>
      <c r="F106" s="129">
        <f>IF(CavityStatus[[#This Row],[Receipt Date]]&lt;&gt;0,CavityStatus[[#This Row],[Receipt Date]],"")</f>
        <v>42916</v>
      </c>
      <c r="G106" s="124">
        <f>CavityStatus[[#This Row],[Recipe Modification (Mod 9)]]</f>
        <v>4283.18</v>
      </c>
      <c r="H106" s="124">
        <f>CavityStatus[[#This Row],[Caps            
 (Mod 10)]]</f>
        <v>490</v>
      </c>
      <c r="I106" s="124">
        <f>CavityStatus[[#This Row],[Delivery &amp; Acceptance]]</f>
        <v>40187.5</v>
      </c>
      <c r="J106" s="124">
        <f>CavityStatus[[#This Row],[Total]]</f>
        <v>45960.68</v>
      </c>
      <c r="K106" s="126">
        <f>IF(CavityStatus[[#This Row],[Accept Date]]&lt;&gt;0,CavityStatus[[#This Row],[Accept Date]],"")</f>
        <v>42943</v>
      </c>
    </row>
    <row r="107" spans="2:11" x14ac:dyDescent="0.2">
      <c r="B107" s="125">
        <f>IF(CavityStatus[[#This Row],[Unit '#]]&lt;&gt;0,CavityStatus[[#This Row],[Unit '#]],"")</f>
        <v>104</v>
      </c>
      <c r="C107" s="122" t="str">
        <f>CavityStatus[[#This Row],[Serial '#]]</f>
        <v>CAV113</v>
      </c>
      <c r="D107" s="123">
        <f>IF(CavityStatus[[#This Row],[Actual Ship Date]]&lt;&gt;0,CavityStatus[[#This Row],[Actual Ship Date]],"")</f>
        <v>42908</v>
      </c>
      <c r="E107" s="124">
        <f>CavityStatus[[#This Row],[Incentive Earned]]</f>
        <v>1000</v>
      </c>
      <c r="F107" s="129">
        <f>IF(CavityStatus[[#This Row],[Receipt Date]]&lt;&gt;0,CavityStatus[[#This Row],[Receipt Date]],"")</f>
        <v>42916</v>
      </c>
      <c r="G107" s="124">
        <f>CavityStatus[[#This Row],[Recipe Modification (Mod 9)]]</f>
        <v>4283.18</v>
      </c>
      <c r="H107" s="124">
        <f>CavityStatus[[#This Row],[Caps            
 (Mod 10)]]</f>
        <v>490</v>
      </c>
      <c r="I107" s="124">
        <f>CavityStatus[[#This Row],[Delivery &amp; Acceptance]]</f>
        <v>40187.5</v>
      </c>
      <c r="J107" s="124">
        <f>CavityStatus[[#This Row],[Total]]</f>
        <v>45960.68</v>
      </c>
      <c r="K107" s="126">
        <f>IF(CavityStatus[[#This Row],[Accept Date]]&lt;&gt;0,CavityStatus[[#This Row],[Accept Date]],"")</f>
        <v>42943</v>
      </c>
    </row>
    <row r="108" spans="2:11" x14ac:dyDescent="0.2">
      <c r="B108" s="125">
        <f>IF(CavityStatus[[#This Row],[Unit '#]]&lt;&gt;0,CavityStatus[[#This Row],[Unit '#]],"")</f>
        <v>105</v>
      </c>
      <c r="C108" s="122" t="str">
        <f>CavityStatus[[#This Row],[Serial '#]]</f>
        <v>CAV114</v>
      </c>
      <c r="D108" s="123">
        <f>IF(CavityStatus[[#This Row],[Actual Ship Date]]&lt;&gt;0,CavityStatus[[#This Row],[Actual Ship Date]],"")</f>
        <v>42908</v>
      </c>
      <c r="E108" s="124">
        <f>CavityStatus[[#This Row],[Incentive Earned]]</f>
        <v>1000</v>
      </c>
      <c r="F108" s="129">
        <f>IF(CavityStatus[[#This Row],[Receipt Date]]&lt;&gt;0,CavityStatus[[#This Row],[Receipt Date]],"")</f>
        <v>42916</v>
      </c>
      <c r="G108" s="124">
        <f>CavityStatus[[#This Row],[Recipe Modification (Mod 9)]]</f>
        <v>4283.18</v>
      </c>
      <c r="H108" s="145">
        <f>CavityStatus[[#This Row],[Caps            
 (Mod 10)]]</f>
        <v>490</v>
      </c>
      <c r="I108" s="124">
        <f>CavityStatus[[#This Row],[Delivery &amp; Acceptance]]</f>
        <v>40187.5</v>
      </c>
      <c r="J108" s="124">
        <f>CavityStatus[[#This Row],[Total]]</f>
        <v>45960.68</v>
      </c>
      <c r="K108" s="126">
        <f>IF(CavityStatus[[#This Row],[Accept Date]]&lt;&gt;0,CavityStatus[[#This Row],[Accept Date]],"")</f>
        <v>42943</v>
      </c>
    </row>
    <row r="109" spans="2:11" x14ac:dyDescent="0.2">
      <c r="B109" s="125">
        <f>IF(CavityStatus[[#This Row],[Unit '#]]&lt;&gt;0,CavityStatus[[#This Row],[Unit '#]],"")</f>
        <v>106</v>
      </c>
      <c r="C109" s="122" t="str">
        <f>CavityStatus[[#This Row],[Serial '#]]</f>
        <v>CAV117</v>
      </c>
      <c r="D109" s="123">
        <f>IF(CavityStatus[[#This Row],[Actual Ship Date]]&lt;&gt;0,CavityStatus[[#This Row],[Actual Ship Date]],"")</f>
        <v>42908</v>
      </c>
      <c r="E109" s="124">
        <f>CavityStatus[[#This Row],[Incentive Earned]]</f>
        <v>1000</v>
      </c>
      <c r="F109" s="129">
        <f>IF(CavityStatus[[#This Row],[Receipt Date]]&lt;&gt;0,CavityStatus[[#This Row],[Receipt Date]],"")</f>
        <v>42916</v>
      </c>
      <c r="G109" s="124">
        <f>CavityStatus[[#This Row],[Recipe Modification (Mod 9)]]</f>
        <v>4283.18</v>
      </c>
      <c r="H109" s="124">
        <f>CavityStatus[[#This Row],[Caps            
 (Mod 10)]]</f>
        <v>490</v>
      </c>
      <c r="I109" s="124">
        <f>CavityStatus[[#This Row],[Delivery &amp; Acceptance]]</f>
        <v>40187.5</v>
      </c>
      <c r="J109" s="124">
        <f>CavityStatus[[#This Row],[Total]]</f>
        <v>45960.68</v>
      </c>
      <c r="K109" s="126">
        <f>IF(CavityStatus[[#This Row],[Accept Date]]&lt;&gt;0,CavityStatus[[#This Row],[Accept Date]],"")</f>
        <v>42943</v>
      </c>
    </row>
    <row r="110" spans="2:11" x14ac:dyDescent="0.2">
      <c r="B110" s="125">
        <f>IF(CavityStatus[[#This Row],[Unit '#]]&lt;&gt;0,CavityStatus[[#This Row],[Unit '#]],"")</f>
        <v>107</v>
      </c>
      <c r="C110" s="122" t="str">
        <f>CavityStatus[[#This Row],[Serial '#]]</f>
        <v>CAV099</v>
      </c>
      <c r="D110" s="123">
        <f>IF(CavityStatus[[#This Row],[Actual Ship Date]]&lt;&gt;0,CavityStatus[[#This Row],[Actual Ship Date]],"")</f>
        <v>42914</v>
      </c>
      <c r="E110" s="124">
        <f>CavityStatus[[#This Row],[Incentive Earned]]</f>
        <v>1000</v>
      </c>
      <c r="F110" s="129">
        <f>IF(CavityStatus[[#This Row],[Receipt Date]]&lt;&gt;0,CavityStatus[[#This Row],[Receipt Date]],"")</f>
        <v>42926</v>
      </c>
      <c r="G110" s="124">
        <f>CavityStatus[[#This Row],[Recipe Modification (Mod 9)]]</f>
        <v>4283.18</v>
      </c>
      <c r="H110" s="124">
        <f>CavityStatus[[#This Row],[Caps            
 (Mod 10)]]</f>
        <v>490</v>
      </c>
      <c r="I110" s="124">
        <f>CavityStatus[[#This Row],[Delivery &amp; Acceptance]]</f>
        <v>40187.5</v>
      </c>
      <c r="J110" s="124">
        <f>CavityStatus[[#This Row],[Total]]</f>
        <v>45960.68</v>
      </c>
      <c r="K110" s="126">
        <f>IF(CavityStatus[[#This Row],[Accept Date]]&lt;&gt;0,CavityStatus[[#This Row],[Accept Date]],"")</f>
        <v>42943</v>
      </c>
    </row>
    <row r="111" spans="2:11" x14ac:dyDescent="0.2">
      <c r="B111" s="125">
        <f>IF(CavityStatus[[#This Row],[Unit '#]]&lt;&gt;0,CavityStatus[[#This Row],[Unit '#]],"")</f>
        <v>108</v>
      </c>
      <c r="C111" s="122" t="str">
        <f>CavityStatus[[#This Row],[Serial '#]]</f>
        <v>CAV101</v>
      </c>
      <c r="D111" s="123">
        <f>IF(CavityStatus[[#This Row],[Actual Ship Date]]&lt;&gt;0,CavityStatus[[#This Row],[Actual Ship Date]],"")</f>
        <v>42914</v>
      </c>
      <c r="E111" s="124">
        <f>CavityStatus[[#This Row],[Incentive Earned]]</f>
        <v>1000</v>
      </c>
      <c r="F111" s="129">
        <f>IF(CavityStatus[[#This Row],[Receipt Date]]&lt;&gt;0,CavityStatus[[#This Row],[Receipt Date]],"")</f>
        <v>42926</v>
      </c>
      <c r="G111" s="124">
        <f>CavityStatus[[#This Row],[Recipe Modification (Mod 9)]]</f>
        <v>4283.18</v>
      </c>
      <c r="H111" s="124">
        <f>CavityStatus[[#This Row],[Caps            
 (Mod 10)]]</f>
        <v>490</v>
      </c>
      <c r="I111" s="124">
        <f>CavityStatus[[#This Row],[Delivery &amp; Acceptance]]</f>
        <v>40187.5</v>
      </c>
      <c r="J111" s="124">
        <f>CavityStatus[[#This Row],[Total]]</f>
        <v>45960.68</v>
      </c>
      <c r="K111" s="126">
        <f>IF(CavityStatus[[#This Row],[Accept Date]]&lt;&gt;0,CavityStatus[[#This Row],[Accept Date]],"")</f>
        <v>42943</v>
      </c>
    </row>
    <row r="112" spans="2:11" x14ac:dyDescent="0.2">
      <c r="B112" s="125">
        <f>IF(CavityStatus[[#This Row],[Unit '#]]&lt;&gt;0,CavityStatus[[#This Row],[Unit '#]],"")</f>
        <v>109</v>
      </c>
      <c r="C112" s="122" t="str">
        <f>CavityStatus[[#This Row],[Serial '#]]</f>
        <v>CAV102</v>
      </c>
      <c r="D112" s="123">
        <f>IF(CavityStatus[[#This Row],[Actual Ship Date]]&lt;&gt;0,CavityStatus[[#This Row],[Actual Ship Date]],"")</f>
        <v>42914</v>
      </c>
      <c r="E112" s="124">
        <f>CavityStatus[[#This Row],[Incentive Earned]]</f>
        <v>1000</v>
      </c>
      <c r="F112" s="129">
        <f>IF(CavityStatus[[#This Row],[Receipt Date]]&lt;&gt;0,CavityStatus[[#This Row],[Receipt Date]],"")</f>
        <v>42926</v>
      </c>
      <c r="G112" s="124">
        <f>CavityStatus[[#This Row],[Recipe Modification (Mod 9)]]</f>
        <v>4283.18</v>
      </c>
      <c r="H112" s="145">
        <f>CavityStatus[[#This Row],[Caps            
 (Mod 10)]]</f>
        <v>490</v>
      </c>
      <c r="I112" s="124">
        <f>CavityStatus[[#This Row],[Delivery &amp; Acceptance]]</f>
        <v>40187.5</v>
      </c>
      <c r="J112" s="124">
        <f>CavityStatus[[#This Row],[Total]]</f>
        <v>45960.68</v>
      </c>
      <c r="K112" s="126">
        <f>IF(CavityStatus[[#This Row],[Accept Date]]&lt;&gt;0,CavityStatus[[#This Row],[Accept Date]],"")</f>
        <v>42943</v>
      </c>
    </row>
    <row r="113" spans="2:11" x14ac:dyDescent="0.2">
      <c r="B113" s="125">
        <f>IF(CavityStatus[[#This Row],[Unit '#]]&lt;&gt;0,CavityStatus[[#This Row],[Unit '#]],"")</f>
        <v>110</v>
      </c>
      <c r="C113" s="122" t="str">
        <f>CavityStatus[[#This Row],[Serial '#]]</f>
        <v>CAV118</v>
      </c>
      <c r="D113" s="123">
        <v>42908</v>
      </c>
      <c r="E113" s="124">
        <f>CavityStatus[[#This Row],[Incentive Earned]]</f>
        <v>1000</v>
      </c>
      <c r="F113" s="129">
        <f>IF(CavityStatus[[#This Row],[Receipt Date]]&lt;&gt;0,CavityStatus[[#This Row],[Receipt Date]],"")</f>
        <v>42926</v>
      </c>
      <c r="G113" s="124">
        <f>CavityStatus[[#This Row],[Recipe Modification (Mod 9)]]</f>
        <v>4283.18</v>
      </c>
      <c r="H113" s="124">
        <f>CavityStatus[[#This Row],[Caps            
 (Mod 10)]]</f>
        <v>490</v>
      </c>
      <c r="I113" s="124">
        <f>CavityStatus[[#This Row],[Delivery &amp; Acceptance]]</f>
        <v>40187.5</v>
      </c>
      <c r="J113" s="124">
        <f>CavityStatus[[#This Row],[Total]]</f>
        <v>45960.68</v>
      </c>
      <c r="K113" s="126">
        <f>IF(CavityStatus[[#This Row],[Accept Date]]&lt;&gt;0,CavityStatus[[#This Row],[Accept Date]],"")</f>
        <v>42943</v>
      </c>
    </row>
    <row r="114" spans="2:11" x14ac:dyDescent="0.2">
      <c r="B114" s="125">
        <f>IF(CavityStatus[[#This Row],[Unit '#]]&lt;&gt;0,CavityStatus[[#This Row],[Unit '#]],"")</f>
        <v>111</v>
      </c>
      <c r="C114" s="122" t="str">
        <f>CavityStatus[[#This Row],[Serial '#]]</f>
        <v>CAV100</v>
      </c>
      <c r="D114" s="123">
        <f>IF(CavityStatus[[#This Row],[Actual Ship Date]]&lt;&gt;0,CavityStatus[[#This Row],[Actual Ship Date]],"")</f>
        <v>42922</v>
      </c>
      <c r="E114" s="124">
        <f>CavityStatus[[#This Row],[Incentive Earned]]</f>
        <v>1000</v>
      </c>
      <c r="F114" s="129">
        <f>IF(CavityStatus[[#This Row],[Receipt Date]]&lt;&gt;0,CavityStatus[[#This Row],[Receipt Date]],"")</f>
        <v>42927</v>
      </c>
      <c r="G114" s="124">
        <f>CavityStatus[[#This Row],[Recipe Modification (Mod 9)]]</f>
        <v>4283.18</v>
      </c>
      <c r="H114" s="124">
        <f>CavityStatus[[#This Row],[Caps            
 (Mod 10)]]</f>
        <v>490</v>
      </c>
      <c r="I114" s="124">
        <f>CavityStatus[[#This Row],[Delivery &amp; Acceptance]]</f>
        <v>40187.5</v>
      </c>
      <c r="J114" s="124">
        <f>CavityStatus[[#This Row],[Total]]</f>
        <v>45960.68</v>
      </c>
      <c r="K114" s="126">
        <f>IF(CavityStatus[[#This Row],[Accept Date]]&lt;&gt;0,CavityStatus[[#This Row],[Accept Date]],"")</f>
        <v>42978</v>
      </c>
    </row>
    <row r="115" spans="2:11" x14ac:dyDescent="0.2">
      <c r="B115" s="125">
        <f>IF(CavityStatus[[#This Row],[Unit '#]]&lt;&gt;0,CavityStatus[[#This Row],[Unit '#]],"")</f>
        <v>112</v>
      </c>
      <c r="C115" s="122" t="str">
        <f>CavityStatus[[#This Row],[Serial '#]]</f>
        <v>CAV119</v>
      </c>
      <c r="D115" s="123"/>
      <c r="E115" s="124">
        <f>CavityStatus[[#This Row],[Incentive Earned]]</f>
        <v>1000</v>
      </c>
      <c r="F115" s="129">
        <f>IF(CavityStatus[[#This Row],[Receipt Date]]&lt;&gt;0,CavityStatus[[#This Row],[Receipt Date]],"")</f>
        <v>42927</v>
      </c>
      <c r="G115" s="124">
        <f>CavityStatus[[#This Row],[Recipe Modification (Mod 9)]]</f>
        <v>4283.18</v>
      </c>
      <c r="H115" s="124">
        <f>CavityStatus[[#This Row],[Caps            
 (Mod 10)]]</f>
        <v>490</v>
      </c>
      <c r="I115" s="124">
        <f>CavityStatus[[#This Row],[Delivery &amp; Acceptance]]</f>
        <v>40187.5</v>
      </c>
      <c r="J115" s="124">
        <f>CavityStatus[[#This Row],[Total]]</f>
        <v>45960.68</v>
      </c>
      <c r="K115" s="126">
        <f>IF(CavityStatus[[#This Row],[Accept Date]]&lt;&gt;0,CavityStatus[[#This Row],[Accept Date]],"")</f>
        <v>42978</v>
      </c>
    </row>
    <row r="116" spans="2:11" x14ac:dyDescent="0.2">
      <c r="B116" s="125">
        <f>IF(CavityStatus[[#This Row],[Unit '#]]&lt;&gt;0,CavityStatus[[#This Row],[Unit '#]],"")</f>
        <v>113</v>
      </c>
      <c r="C116" s="122" t="str">
        <f>CavityStatus[[#This Row],[Serial '#]]</f>
        <v>CAV120</v>
      </c>
      <c r="D116" s="123">
        <v>42914</v>
      </c>
      <c r="E116" s="124">
        <f>CavityStatus[[#This Row],[Incentive Earned]]</f>
        <v>1000</v>
      </c>
      <c r="F116" s="129">
        <f>IF(CavityStatus[[#This Row],[Receipt Date]]&lt;&gt;0,CavityStatus[[#This Row],[Receipt Date]],"")</f>
        <v>42927</v>
      </c>
      <c r="G116" s="124">
        <f>CavityStatus[[#This Row],[Recipe Modification (Mod 9)]]</f>
        <v>4283.18</v>
      </c>
      <c r="H116" s="124">
        <f>CavityStatus[[#This Row],[Caps            
 (Mod 10)]]</f>
        <v>490</v>
      </c>
      <c r="I116" s="124">
        <f>CavityStatus[[#This Row],[Delivery &amp; Acceptance]]</f>
        <v>40187.5</v>
      </c>
      <c r="J116" s="124">
        <f>CavityStatus[[#This Row],[Total]]</f>
        <v>45960.68</v>
      </c>
      <c r="K116" s="126">
        <f>IF(CavityStatus[[#This Row],[Accept Date]]&lt;&gt;0,CavityStatus[[#This Row],[Accept Date]],"")</f>
        <v>42978</v>
      </c>
    </row>
    <row r="117" spans="2:11" x14ac:dyDescent="0.2">
      <c r="B117" s="125">
        <f>IF(CavityStatus[[#This Row],[Unit '#]]&lt;&gt;0,CavityStatus[[#This Row],[Unit '#]],"")</f>
        <v>114</v>
      </c>
      <c r="C117" s="122" t="str">
        <f>CavityStatus[[#This Row],[Serial '#]]</f>
        <v>CAV121</v>
      </c>
      <c r="D117" s="123">
        <v>42884</v>
      </c>
      <c r="E117" s="124">
        <f>CavityStatus[[#This Row],[Incentive Earned]]</f>
        <v>1000</v>
      </c>
      <c r="F117" s="129">
        <f>IF(CavityStatus[[#This Row],[Receipt Date]]&lt;&gt;0,CavityStatus[[#This Row],[Receipt Date]],"")</f>
        <v>42927</v>
      </c>
      <c r="G117" s="124">
        <f>CavityStatus[[#This Row],[Recipe Modification (Mod 9)]]</f>
        <v>4283.18</v>
      </c>
      <c r="H117" s="124">
        <f>CavityStatus[[#This Row],[Caps            
 (Mod 10)]]</f>
        <v>490</v>
      </c>
      <c r="I117" s="124">
        <f>CavityStatus[[#This Row],[Delivery &amp; Acceptance]]</f>
        <v>40187.5</v>
      </c>
      <c r="J117" s="124">
        <f>CavityStatus[[#This Row],[Total]]</f>
        <v>45960.68</v>
      </c>
      <c r="K117" s="126">
        <f>IF(CavityStatus[[#This Row],[Accept Date]]&lt;&gt;0,CavityStatus[[#This Row],[Accept Date]],"")</f>
        <v>42978</v>
      </c>
    </row>
    <row r="118" spans="2:11" x14ac:dyDescent="0.2">
      <c r="B118" s="125">
        <f>IF(CavityStatus[[#This Row],[Unit '#]]&lt;&gt;0,CavityStatus[[#This Row],[Unit '#]],"")</f>
        <v>115</v>
      </c>
      <c r="C118" s="122" t="str">
        <f>CavityStatus[[#This Row],[Serial '#]]</f>
        <v>CAV116</v>
      </c>
      <c r="D118" s="123">
        <v>42884</v>
      </c>
      <c r="E118" s="124">
        <f>CavityStatus[[#This Row],[Incentive Earned]]</f>
        <v>1000</v>
      </c>
      <c r="F118" s="129">
        <f>IF(CavityStatus[[#This Row],[Receipt Date]]&lt;&gt;0,CavityStatus[[#This Row],[Receipt Date]],"")</f>
        <v>42948</v>
      </c>
      <c r="G118" s="124">
        <f>CavityStatus[[#This Row],[Recipe Modification (Mod 9)]]</f>
        <v>4283.18</v>
      </c>
      <c r="H118" s="124">
        <f>CavityStatus[[#This Row],[Caps            
 (Mod 10)]]</f>
        <v>490</v>
      </c>
      <c r="I118" s="124">
        <f>CavityStatus[[#This Row],[Delivery &amp; Acceptance]]</f>
        <v>40187.5</v>
      </c>
      <c r="J118" s="124">
        <f>CavityStatus[[#This Row],[Total]]</f>
        <v>45960.68</v>
      </c>
      <c r="K118" s="126">
        <f>IF(CavityStatus[[#This Row],[Accept Date]]&lt;&gt;0,CavityStatus[[#This Row],[Accept Date]],"")</f>
        <v>42978</v>
      </c>
    </row>
    <row r="119" spans="2:11" x14ac:dyDescent="0.2">
      <c r="B119" s="125">
        <f>IF(CavityStatus[[#This Row],[Unit '#]]&lt;&gt;0,CavityStatus[[#This Row],[Unit '#]],"")</f>
        <v>116</v>
      </c>
      <c r="C119" s="122" t="str">
        <f>CavityStatus[[#This Row],[Serial '#]]</f>
        <v>CAV122</v>
      </c>
      <c r="D119" s="123">
        <v>42928</v>
      </c>
      <c r="E119" s="124">
        <f>CavityStatus[[#This Row],[Incentive Earned]]</f>
        <v>1000</v>
      </c>
      <c r="F119" s="129">
        <f>IF(CavityStatus[[#This Row],[Receipt Date]]&lt;&gt;0,CavityStatus[[#This Row],[Receipt Date]],"")</f>
        <v>42948</v>
      </c>
      <c r="G119" s="124">
        <f>CavityStatus[[#This Row],[Recipe Modification (Mod 9)]]</f>
        <v>4283.18</v>
      </c>
      <c r="H119" s="124">
        <f>CavityStatus[[#This Row],[Caps            
 (Mod 10)]]</f>
        <v>490</v>
      </c>
      <c r="I119" s="124">
        <f>CavityStatus[[#This Row],[Delivery &amp; Acceptance]]</f>
        <v>40187.5</v>
      </c>
      <c r="J119" s="124">
        <f>CavityStatus[[#This Row],[Total]]</f>
        <v>45960.68</v>
      </c>
      <c r="K119" s="126">
        <f>IF(CavityStatus[[#This Row],[Accept Date]]&lt;&gt;0,CavityStatus[[#This Row],[Accept Date]],"")</f>
        <v>42978</v>
      </c>
    </row>
    <row r="120" spans="2:11" x14ac:dyDescent="0.2">
      <c r="B120" s="125">
        <f>IF(CavityStatus[[#This Row],[Unit '#]]&lt;&gt;0,CavityStatus[[#This Row],[Unit '#]],"")</f>
        <v>117</v>
      </c>
      <c r="C120" s="122" t="str">
        <f>CavityStatus[[#This Row],[Serial '#]]</f>
        <v>CAV123</v>
      </c>
      <c r="D120" s="123">
        <v>42928</v>
      </c>
      <c r="E120" s="124">
        <f>CavityStatus[[#This Row],[Incentive Earned]]</f>
        <v>1000</v>
      </c>
      <c r="F120" s="129">
        <f>IF(CavityStatus[[#This Row],[Receipt Date]]&lt;&gt;0,CavityStatus[[#This Row],[Receipt Date]],"")</f>
        <v>42948</v>
      </c>
      <c r="G120" s="124">
        <f>CavityStatus[[#This Row],[Recipe Modification (Mod 9)]]</f>
        <v>4283.18</v>
      </c>
      <c r="H120" s="124">
        <f>CavityStatus[[#This Row],[Caps            
 (Mod 10)]]</f>
        <v>490</v>
      </c>
      <c r="I120" s="124">
        <f>CavityStatus[[#This Row],[Delivery &amp; Acceptance]]</f>
        <v>40187.5</v>
      </c>
      <c r="J120" s="124">
        <f>CavityStatus[[#This Row],[Total]]</f>
        <v>45960.68</v>
      </c>
      <c r="K120" s="126">
        <f>IF(CavityStatus[[#This Row],[Accept Date]]&lt;&gt;0,CavityStatus[[#This Row],[Accept Date]],"")</f>
        <v>42978</v>
      </c>
    </row>
    <row r="121" spans="2:11" x14ac:dyDescent="0.2">
      <c r="B121" s="125">
        <f>IF(CavityStatus[[#This Row],[Unit '#]]&lt;&gt;0,CavityStatus[[#This Row],[Unit '#]],"")</f>
        <v>118</v>
      </c>
      <c r="C121" s="122" t="str">
        <f>CavityStatus[[#This Row],[Serial '#]]</f>
        <v>CAV124</v>
      </c>
      <c r="D121" s="123">
        <v>42914</v>
      </c>
      <c r="E121" s="124">
        <f>CavityStatus[[#This Row],[Incentive Earned]]</f>
        <v>1000</v>
      </c>
      <c r="F121" s="129">
        <f>IF(CavityStatus[[#This Row],[Receipt Date]]&lt;&gt;0,CavityStatus[[#This Row],[Receipt Date]],"")</f>
        <v>42948</v>
      </c>
      <c r="G121" s="124">
        <f>CavityStatus[[#This Row],[Recipe Modification (Mod 9)]]</f>
        <v>4283.18</v>
      </c>
      <c r="H121" s="124">
        <f>CavityStatus[[#This Row],[Caps            
 (Mod 10)]]</f>
        <v>490</v>
      </c>
      <c r="I121" s="124">
        <f>CavityStatus[[#This Row],[Delivery &amp; Acceptance]]</f>
        <v>40187.5</v>
      </c>
      <c r="J121" s="124">
        <f>CavityStatus[[#This Row],[Total]]</f>
        <v>45960.68</v>
      </c>
      <c r="K121" s="126">
        <f>IF(CavityStatus[[#This Row],[Accept Date]]&lt;&gt;0,CavityStatus[[#This Row],[Accept Date]],"")</f>
        <v>42978</v>
      </c>
    </row>
    <row r="122" spans="2:11" x14ac:dyDescent="0.2">
      <c r="B122" s="125">
        <f>IF(CavityStatus[[#This Row],[Unit '#]]&lt;&gt;0,CavityStatus[[#This Row],[Unit '#]],"")</f>
        <v>119</v>
      </c>
      <c r="C122" s="122" t="str">
        <f>CavityStatus[[#This Row],[Serial '#]]</f>
        <v>CAV105</v>
      </c>
      <c r="D122" s="123">
        <f>IF(CavityStatus[[#This Row],[Actual Ship Date]]&lt;&gt;0,CavityStatus[[#This Row],[Actual Ship Date]],"")</f>
        <v>42937</v>
      </c>
      <c r="E122" s="124">
        <f>CavityStatus[[#This Row],[Incentive Earned]]</f>
        <v>1000</v>
      </c>
      <c r="F122" s="129">
        <f>IF(CavityStatus[[#This Row],[Receipt Date]]&lt;&gt;0,CavityStatus[[#This Row],[Receipt Date]],"")</f>
        <v>42951</v>
      </c>
      <c r="G122" s="124">
        <f>CavityStatus[[#This Row],[Recipe Modification (Mod 9)]]</f>
        <v>4283.18</v>
      </c>
      <c r="H122" s="124">
        <f>CavityStatus[[#This Row],[Caps            
 (Mod 10)]]</f>
        <v>490</v>
      </c>
      <c r="I122" s="124">
        <f>CavityStatus[[#This Row],[Delivery &amp; Acceptance]]</f>
        <v>40187.5</v>
      </c>
      <c r="J122" s="124">
        <f>CavityStatus[[#This Row],[Total]]</f>
        <v>45960.68</v>
      </c>
      <c r="K122" s="126">
        <f>IF(CavityStatus[[#This Row],[Accept Date]]&lt;&gt;0,CavityStatus[[#This Row],[Accept Date]],"")</f>
        <v>42978</v>
      </c>
    </row>
    <row r="123" spans="2:11" x14ac:dyDescent="0.2">
      <c r="B123" s="125">
        <f>IF(CavityStatus[[#This Row],[Unit '#]]&lt;&gt;0,CavityStatus[[#This Row],[Unit '#]],"")</f>
        <v>120</v>
      </c>
      <c r="C123" s="122" t="str">
        <f>CavityStatus[[#This Row],[Serial '#]]</f>
        <v>CAV107</v>
      </c>
      <c r="D123" s="123">
        <v>42928</v>
      </c>
      <c r="E123" s="124">
        <f>CavityStatus[[#This Row],[Incentive Earned]]</f>
        <v>1000</v>
      </c>
      <c r="F123" s="129">
        <f>IF(CavityStatus[[#This Row],[Receipt Date]]&lt;&gt;0,CavityStatus[[#This Row],[Receipt Date]],"")</f>
        <v>42951</v>
      </c>
      <c r="G123" s="124">
        <f>CavityStatus[[#This Row],[Recipe Modification (Mod 9)]]</f>
        <v>4283.18</v>
      </c>
      <c r="H123" s="124">
        <f>CavityStatus[[#This Row],[Caps            
 (Mod 10)]]</f>
        <v>490</v>
      </c>
      <c r="I123" s="124">
        <f>CavityStatus[[#This Row],[Delivery &amp; Acceptance]]</f>
        <v>40187.5</v>
      </c>
      <c r="J123" s="124">
        <f>CavityStatus[[#This Row],[Total]]</f>
        <v>45960.68</v>
      </c>
      <c r="K123" s="126">
        <f>IF(CavityStatus[[#This Row],[Accept Date]]&lt;&gt;0,CavityStatus[[#This Row],[Accept Date]],"")</f>
        <v>42978</v>
      </c>
    </row>
    <row r="124" spans="2:11" x14ac:dyDescent="0.2">
      <c r="B124" s="125">
        <f>IF(CavityStatus[[#This Row],[Unit '#]]&lt;&gt;0,CavityStatus[[#This Row],[Unit '#]],"")</f>
        <v>121</v>
      </c>
      <c r="C124" s="122" t="str">
        <f>CavityStatus[[#This Row],[Serial '#]]</f>
        <v>CAV126</v>
      </c>
      <c r="D124" s="123">
        <v>42937</v>
      </c>
      <c r="E124" s="124">
        <f>CavityStatus[[#This Row],[Incentive Earned]]</f>
        <v>1000</v>
      </c>
      <c r="F124" s="129">
        <f>IF(CavityStatus[[#This Row],[Receipt Date]]&lt;&gt;0,CavityStatus[[#This Row],[Receipt Date]],"")</f>
        <v>42951</v>
      </c>
      <c r="G124" s="124">
        <f>CavityStatus[[#This Row],[Recipe Modification (Mod 9)]]</f>
        <v>4283.18</v>
      </c>
      <c r="H124" s="124">
        <f>CavityStatus[[#This Row],[Caps            
 (Mod 10)]]</f>
        <v>490</v>
      </c>
      <c r="I124" s="124">
        <f>CavityStatus[[#This Row],[Delivery &amp; Acceptance]]</f>
        <v>40187.5</v>
      </c>
      <c r="J124" s="124">
        <f>CavityStatus[[#This Row],[Total]]</f>
        <v>45960.68</v>
      </c>
      <c r="K124" s="126">
        <f>IF(CavityStatus[[#This Row],[Accept Date]]&lt;&gt;0,CavityStatus[[#This Row],[Accept Date]],"")</f>
        <v>42978</v>
      </c>
    </row>
    <row r="125" spans="2:11" x14ac:dyDescent="0.2">
      <c r="B125" s="125">
        <f>IF(CavityStatus[[#This Row],[Unit '#]]&lt;&gt;0,CavityStatus[[#This Row],[Unit '#]],"")</f>
        <v>122</v>
      </c>
      <c r="C125" s="122" t="str">
        <f>CavityStatus[[#This Row],[Serial '#]]</f>
        <v>CAV127</v>
      </c>
      <c r="D125" s="123">
        <v>42937</v>
      </c>
      <c r="E125" s="124">
        <f>CavityStatus[[#This Row],[Incentive Earned]]</f>
        <v>1000</v>
      </c>
      <c r="F125" s="129">
        <f>IF(CavityStatus[[#This Row],[Receipt Date]]&lt;&gt;0,CavityStatus[[#This Row],[Receipt Date]],"")</f>
        <v>42951</v>
      </c>
      <c r="G125" s="124">
        <f>CavityStatus[[#This Row],[Recipe Modification (Mod 9)]]</f>
        <v>4283.18</v>
      </c>
      <c r="H125" s="124">
        <f>CavityStatus[[#This Row],[Caps            
 (Mod 10)]]</f>
        <v>490</v>
      </c>
      <c r="I125" s="124">
        <f>CavityStatus[[#This Row],[Delivery &amp; Acceptance]]</f>
        <v>40187.5</v>
      </c>
      <c r="J125" s="124">
        <f>CavityStatus[[#This Row],[Total]]</f>
        <v>45960.68</v>
      </c>
      <c r="K125" s="126">
        <f>IF(CavityStatus[[#This Row],[Accept Date]]&lt;&gt;0,CavityStatus[[#This Row],[Accept Date]],"")</f>
        <v>42978</v>
      </c>
    </row>
    <row r="126" spans="2:11" x14ac:dyDescent="0.2">
      <c r="B126" s="125">
        <f>IF(CavityStatus[[#This Row],[Unit '#]]&lt;&gt;0,CavityStatus[[#This Row],[Unit '#]],"")</f>
        <v>123</v>
      </c>
      <c r="C126" s="122" t="str">
        <f>CavityStatus[[#This Row],[Serial '#]]</f>
        <v>CAV095</v>
      </c>
      <c r="D126" s="123">
        <v>42937</v>
      </c>
      <c r="E126" s="124">
        <f>CavityStatus[[#This Row],[Incentive Earned]]</f>
        <v>1000</v>
      </c>
      <c r="F126" s="129">
        <f>IF(CavityStatus[[#This Row],[Receipt Date]]&lt;&gt;0,CavityStatus[[#This Row],[Receipt Date]],"")</f>
        <v>42977</v>
      </c>
      <c r="G126" s="124">
        <f>CavityStatus[[#This Row],[Recipe Modification (Mod 9)]]</f>
        <v>4283.18</v>
      </c>
      <c r="H126" s="124">
        <f>CavityStatus[[#This Row],[Caps            
 (Mod 10)]]</f>
        <v>490</v>
      </c>
      <c r="I126" s="124">
        <f>CavityStatus[[#This Row],[Delivery &amp; Acceptance]]</f>
        <v>40187.5</v>
      </c>
      <c r="J126" s="124">
        <f>CavityStatus[[#This Row],[Total]]</f>
        <v>45960.68</v>
      </c>
      <c r="K126" s="126">
        <f>IF(CavityStatus[[#This Row],[Accept Date]]&lt;&gt;0,CavityStatus[[#This Row],[Accept Date]],"")</f>
        <v>42979</v>
      </c>
    </row>
    <row r="127" spans="2:11" x14ac:dyDescent="0.2">
      <c r="B127" s="125">
        <f>IF(CavityStatus[[#This Row],[Unit '#]]&lt;&gt;0,CavityStatus[[#This Row],[Unit '#]],"")</f>
        <v>124</v>
      </c>
      <c r="C127" s="122" t="str">
        <f>CavityStatus[[#This Row],[Serial '#]]</f>
        <v>CAV096</v>
      </c>
      <c r="D127" s="123" t="str">
        <f>IF(CavityStatus[[#This Row],[Actual Ship Date]]&lt;&gt;0,CavityStatus[[#This Row],[Actual Ship Date]],"")</f>
        <v/>
      </c>
      <c r="E127" s="124">
        <f>CavityStatus[[#This Row],[Incentive Earned]]</f>
        <v>1000</v>
      </c>
      <c r="F127" s="129">
        <f>IF(CavityStatus[[#This Row],[Receipt Date]]&lt;&gt;0,CavityStatus[[#This Row],[Receipt Date]],"")</f>
        <v>42977</v>
      </c>
      <c r="G127" s="124">
        <f>CavityStatus[[#This Row],[Recipe Modification (Mod 9)]]</f>
        <v>4283.18</v>
      </c>
      <c r="H127" s="124">
        <f>CavityStatus[[#This Row],[Caps            
 (Mod 10)]]</f>
        <v>490</v>
      </c>
      <c r="I127" s="124">
        <f>CavityStatus[[#This Row],[Delivery &amp; Acceptance]]</f>
        <v>40187.5</v>
      </c>
      <c r="J127" s="124">
        <f>CavityStatus[[#This Row],[Total]]</f>
        <v>45960.68</v>
      </c>
      <c r="K127" s="126">
        <f>IF(CavityStatus[[#This Row],[Accept Date]]&lt;&gt;0,CavityStatus[[#This Row],[Accept Date]],"")</f>
        <v>42979</v>
      </c>
    </row>
    <row r="128" spans="2:11" x14ac:dyDescent="0.2">
      <c r="B128" s="125">
        <f>IF(CavityStatus[[#This Row],[Unit '#]]&lt;&gt;0,CavityStatus[[#This Row],[Unit '#]],"")</f>
        <v>125</v>
      </c>
      <c r="C128" s="122" t="str">
        <f>CavityStatus[[#This Row],[Serial '#]]</f>
        <v>CAV106</v>
      </c>
      <c r="D128" s="123" t="str">
        <f>IF(CavityStatus[[#This Row],[Actual Ship Date]]&lt;&gt;0,CavityStatus[[#This Row],[Actual Ship Date]],"")</f>
        <v/>
      </c>
      <c r="E128" s="124">
        <f>CavityStatus[[#This Row],[Incentive Earned]]</f>
        <v>1000</v>
      </c>
      <c r="F128" s="129">
        <f>IF(CavityStatus[[#This Row],[Receipt Date]]&lt;&gt;0,CavityStatus[[#This Row],[Receipt Date]],"")</f>
        <v>42977</v>
      </c>
      <c r="G128" s="124">
        <f>CavityStatus[[#This Row],[Recipe Modification (Mod 9)]]</f>
        <v>4283.18</v>
      </c>
      <c r="H128" s="124">
        <f>CavityStatus[[#This Row],[Caps            
 (Mod 10)]]</f>
        <v>490</v>
      </c>
      <c r="I128" s="124">
        <f>CavityStatus[[#This Row],[Delivery &amp; Acceptance]]</f>
        <v>40187.5</v>
      </c>
      <c r="J128" s="124">
        <f>CavityStatus[[#This Row],[Total]]</f>
        <v>45960.68</v>
      </c>
      <c r="K128" s="126">
        <f>IF(CavityStatus[[#This Row],[Accept Date]]&lt;&gt;0,CavityStatus[[#This Row],[Accept Date]],"")</f>
        <v>42979</v>
      </c>
    </row>
    <row r="129" spans="2:11" x14ac:dyDescent="0.2">
      <c r="B129" s="125">
        <f>IF(CavityStatus[[#This Row],[Unit '#]]&lt;&gt;0,CavityStatus[[#This Row],[Unit '#]],"")</f>
        <v>126</v>
      </c>
      <c r="C129" s="122" t="str">
        <f>CavityStatus[[#This Row],[Serial '#]]</f>
        <v>CAV125</v>
      </c>
      <c r="D129" s="123" t="str">
        <f>IF(CavityStatus[[#This Row],[Actual Ship Date]]&lt;&gt;0,CavityStatus[[#This Row],[Actual Ship Date]],"")</f>
        <v/>
      </c>
      <c r="E129" s="124">
        <f>CavityStatus[[#This Row],[Incentive Earned]]</f>
        <v>1000</v>
      </c>
      <c r="F129" s="129">
        <f>IF(CavityStatus[[#This Row],[Receipt Date]]&lt;&gt;0,CavityStatus[[#This Row],[Receipt Date]],"")</f>
        <v>42977</v>
      </c>
      <c r="G129" s="124">
        <f>CavityStatus[[#This Row],[Recipe Modification (Mod 9)]]</f>
        <v>4283.18</v>
      </c>
      <c r="H129" s="124">
        <f>CavityStatus[[#This Row],[Caps            
 (Mod 10)]]</f>
        <v>490</v>
      </c>
      <c r="I129" s="124">
        <f>CavityStatus[[#This Row],[Delivery &amp; Acceptance]]</f>
        <v>40187.5</v>
      </c>
      <c r="J129" s="124">
        <f>CavityStatus[[#This Row],[Total]]</f>
        <v>45960.68</v>
      </c>
      <c r="K129" s="126">
        <f>IF(CavityStatus[[#This Row],[Accept Date]]&lt;&gt;0,CavityStatus[[#This Row],[Accept Date]],"")</f>
        <v>42979</v>
      </c>
    </row>
    <row r="130" spans="2:11" x14ac:dyDescent="0.2">
      <c r="B130" s="125">
        <f>IF(CavityStatus[[#This Row],[Unit '#]]&lt;&gt;0,CavityStatus[[#This Row],[Unit '#]],"")</f>
        <v>127</v>
      </c>
      <c r="C130" s="122" t="str">
        <f>CavityStatus[[#This Row],[Serial '#]]</f>
        <v>CAV128</v>
      </c>
      <c r="D130" s="123" t="str">
        <f>IF(CavityStatus[[#This Row],[Actual Ship Date]]&lt;&gt;0,CavityStatus[[#This Row],[Actual Ship Date]],"")</f>
        <v/>
      </c>
      <c r="E130" s="124">
        <f>CavityStatus[[#This Row],[Incentive Earned]]</f>
        <v>1000</v>
      </c>
      <c r="F130" s="129">
        <f>IF(CavityStatus[[#This Row],[Receipt Date]]&lt;&gt;0,CavityStatus[[#This Row],[Receipt Date]],"")</f>
        <v>42977</v>
      </c>
      <c r="G130" s="124">
        <f>CavityStatus[[#This Row],[Recipe Modification (Mod 9)]]</f>
        <v>4283.18</v>
      </c>
      <c r="H130" s="124">
        <f>CavityStatus[[#This Row],[Caps            
 (Mod 10)]]</f>
        <v>490</v>
      </c>
      <c r="I130" s="124">
        <f>CavityStatus[[#This Row],[Delivery &amp; Acceptance]]</f>
        <v>40187.5</v>
      </c>
      <c r="J130" s="124">
        <f>CavityStatus[[#This Row],[Total]]</f>
        <v>45960.68</v>
      </c>
      <c r="K130" s="126">
        <f>IF(CavityStatus[[#This Row],[Accept Date]]&lt;&gt;0,CavityStatus[[#This Row],[Accept Date]],"")</f>
        <v>42979</v>
      </c>
    </row>
    <row r="131" spans="2:11" x14ac:dyDescent="0.2">
      <c r="B131" s="125">
        <f>IF(CavityStatus[[#This Row],[Unit '#]]&lt;&gt;0,CavityStatus[[#This Row],[Unit '#]],"")</f>
        <v>128</v>
      </c>
      <c r="C131" s="122" t="str">
        <f>CavityStatus[[#This Row],[Serial '#]]</f>
        <v>CAV129</v>
      </c>
      <c r="D131" s="123" t="str">
        <f>IF(CavityStatus[[#This Row],[Actual Ship Date]]&lt;&gt;0,CavityStatus[[#This Row],[Actual Ship Date]],"")</f>
        <v/>
      </c>
      <c r="E131" s="124">
        <f>CavityStatus[[#This Row],[Incentive Earned]]</f>
        <v>1000</v>
      </c>
      <c r="F131" s="129">
        <f>IF(CavityStatus[[#This Row],[Receipt Date]]&lt;&gt;0,CavityStatus[[#This Row],[Receipt Date]],"")</f>
        <v>42977</v>
      </c>
      <c r="G131" s="124">
        <f>CavityStatus[[#This Row],[Recipe Modification (Mod 9)]]</f>
        <v>4283.18</v>
      </c>
      <c r="H131" s="124">
        <f>CavityStatus[[#This Row],[Caps            
 (Mod 10)]]</f>
        <v>490</v>
      </c>
      <c r="I131" s="124">
        <f>CavityStatus[[#This Row],[Delivery &amp; Acceptance]]</f>
        <v>40187.5</v>
      </c>
      <c r="J131" s="124">
        <f>CavityStatus[[#This Row],[Total]]</f>
        <v>45960.68</v>
      </c>
      <c r="K131" s="126">
        <f>IF(CavityStatus[[#This Row],[Accept Date]]&lt;&gt;0,CavityStatus[[#This Row],[Accept Date]],"")</f>
        <v>42979</v>
      </c>
    </row>
    <row r="132" spans="2:11" x14ac:dyDescent="0.2">
      <c r="B132" s="125">
        <f>IF(CavityStatus[[#This Row],[Unit '#]]&lt;&gt;0,CavityStatus[[#This Row],[Unit '#]],"")</f>
        <v>129</v>
      </c>
      <c r="C132" s="122" t="str">
        <f>CavityStatus[[#This Row],[Serial '#]]</f>
        <v>CAV130</v>
      </c>
      <c r="D132" s="123" t="str">
        <f>IF(CavityStatus[[#This Row],[Actual Ship Date]]&lt;&gt;0,CavityStatus[[#This Row],[Actual Ship Date]],"")</f>
        <v/>
      </c>
      <c r="E132" s="124">
        <f>CavityStatus[[#This Row],[Incentive Earned]]</f>
        <v>1000</v>
      </c>
      <c r="F132" s="129">
        <f>IF(CavityStatus[[#This Row],[Receipt Date]]&lt;&gt;0,CavityStatus[[#This Row],[Receipt Date]],"")</f>
        <v>42977</v>
      </c>
      <c r="G132" s="124">
        <f>CavityStatus[[#This Row],[Recipe Modification (Mod 9)]]</f>
        <v>4283.18</v>
      </c>
      <c r="H132" s="124">
        <f>CavityStatus[[#This Row],[Caps            
 (Mod 10)]]</f>
        <v>490</v>
      </c>
      <c r="I132" s="124">
        <f>CavityStatus[[#This Row],[Delivery &amp; Acceptance]]</f>
        <v>40187.5</v>
      </c>
      <c r="J132" s="124">
        <f>CavityStatus[[#This Row],[Total]]</f>
        <v>45960.68</v>
      </c>
      <c r="K132" s="126">
        <f>IF(CavityStatus[[#This Row],[Accept Date]]&lt;&gt;0,CavityStatus[[#This Row],[Accept Date]],"")</f>
        <v>42979</v>
      </c>
    </row>
    <row r="133" spans="2:11" x14ac:dyDescent="0.2">
      <c r="B133" s="125">
        <f>IF(CavityStatus[[#This Row],[Unit '#]]&lt;&gt;0,CavityStatus[[#This Row],[Unit '#]],"")</f>
        <v>130</v>
      </c>
      <c r="C133" s="122" t="str">
        <f>CavityStatus[[#This Row],[Serial '#]]</f>
        <v>CAV131</v>
      </c>
      <c r="D133" s="123" t="str">
        <f>IF(CavityStatus[[#This Row],[Actual Ship Date]]&lt;&gt;0,CavityStatus[[#This Row],[Actual Ship Date]],"")</f>
        <v/>
      </c>
      <c r="E133" s="124">
        <f>CavityStatus[[#This Row],[Incentive Earned]]</f>
        <v>1000</v>
      </c>
      <c r="F133" s="129">
        <f>IF(CavityStatus[[#This Row],[Receipt Date]]&lt;&gt;0,CavityStatus[[#This Row],[Receipt Date]],"")</f>
        <v>42977</v>
      </c>
      <c r="G133" s="124">
        <f>CavityStatus[[#This Row],[Recipe Modification (Mod 9)]]</f>
        <v>4283.18</v>
      </c>
      <c r="H133" s="124">
        <f>CavityStatus[[#This Row],[Caps            
 (Mod 10)]]</f>
        <v>490</v>
      </c>
      <c r="I133" s="124">
        <f>CavityStatus[[#This Row],[Delivery &amp; Acceptance]]</f>
        <v>40187.5</v>
      </c>
      <c r="J133" s="124">
        <f>CavityStatus[[#This Row],[Total]]</f>
        <v>45960.68</v>
      </c>
      <c r="K133" s="126">
        <f>IF(CavityStatus[[#This Row],[Accept Date]]&lt;&gt;0,CavityStatus[[#This Row],[Accept Date]],"")</f>
        <v>42979</v>
      </c>
    </row>
    <row r="134" spans="2:11" x14ac:dyDescent="0.2">
      <c r="B134" s="125">
        <f>IF(CavityStatus[[#This Row],[Unit '#]]&lt;&gt;0,CavityStatus[[#This Row],[Unit '#]],"")</f>
        <v>131</v>
      </c>
      <c r="C134" s="122" t="str">
        <f>CavityStatus[[#This Row],[Serial '#]]</f>
        <v>CAV132</v>
      </c>
      <c r="D134" s="123" t="str">
        <f>IF(CavityStatus[[#This Row],[Actual Ship Date]]&lt;&gt;0,CavityStatus[[#This Row],[Actual Ship Date]],"")</f>
        <v/>
      </c>
      <c r="E134" s="124">
        <f>CavityStatus[[#This Row],[Incentive Earned]]</f>
        <v>1000</v>
      </c>
      <c r="F134" s="129">
        <f>IF(CavityStatus[[#This Row],[Receipt Date]]&lt;&gt;0,CavityStatus[[#This Row],[Receipt Date]],"")</f>
        <v>42977</v>
      </c>
      <c r="G134" s="124">
        <f>CavityStatus[[#This Row],[Recipe Modification (Mod 9)]]</f>
        <v>4283.18</v>
      </c>
      <c r="H134" s="124">
        <f>CavityStatus[[#This Row],[Caps            
 (Mod 10)]]</f>
        <v>490</v>
      </c>
      <c r="I134" s="124">
        <f>CavityStatus[[#This Row],[Delivery &amp; Acceptance]]</f>
        <v>40187.5</v>
      </c>
      <c r="J134" s="124">
        <f>CavityStatus[[#This Row],[Total]]</f>
        <v>45960.68</v>
      </c>
      <c r="K134" s="126">
        <f>IF(CavityStatus[[#This Row],[Accept Date]]&lt;&gt;0,CavityStatus[[#This Row],[Accept Date]],"")</f>
        <v>42979</v>
      </c>
    </row>
    <row r="135" spans="2:11" x14ac:dyDescent="0.2">
      <c r="B135" s="125">
        <f>IF(CavityStatus[[#This Row],[Unit '#]]&lt;&gt;0,CavityStatus[[#This Row],[Unit '#]],"")</f>
        <v>132</v>
      </c>
      <c r="C135" s="122" t="str">
        <f>CavityStatus[[#This Row],[Serial '#]]</f>
        <v>CAV133</v>
      </c>
      <c r="D135" s="123" t="str">
        <f>IF(CavityStatus[[#This Row],[Actual Ship Date]]&lt;&gt;0,CavityStatus[[#This Row],[Actual Ship Date]],"")</f>
        <v/>
      </c>
      <c r="E135" s="124">
        <f>CavityStatus[[#This Row],[Incentive Earned]]</f>
        <v>1000</v>
      </c>
      <c r="F135" s="129">
        <f>IF(CavityStatus[[#This Row],[Receipt Date]]&lt;&gt;0,CavityStatus[[#This Row],[Receipt Date]],"")</f>
        <v>42977</v>
      </c>
      <c r="G135" s="124">
        <f>CavityStatus[[#This Row],[Recipe Modification (Mod 9)]]</f>
        <v>4283.18</v>
      </c>
      <c r="H135" s="124">
        <f>CavityStatus[[#This Row],[Caps            
 (Mod 10)]]</f>
        <v>490</v>
      </c>
      <c r="I135" s="124">
        <f>CavityStatus[[#This Row],[Delivery &amp; Acceptance]]</f>
        <v>40187.5</v>
      </c>
      <c r="J135" s="124">
        <f>CavityStatus[[#This Row],[Total]]</f>
        <v>45960.68</v>
      </c>
      <c r="K135" s="126">
        <f>IF(CavityStatus[[#This Row],[Accept Date]]&lt;&gt;0,CavityStatus[[#This Row],[Accept Date]],"")</f>
        <v>42979</v>
      </c>
    </row>
    <row r="136" spans="2:11" x14ac:dyDescent="0.2">
      <c r="B136" s="125" t="str">
        <f>IF(CavityStatus[[#This Row],[Unit '#]]&lt;&gt;0,CavityStatus[[#This Row],[Unit '#]],"")</f>
        <v/>
      </c>
      <c r="C136" s="122" t="str">
        <f>CavityStatus[[#This Row],[Serial '#]]</f>
        <v>CAV115</v>
      </c>
      <c r="D136" s="123" t="str">
        <f>IF(CavityStatus[[#This Row],[Actual Ship Date]]&lt;&gt;0,CavityStatus[[#This Row],[Actual Ship Date]],"")</f>
        <v/>
      </c>
      <c r="E136" s="124">
        <f>CavityStatus[[#This Row],[Incentive Earned]]</f>
        <v>0</v>
      </c>
      <c r="F136" s="129" t="str">
        <f>IF(CavityStatus[[#This Row],[Receipt Date]]&lt;&gt;0,CavityStatus[[#This Row],[Receipt Date]],"")</f>
        <v/>
      </c>
      <c r="G136" s="124">
        <f>CavityStatus[[#This Row],[Recipe Modification (Mod 9)]]</f>
        <v>0</v>
      </c>
      <c r="H136" s="124">
        <f>CavityStatus[[#This Row],[Caps            
 (Mod 10)]]</f>
        <v>0</v>
      </c>
      <c r="I136" s="124">
        <f>CavityStatus[[#This Row],[Delivery &amp; Acceptance]]</f>
        <v>40187.5</v>
      </c>
      <c r="J136" s="124">
        <f>CavityStatus[[#This Row],[Total]]</f>
        <v>40187.5</v>
      </c>
      <c r="K136" s="126" t="str">
        <f>IF(CavityStatus[[#This Row],[Accept Date]]&lt;&gt;0,CavityStatus[[#This Row],[Accept Date]],"")</f>
        <v/>
      </c>
    </row>
    <row r="137" spans="2:11" x14ac:dyDescent="0.2">
      <c r="B137" s="125" t="str">
        <f>IF(CavityStatus[[#This Row],[Unit '#]]&lt;&gt;0,CavityStatus[[#This Row],[Unit '#]],"")</f>
        <v/>
      </c>
      <c r="C137" s="122" t="str">
        <f>CavityStatus[[#This Row],[Serial '#]]</f>
        <v>CAV134</v>
      </c>
      <c r="D137" s="123" t="str">
        <f>IF(CavityStatus[[#This Row],[Actual Ship Date]]&lt;&gt;0,CavityStatus[[#This Row],[Actual Ship Date]],"")</f>
        <v/>
      </c>
      <c r="E137" s="124">
        <f>CavityStatus[[#This Row],[Incentive Earned]]</f>
        <v>0</v>
      </c>
      <c r="F137" s="129" t="str">
        <f>IF(CavityStatus[[#This Row],[Receipt Date]]&lt;&gt;0,CavityStatus[[#This Row],[Receipt Date]],"")</f>
        <v/>
      </c>
      <c r="G137" s="124">
        <f>CavityStatus[[#This Row],[Recipe Modification (Mod 9)]]</f>
        <v>0</v>
      </c>
      <c r="H137" s="124">
        <f>CavityStatus[[#This Row],[Caps            
 (Mod 10)]]</f>
        <v>0</v>
      </c>
      <c r="I137" s="124">
        <f>CavityStatus[[#This Row],[Delivery &amp; Acceptance]]</f>
        <v>40187.5</v>
      </c>
      <c r="J137" s="124">
        <f>CavityStatus[[#This Row],[Total]]</f>
        <v>40187.5</v>
      </c>
      <c r="K137" s="126" t="str">
        <f>IF(CavityStatus[[#This Row],[Accept Date]]&lt;&gt;0,CavityStatus[[#This Row],[Accept Date]],"")</f>
        <v/>
      </c>
    </row>
    <row r="138" spans="2:11" x14ac:dyDescent="0.2">
      <c r="B138" s="125" t="str">
        <f>IF(CavityStatus[[#This Row],[Unit '#]]&lt;&gt;0,CavityStatus[[#This Row],[Unit '#]],"")</f>
        <v/>
      </c>
      <c r="C138" s="122" t="str">
        <f>CavityStatus[[#This Row],[Serial '#]]</f>
        <v>CAV135</v>
      </c>
      <c r="D138" s="123" t="str">
        <f>IF(CavityStatus[[#This Row],[Actual Ship Date]]&lt;&gt;0,CavityStatus[[#This Row],[Actual Ship Date]],"")</f>
        <v/>
      </c>
      <c r="E138" s="124">
        <f>CavityStatus[[#This Row],[Incentive Earned]]</f>
        <v>0</v>
      </c>
      <c r="F138" s="129" t="str">
        <f>IF(CavityStatus[[#This Row],[Receipt Date]]&lt;&gt;0,CavityStatus[[#This Row],[Receipt Date]],"")</f>
        <v/>
      </c>
      <c r="G138" s="124">
        <f>CavityStatus[[#This Row],[Recipe Modification (Mod 9)]]</f>
        <v>0</v>
      </c>
      <c r="H138" s="124">
        <f>CavityStatus[[#This Row],[Caps            
 (Mod 10)]]</f>
        <v>0</v>
      </c>
      <c r="I138" s="124">
        <f>CavityStatus[[#This Row],[Delivery &amp; Acceptance]]</f>
        <v>40187.5</v>
      </c>
      <c r="J138" s="124">
        <f>CavityStatus[[#This Row],[Total]]</f>
        <v>40187.5</v>
      </c>
      <c r="K138" s="126" t="str">
        <f>IF(CavityStatus[[#This Row],[Accept Date]]&lt;&gt;0,CavityStatus[[#This Row],[Accept Date]],"")</f>
        <v/>
      </c>
    </row>
    <row r="139" spans="2:11" x14ac:dyDescent="0.2">
      <c r="B139" s="125" t="str">
        <f>IF(CavityStatus[[#This Row],[Unit '#]]&lt;&gt;0,CavityStatus[[#This Row],[Unit '#]],"")</f>
        <v/>
      </c>
      <c r="C139" s="122" t="str">
        <f>CavityStatus[[#This Row],[Serial '#]]</f>
        <v>CAV136</v>
      </c>
      <c r="D139" s="123" t="str">
        <f>IF(CavityStatus[[#This Row],[Actual Ship Date]]&lt;&gt;0,CavityStatus[[#This Row],[Actual Ship Date]],"")</f>
        <v/>
      </c>
      <c r="E139" s="124">
        <f>CavityStatus[[#This Row],[Incentive Earned]]</f>
        <v>0</v>
      </c>
      <c r="F139" s="129" t="str">
        <f>IF(CavityStatus[[#This Row],[Receipt Date]]&lt;&gt;0,CavityStatus[[#This Row],[Receipt Date]],"")</f>
        <v/>
      </c>
      <c r="G139" s="124">
        <f>CavityStatus[[#This Row],[Recipe Modification (Mod 9)]]</f>
        <v>0</v>
      </c>
      <c r="H139" s="124">
        <f>CavityStatus[[#This Row],[Caps            
 (Mod 10)]]</f>
        <v>0</v>
      </c>
      <c r="I139" s="124">
        <f>CavityStatus[[#This Row],[Delivery &amp; Acceptance]]</f>
        <v>40187.5</v>
      </c>
      <c r="J139" s="124">
        <f>CavityStatus[[#This Row],[Total]]</f>
        <v>40187.5</v>
      </c>
      <c r="K139" s="126" t="str">
        <f>IF(CavityStatus[[#This Row],[Accept Date]]&lt;&gt;0,CavityStatus[[#This Row],[Accept Date]],"")</f>
        <v/>
      </c>
    </row>
    <row r="140" spans="2:11" x14ac:dyDescent="0.2">
      <c r="B140" s="125" t="str">
        <f>IF(CavityStatus[[#This Row],[Unit '#]]&lt;&gt;0,CavityStatus[[#This Row],[Unit '#]],"")</f>
        <v/>
      </c>
      <c r="C140" s="122" t="str">
        <f>CavityStatus[[#This Row],[Serial '#]]</f>
        <v>CAV137</v>
      </c>
      <c r="D140" s="123" t="str">
        <f>IF(CavityStatus[[#This Row],[Actual Ship Date]]&lt;&gt;0,CavityStatus[[#This Row],[Actual Ship Date]],"")</f>
        <v/>
      </c>
      <c r="E140" s="124">
        <f>CavityStatus[[#This Row],[Incentive Earned]]</f>
        <v>0</v>
      </c>
      <c r="F140" s="129" t="str">
        <f>IF(CavityStatus[[#This Row],[Receipt Date]]&lt;&gt;0,CavityStatus[[#This Row],[Receipt Date]],"")</f>
        <v/>
      </c>
      <c r="G140" s="124">
        <f>CavityStatus[[#This Row],[Recipe Modification (Mod 9)]]</f>
        <v>0</v>
      </c>
      <c r="H140" s="124">
        <f>CavityStatus[[#This Row],[Caps            
 (Mod 10)]]</f>
        <v>0</v>
      </c>
      <c r="I140" s="124">
        <f>CavityStatus[[#This Row],[Delivery &amp; Acceptance]]</f>
        <v>40187.5</v>
      </c>
      <c r="J140" s="124">
        <f>CavityStatus[[#This Row],[Total]]</f>
        <v>40187.5</v>
      </c>
      <c r="K140" s="126" t="str">
        <f>IF(CavityStatus[[#This Row],[Accept Date]]&lt;&gt;0,CavityStatus[[#This Row],[Accept Date]],"")</f>
        <v/>
      </c>
    </row>
    <row r="141" spans="2:11" x14ac:dyDescent="0.2">
      <c r="B141" s="125" t="str">
        <f>IF(CavityStatus[[#This Row],[Unit '#]]&lt;&gt;0,CavityStatus[[#This Row],[Unit '#]],"")</f>
        <v/>
      </c>
      <c r="C141" s="122" t="str">
        <f>CavityStatus[[#This Row],[Serial '#]]</f>
        <v>CAV138</v>
      </c>
      <c r="D141" s="123" t="str">
        <f>IF(CavityStatus[[#This Row],[Actual Ship Date]]&lt;&gt;0,CavityStatus[[#This Row],[Actual Ship Date]],"")</f>
        <v/>
      </c>
      <c r="E141" s="124">
        <f>CavityStatus[[#This Row],[Incentive Earned]]</f>
        <v>0</v>
      </c>
      <c r="F141" s="129" t="str">
        <f>IF(CavityStatus[[#This Row],[Receipt Date]]&lt;&gt;0,CavityStatus[[#This Row],[Receipt Date]],"")</f>
        <v/>
      </c>
      <c r="G141" s="124">
        <f>CavityStatus[[#This Row],[Recipe Modification (Mod 9)]]</f>
        <v>0</v>
      </c>
      <c r="H141" s="124">
        <f>CavityStatus[[#This Row],[Caps            
 (Mod 10)]]</f>
        <v>0</v>
      </c>
      <c r="I141" s="124">
        <f>CavityStatus[[#This Row],[Delivery &amp; Acceptance]]</f>
        <v>40187.5</v>
      </c>
      <c r="J141" s="124">
        <f>CavityStatus[[#This Row],[Total]]</f>
        <v>40187.5</v>
      </c>
      <c r="K141" s="126" t="str">
        <f>IF(CavityStatus[[#This Row],[Accept Date]]&lt;&gt;0,CavityStatus[[#This Row],[Accept Date]],"")</f>
        <v/>
      </c>
    </row>
    <row r="142" spans="2:11" x14ac:dyDescent="0.2">
      <c r="B142" s="125" t="str">
        <f>IF(CavityStatus[[#This Row],[Unit '#]]&lt;&gt;0,CavityStatus[[#This Row],[Unit '#]],"")</f>
        <v/>
      </c>
      <c r="C142" s="122" t="str">
        <f>CavityStatus[[#This Row],[Serial '#]]</f>
        <v>CAV139</v>
      </c>
      <c r="D142" s="123" t="str">
        <f>IF(CavityStatus[[#This Row],[Actual Ship Date]]&lt;&gt;0,CavityStatus[[#This Row],[Actual Ship Date]],"")</f>
        <v/>
      </c>
      <c r="E142" s="124">
        <f>CavityStatus[[#This Row],[Incentive Earned]]</f>
        <v>0</v>
      </c>
      <c r="F142" s="129" t="str">
        <f>IF(CavityStatus[[#This Row],[Receipt Date]]&lt;&gt;0,CavityStatus[[#This Row],[Receipt Date]],"")</f>
        <v/>
      </c>
      <c r="G142" s="124">
        <f>CavityStatus[[#This Row],[Recipe Modification (Mod 9)]]</f>
        <v>0</v>
      </c>
      <c r="H142" s="124">
        <f>CavityStatus[[#This Row],[Caps            
 (Mod 10)]]</f>
        <v>0</v>
      </c>
      <c r="I142" s="124">
        <f>CavityStatus[[#This Row],[Delivery &amp; Acceptance]]</f>
        <v>40187.5</v>
      </c>
      <c r="J142" s="124">
        <f>CavityStatus[[#This Row],[Total]]</f>
        <v>40187.5</v>
      </c>
      <c r="K142" s="126" t="str">
        <f>IF(CavityStatus[[#This Row],[Accept Date]]&lt;&gt;0,CavityStatus[[#This Row],[Accept Date]],"")</f>
        <v/>
      </c>
    </row>
    <row r="143" spans="2:11" x14ac:dyDescent="0.2">
      <c r="B143" s="125" t="str">
        <f>IF(CavityStatus[[#This Row],[Unit '#]]&lt;&gt;0,CavityStatus[[#This Row],[Unit '#]],"")</f>
        <v/>
      </c>
      <c r="C143" s="122" t="str">
        <f>CavityStatus[[#This Row],[Serial '#]]</f>
        <v>CAV140</v>
      </c>
      <c r="D143" s="123" t="str">
        <f>IF(CavityStatus[[#This Row],[Actual Ship Date]]&lt;&gt;0,CavityStatus[[#This Row],[Actual Ship Date]],"")</f>
        <v/>
      </c>
      <c r="E143" s="124">
        <f>CavityStatus[[#This Row],[Incentive Earned]]</f>
        <v>0</v>
      </c>
      <c r="F143" s="129" t="str">
        <f>IF(CavityStatus[[#This Row],[Receipt Date]]&lt;&gt;0,CavityStatus[[#This Row],[Receipt Date]],"")</f>
        <v/>
      </c>
      <c r="G143" s="124">
        <f>CavityStatus[[#This Row],[Recipe Modification (Mod 9)]]</f>
        <v>0</v>
      </c>
      <c r="H143" s="124">
        <f>CavityStatus[[#This Row],[Caps            
 (Mod 10)]]</f>
        <v>0</v>
      </c>
      <c r="I143" s="124">
        <f>CavityStatus[[#This Row],[Delivery &amp; Acceptance]]</f>
        <v>40187.5</v>
      </c>
      <c r="J143" s="124">
        <f>CavityStatus[[#This Row],[Total]]</f>
        <v>40187.5</v>
      </c>
      <c r="K143" s="126" t="str">
        <f>IF(CavityStatus[[#This Row],[Accept Date]]&lt;&gt;0,CavityStatus[[#This Row],[Accept Date]],"")</f>
        <v/>
      </c>
    </row>
    <row r="144" spans="2:11" x14ac:dyDescent="0.2">
      <c r="B144" s="125" t="str">
        <f>IF(CavityStatus[[#This Row],[Unit '#]]&lt;&gt;0,CavityStatus[[#This Row],[Unit '#]],"")</f>
        <v/>
      </c>
      <c r="C144" s="122" t="str">
        <f>CavityStatus[[#This Row],[Serial '#]]</f>
        <v>CAV141</v>
      </c>
      <c r="D144" s="123" t="str">
        <f>IF(CavityStatus[[#This Row],[Actual Ship Date]]&lt;&gt;0,CavityStatus[[#This Row],[Actual Ship Date]],"")</f>
        <v/>
      </c>
      <c r="E144" s="124">
        <f>CavityStatus[[#This Row],[Incentive Earned]]</f>
        <v>0</v>
      </c>
      <c r="F144" s="129" t="str">
        <f>IF(CavityStatus[[#This Row],[Receipt Date]]&lt;&gt;0,CavityStatus[[#This Row],[Receipt Date]],"")</f>
        <v/>
      </c>
      <c r="G144" s="124">
        <f>CavityStatus[[#This Row],[Recipe Modification (Mod 9)]]</f>
        <v>0</v>
      </c>
      <c r="H144" s="124">
        <f>CavityStatus[[#This Row],[Caps            
 (Mod 10)]]</f>
        <v>0</v>
      </c>
      <c r="I144" s="124">
        <f>CavityStatus[[#This Row],[Delivery &amp; Acceptance]]</f>
        <v>40187.5</v>
      </c>
      <c r="J144" s="124">
        <f>CavityStatus[[#This Row],[Total]]</f>
        <v>40187.5</v>
      </c>
      <c r="K144" s="126" t="str">
        <f>IF(CavityStatus[[#This Row],[Accept Date]]&lt;&gt;0,CavityStatus[[#This Row],[Accept Date]],"")</f>
        <v/>
      </c>
    </row>
    <row r="145" spans="2:11" x14ac:dyDescent="0.2">
      <c r="B145" s="125" t="str">
        <f>IF(CavityStatus[[#This Row],[Unit '#]]&lt;&gt;0,CavityStatus[[#This Row],[Unit '#]],"")</f>
        <v/>
      </c>
      <c r="C145" s="122" t="str">
        <f>CavityStatus[[#This Row],[Serial '#]]</f>
        <v>CAV142</v>
      </c>
      <c r="D145" s="123" t="str">
        <f>IF(CavityStatus[[#This Row],[Actual Ship Date]]&lt;&gt;0,CavityStatus[[#This Row],[Actual Ship Date]],"")</f>
        <v/>
      </c>
      <c r="E145" s="124">
        <f>CavityStatus[[#This Row],[Incentive Earned]]</f>
        <v>0</v>
      </c>
      <c r="F145" s="129" t="str">
        <f>IF(CavityStatus[[#This Row],[Receipt Date]]&lt;&gt;0,CavityStatus[[#This Row],[Receipt Date]],"")</f>
        <v/>
      </c>
      <c r="G145" s="124">
        <f>CavityStatus[[#This Row],[Recipe Modification (Mod 9)]]</f>
        <v>0</v>
      </c>
      <c r="H145" s="124">
        <f>CavityStatus[[#This Row],[Caps            
 (Mod 10)]]</f>
        <v>0</v>
      </c>
      <c r="I145" s="124">
        <f>CavityStatus[[#This Row],[Delivery &amp; Acceptance]]</f>
        <v>40187.5</v>
      </c>
      <c r="J145" s="124">
        <f>CavityStatus[[#This Row],[Total]]</f>
        <v>40187.5</v>
      </c>
      <c r="K145" s="126" t="str">
        <f>IF(CavityStatus[[#This Row],[Accept Date]]&lt;&gt;0,CavityStatus[[#This Row],[Accept Date]],"")</f>
        <v/>
      </c>
    </row>
    <row r="146" spans="2:11" x14ac:dyDescent="0.2">
      <c r="B146" s="125" t="str">
        <f>IF(CavityStatus[[#This Row],[Unit '#]]&lt;&gt;0,CavityStatus[[#This Row],[Unit '#]],"")</f>
        <v/>
      </c>
      <c r="C146" s="122" t="str">
        <f>CavityStatus[[#This Row],[Serial '#]]</f>
        <v>CAV143</v>
      </c>
      <c r="D146" s="123" t="str">
        <f>IF(CavityStatus[[#This Row],[Actual Ship Date]]&lt;&gt;0,CavityStatus[[#This Row],[Actual Ship Date]],"")</f>
        <v/>
      </c>
      <c r="E146" s="124">
        <f>CavityStatus[[#This Row],[Incentive Earned]]</f>
        <v>0</v>
      </c>
      <c r="F146" s="129" t="str">
        <f>IF(CavityStatus[[#This Row],[Receipt Date]]&lt;&gt;0,CavityStatus[[#This Row],[Receipt Date]],"")</f>
        <v/>
      </c>
      <c r="G146" s="124">
        <f>CavityStatus[[#This Row],[Recipe Modification (Mod 9)]]</f>
        <v>0</v>
      </c>
      <c r="H146" s="124">
        <f>CavityStatus[[#This Row],[Caps            
 (Mod 10)]]</f>
        <v>0</v>
      </c>
      <c r="I146" s="124">
        <f>CavityStatus[[#This Row],[Delivery &amp; Acceptance]]</f>
        <v>40187.5</v>
      </c>
      <c r="J146" s="124">
        <f>CavityStatus[[#This Row],[Total]]</f>
        <v>40187.5</v>
      </c>
      <c r="K146" s="126" t="str">
        <f>IF(CavityStatus[[#This Row],[Accept Date]]&lt;&gt;0,CavityStatus[[#This Row],[Accept Date]],"")</f>
        <v/>
      </c>
    </row>
    <row r="147" spans="2:11" x14ac:dyDescent="0.2">
      <c r="B147" s="125" t="str">
        <f>IF(CavityStatus[[#This Row],[Unit '#]]&lt;&gt;0,CavityStatus[[#This Row],[Unit '#]],"")</f>
        <v/>
      </c>
      <c r="C147" s="122" t="str">
        <f>CavityStatus[[#This Row],[Serial '#]]</f>
        <v>CAV144</v>
      </c>
      <c r="D147" s="123" t="str">
        <f>IF(CavityStatus[[#This Row],[Actual Ship Date]]&lt;&gt;0,CavityStatus[[#This Row],[Actual Ship Date]],"")</f>
        <v/>
      </c>
      <c r="E147" s="124">
        <f>CavityStatus[[#This Row],[Incentive Earned]]</f>
        <v>0</v>
      </c>
      <c r="F147" s="129" t="str">
        <f>IF(CavityStatus[[#This Row],[Receipt Date]]&lt;&gt;0,CavityStatus[[#This Row],[Receipt Date]],"")</f>
        <v/>
      </c>
      <c r="G147" s="124">
        <f>CavityStatus[[#This Row],[Recipe Modification (Mod 9)]]</f>
        <v>0</v>
      </c>
      <c r="H147" s="124">
        <f>CavityStatus[[#This Row],[Caps            
 (Mod 10)]]</f>
        <v>0</v>
      </c>
      <c r="I147" s="124">
        <f>CavityStatus[[#This Row],[Delivery &amp; Acceptance]]</f>
        <v>40187.5</v>
      </c>
      <c r="J147" s="124">
        <f>CavityStatus[[#This Row],[Total]]</f>
        <v>40187.5</v>
      </c>
      <c r="K147" s="126" t="str">
        <f>IF(CavityStatus[[#This Row],[Accept Date]]&lt;&gt;0,CavityStatus[[#This Row],[Accept Date]],"")</f>
        <v/>
      </c>
    </row>
    <row r="148" spans="2:11" x14ac:dyDescent="0.2">
      <c r="B148" s="125" t="str">
        <f>IF(CavityStatus[[#This Row],[Unit '#]]&lt;&gt;0,CavityStatus[[#This Row],[Unit '#]],"")</f>
        <v/>
      </c>
      <c r="C148" s="122" t="str">
        <f>CavityStatus[[#This Row],[Serial '#]]</f>
        <v>CAV145</v>
      </c>
      <c r="D148" s="123" t="str">
        <f>IF(CavityStatus[[#This Row],[Actual Ship Date]]&lt;&gt;0,CavityStatus[[#This Row],[Actual Ship Date]],"")</f>
        <v/>
      </c>
      <c r="E148" s="124">
        <f>CavityStatus[[#This Row],[Incentive Earned]]</f>
        <v>0</v>
      </c>
      <c r="F148" s="129" t="str">
        <f>IF(CavityStatus[[#This Row],[Receipt Date]]&lt;&gt;0,CavityStatus[[#This Row],[Receipt Date]],"")</f>
        <v/>
      </c>
      <c r="G148" s="124">
        <f>CavityStatus[[#This Row],[Recipe Modification (Mod 9)]]</f>
        <v>0</v>
      </c>
      <c r="H148" s="124">
        <f>CavityStatus[[#This Row],[Caps            
 (Mod 10)]]</f>
        <v>0</v>
      </c>
      <c r="I148" s="124">
        <f>CavityStatus[[#This Row],[Delivery &amp; Acceptance]]</f>
        <v>40187.5</v>
      </c>
      <c r="J148" s="124">
        <f>CavityStatus[[#This Row],[Total]]</f>
        <v>40187.5</v>
      </c>
      <c r="K148" s="126" t="str">
        <f>IF(CavityStatus[[#This Row],[Accept Date]]&lt;&gt;0,CavityStatus[[#This Row],[Accept Date]],"")</f>
        <v/>
      </c>
    </row>
    <row r="149" spans="2:11" x14ac:dyDescent="0.2">
      <c r="B149" s="125" t="str">
        <f>IF(CavityStatus[[#This Row],[Unit '#]]&lt;&gt;0,CavityStatus[[#This Row],[Unit '#]],"")</f>
        <v/>
      </c>
      <c r="C149" s="122" t="str">
        <f>CavityStatus[[#This Row],[Serial '#]]</f>
        <v>CAV146</v>
      </c>
      <c r="D149" s="123" t="str">
        <f>IF(CavityStatus[[#This Row],[Actual Ship Date]]&lt;&gt;0,CavityStatus[[#This Row],[Actual Ship Date]],"")</f>
        <v/>
      </c>
      <c r="E149" s="124">
        <f>CavityStatus[[#This Row],[Incentive Earned]]</f>
        <v>0</v>
      </c>
      <c r="F149" s="129" t="str">
        <f>IF(CavityStatus[[#This Row],[Receipt Date]]&lt;&gt;0,CavityStatus[[#This Row],[Receipt Date]],"")</f>
        <v/>
      </c>
      <c r="G149" s="124">
        <f>CavityStatus[[#This Row],[Recipe Modification (Mod 9)]]</f>
        <v>0</v>
      </c>
      <c r="H149" s="124">
        <f>CavityStatus[[#This Row],[Caps            
 (Mod 10)]]</f>
        <v>0</v>
      </c>
      <c r="I149" s="124">
        <f>CavityStatus[[#This Row],[Delivery &amp; Acceptance]]</f>
        <v>40187.5</v>
      </c>
      <c r="J149" s="124">
        <f>CavityStatus[[#This Row],[Total]]</f>
        <v>40187.5</v>
      </c>
      <c r="K149" s="126" t="str">
        <f>IF(CavityStatus[[#This Row],[Accept Date]]&lt;&gt;0,CavityStatus[[#This Row],[Accept Date]],"")</f>
        <v/>
      </c>
    </row>
    <row r="150" spans="2:11" x14ac:dyDescent="0.2">
      <c r="B150" s="125" t="str">
        <f>IF(CavityStatus[[#This Row],[Unit '#]]&lt;&gt;0,CavityStatus[[#This Row],[Unit '#]],"")</f>
        <v/>
      </c>
      <c r="C150" s="122" t="str">
        <f>CavityStatus[[#This Row],[Serial '#]]</f>
        <v>CAV147</v>
      </c>
      <c r="D150" s="123" t="str">
        <f>IF(CavityStatus[[#This Row],[Actual Ship Date]]&lt;&gt;0,CavityStatus[[#This Row],[Actual Ship Date]],"")</f>
        <v/>
      </c>
      <c r="E150" s="124">
        <f>CavityStatus[[#This Row],[Incentive Earned]]</f>
        <v>0</v>
      </c>
      <c r="F150" s="129" t="str">
        <f>IF(CavityStatus[[#This Row],[Receipt Date]]&lt;&gt;0,CavityStatus[[#This Row],[Receipt Date]],"")</f>
        <v/>
      </c>
      <c r="G150" s="124">
        <f>CavityStatus[[#This Row],[Recipe Modification (Mod 9)]]</f>
        <v>0</v>
      </c>
      <c r="H150" s="124">
        <f>CavityStatus[[#This Row],[Caps            
 (Mod 10)]]</f>
        <v>0</v>
      </c>
      <c r="I150" s="124">
        <f>CavityStatus[[#This Row],[Delivery &amp; Acceptance]]</f>
        <v>40187.5</v>
      </c>
      <c r="J150" s="124">
        <f>CavityStatus[[#This Row],[Total]]</f>
        <v>40187.5</v>
      </c>
      <c r="K150" s="126" t="str">
        <f>IF(CavityStatus[[#This Row],[Accept Date]]&lt;&gt;0,CavityStatus[[#This Row],[Accept Date]],"")</f>
        <v/>
      </c>
    </row>
    <row r="151" spans="2:11" x14ac:dyDescent="0.2">
      <c r="B151" s="125" t="str">
        <f>IF(CavityStatus[[#This Row],[Unit '#]]&lt;&gt;0,CavityStatus[[#This Row],[Unit '#]],"")</f>
        <v/>
      </c>
      <c r="C151" s="122" t="str">
        <f>CavityStatus[[#This Row],[Serial '#]]</f>
        <v>CAV148</v>
      </c>
      <c r="D151" s="123" t="str">
        <f>IF(CavityStatus[[#This Row],[Actual Ship Date]]&lt;&gt;0,CavityStatus[[#This Row],[Actual Ship Date]],"")</f>
        <v/>
      </c>
      <c r="E151" s="124">
        <f>CavityStatus[[#This Row],[Incentive Earned]]</f>
        <v>0</v>
      </c>
      <c r="F151" s="129" t="str">
        <f>IF(CavityStatus[[#This Row],[Receipt Date]]&lt;&gt;0,CavityStatus[[#This Row],[Receipt Date]],"")</f>
        <v/>
      </c>
      <c r="G151" s="124">
        <f>CavityStatus[[#This Row],[Recipe Modification (Mod 9)]]</f>
        <v>0</v>
      </c>
      <c r="H151" s="124">
        <f>CavityStatus[[#This Row],[Caps            
 (Mod 10)]]</f>
        <v>0</v>
      </c>
      <c r="I151" s="124">
        <f>CavityStatus[[#This Row],[Delivery &amp; Acceptance]]</f>
        <v>40187.5</v>
      </c>
      <c r="J151" s="124">
        <f>CavityStatus[[#This Row],[Total]]</f>
        <v>40187.5</v>
      </c>
      <c r="K151" s="126" t="str">
        <f>IF(CavityStatus[[#This Row],[Accept Date]]&lt;&gt;0,CavityStatus[[#This Row],[Accept Date]],"")</f>
        <v/>
      </c>
    </row>
    <row r="152" spans="2:11" x14ac:dyDescent="0.2">
      <c r="B152" s="125" t="str">
        <f>IF(CavityStatus[[#This Row],[Unit '#]]&lt;&gt;0,CavityStatus[[#This Row],[Unit '#]],"")</f>
        <v/>
      </c>
      <c r="C152" s="122" t="str">
        <f>CavityStatus[[#This Row],[Serial '#]]</f>
        <v>CAV149</v>
      </c>
      <c r="D152" s="123" t="str">
        <f>IF(CavityStatus[[#This Row],[Actual Ship Date]]&lt;&gt;0,CavityStatus[[#This Row],[Actual Ship Date]],"")</f>
        <v/>
      </c>
      <c r="E152" s="124">
        <f>CavityStatus[[#This Row],[Incentive Earned]]</f>
        <v>0</v>
      </c>
      <c r="F152" s="129" t="str">
        <f>IF(CavityStatus[[#This Row],[Receipt Date]]&lt;&gt;0,CavityStatus[[#This Row],[Receipt Date]],"")</f>
        <v/>
      </c>
      <c r="G152" s="124">
        <f>CavityStatus[[#This Row],[Recipe Modification (Mod 9)]]</f>
        <v>0</v>
      </c>
      <c r="H152" s="124">
        <f>CavityStatus[[#This Row],[Caps            
 (Mod 10)]]</f>
        <v>0</v>
      </c>
      <c r="I152" s="124">
        <f>CavityStatus[[#This Row],[Delivery &amp; Acceptance]]</f>
        <v>40187.5</v>
      </c>
      <c r="J152" s="124">
        <f>CavityStatus[[#This Row],[Total]]</f>
        <v>40187.5</v>
      </c>
      <c r="K152" s="126" t="str">
        <f>IF(CavityStatus[[#This Row],[Accept Date]]&lt;&gt;0,CavityStatus[[#This Row],[Accept Date]],"")</f>
        <v/>
      </c>
    </row>
    <row r="153" spans="2:11" x14ac:dyDescent="0.2">
      <c r="B153" s="125" t="str">
        <f>IF(CavityStatus[[#This Row],[Unit '#]]&lt;&gt;0,CavityStatus[[#This Row],[Unit '#]],"")</f>
        <v/>
      </c>
      <c r="C153" s="122" t="str">
        <f>CavityStatus[[#This Row],[Serial '#]]</f>
        <v>CAV150</v>
      </c>
      <c r="D153" s="123" t="str">
        <f>IF(CavityStatus[[#This Row],[Actual Ship Date]]&lt;&gt;0,CavityStatus[[#This Row],[Actual Ship Date]],"")</f>
        <v/>
      </c>
      <c r="E153" s="124">
        <f>CavityStatus[[#This Row],[Incentive Earned]]</f>
        <v>0</v>
      </c>
      <c r="F153" s="129" t="str">
        <f>IF(CavityStatus[[#This Row],[Receipt Date]]&lt;&gt;0,CavityStatus[[#This Row],[Receipt Date]],"")</f>
        <v/>
      </c>
      <c r="G153" s="124">
        <f>CavityStatus[[#This Row],[Recipe Modification (Mod 9)]]</f>
        <v>0</v>
      </c>
      <c r="H153" s="124">
        <f>CavityStatus[[#This Row],[Caps            
 (Mod 10)]]</f>
        <v>0</v>
      </c>
      <c r="I153" s="124">
        <f>CavityStatus[[#This Row],[Delivery &amp; Acceptance]]</f>
        <v>40187.5</v>
      </c>
      <c r="J153" s="124">
        <f>CavityStatus[[#This Row],[Total]]</f>
        <v>40187.5</v>
      </c>
      <c r="K153" s="126" t="str">
        <f>IF(CavityStatus[[#This Row],[Accept Date]]&lt;&gt;0,CavityStatus[[#This Row],[Accept Date]],"")</f>
        <v/>
      </c>
    </row>
    <row r="154" spans="2:11" x14ac:dyDescent="0.2">
      <c r="B154" s="125" t="str">
        <f>IF(CavityStatus[[#This Row],[Unit '#]]&lt;&gt;0,CavityStatus[[#This Row],[Unit '#]],"")</f>
        <v/>
      </c>
      <c r="C154" s="122" t="str">
        <f>CavityStatus[[#This Row],[Serial '#]]</f>
        <v>CAV150</v>
      </c>
      <c r="D154" s="123" t="str">
        <f>IF(CavityStatus[[#This Row],[Actual Ship Date]]&lt;&gt;0,CavityStatus[[#This Row],[Actual Ship Date]],"")</f>
        <v/>
      </c>
      <c r="E154" s="124">
        <f>CavityStatus[[#This Row],[Incentive Earned]]</f>
        <v>0</v>
      </c>
      <c r="F154" s="129" t="str">
        <f>IF(CavityStatus[[#This Row],[Receipt Date]]&lt;&gt;0,CavityStatus[[#This Row],[Receipt Date]],"")</f>
        <v/>
      </c>
      <c r="G154" s="124">
        <f>CavityStatus[[#This Row],[Recipe Modification (Mod 9)]]</f>
        <v>0</v>
      </c>
      <c r="H154" s="124">
        <f>CavityStatus[[#This Row],[Caps            
 (Mod 10)]]</f>
        <v>0</v>
      </c>
      <c r="I154" s="124">
        <f>CavityStatus[[#This Row],[Delivery &amp; Acceptance]]</f>
        <v>40187.5</v>
      </c>
      <c r="J154" s="124">
        <f>CavityStatus[[#This Row],[Total]]</f>
        <v>40187.5</v>
      </c>
      <c r="K154" s="126" t="str">
        <f>IF(CavityStatus[[#This Row],[Accept Date]]&lt;&gt;0,CavityStatus[[#This Row],[Accept Date]],"")</f>
        <v/>
      </c>
    </row>
    <row r="155" spans="2:11" x14ac:dyDescent="0.2">
      <c r="B155" s="125" t="str">
        <f>IF(CavityStatus[[#This Row],[Unit '#]]&lt;&gt;0,CavityStatus[[#This Row],[Unit '#]],"")</f>
        <v/>
      </c>
      <c r="C155" s="122" t="str">
        <f>CavityStatus[[#This Row],[Serial '#]]</f>
        <v>CAV151</v>
      </c>
      <c r="D155" s="123" t="str">
        <f>IF(CavityStatus[[#This Row],[Actual Ship Date]]&lt;&gt;0,CavityStatus[[#This Row],[Actual Ship Date]],"")</f>
        <v/>
      </c>
      <c r="E155" s="124">
        <f>CavityStatus[[#This Row],[Incentive Earned]]</f>
        <v>0</v>
      </c>
      <c r="F155" s="129" t="str">
        <f>IF(CavityStatus[[#This Row],[Receipt Date]]&lt;&gt;0,CavityStatus[[#This Row],[Receipt Date]],"")</f>
        <v/>
      </c>
      <c r="G155" s="124">
        <f>CavityStatus[[#This Row],[Recipe Modification (Mod 9)]]</f>
        <v>0</v>
      </c>
      <c r="H155" s="124">
        <f>CavityStatus[[#This Row],[Caps            
 (Mod 10)]]</f>
        <v>0</v>
      </c>
      <c r="I155" s="124">
        <f>CavityStatus[[#This Row],[Delivery &amp; Acceptance]]</f>
        <v>40187.5</v>
      </c>
      <c r="J155" s="124">
        <f>CavityStatus[[#This Row],[Total]]</f>
        <v>40187.5</v>
      </c>
      <c r="K155" s="126" t="str">
        <f>IF(CavityStatus[[#This Row],[Accept Date]]&lt;&gt;0,CavityStatus[[#This Row],[Accept Date]],"")</f>
        <v/>
      </c>
    </row>
    <row r="156" spans="2:11" x14ac:dyDescent="0.2">
      <c r="B156" s="125" t="str">
        <f>IF(CavityStatus[[#This Row],[Unit '#]]&lt;&gt;0,CavityStatus[[#This Row],[Unit '#]],"")</f>
        <v/>
      </c>
      <c r="C156" s="122" t="str">
        <f>CavityStatus[[#This Row],[Serial '#]]</f>
        <v>CAV151</v>
      </c>
      <c r="D156" s="123" t="str">
        <f>IF(CavityStatus[[#This Row],[Actual Ship Date]]&lt;&gt;0,CavityStatus[[#This Row],[Actual Ship Date]],"")</f>
        <v/>
      </c>
      <c r="E156" s="124">
        <f>CavityStatus[[#This Row],[Incentive Earned]]</f>
        <v>0</v>
      </c>
      <c r="F156" s="129" t="str">
        <f>IF(CavityStatus[[#This Row],[Receipt Date]]&lt;&gt;0,CavityStatus[[#This Row],[Receipt Date]],"")</f>
        <v/>
      </c>
      <c r="G156" s="124">
        <f>CavityStatus[[#This Row],[Recipe Modification (Mod 9)]]</f>
        <v>0</v>
      </c>
      <c r="H156" s="124">
        <f>CavityStatus[[#This Row],[Caps            
 (Mod 10)]]</f>
        <v>0</v>
      </c>
      <c r="I156" s="124">
        <f>CavityStatus[[#This Row],[Delivery &amp; Acceptance]]</f>
        <v>40187.5</v>
      </c>
      <c r="J156" s="124">
        <f>CavityStatus[[#This Row],[Total]]</f>
        <v>40187.5</v>
      </c>
      <c r="K156" s="126" t="str">
        <f>IF(CavityStatus[[#This Row],[Accept Date]]&lt;&gt;0,CavityStatus[[#This Row],[Accept Date]],"")</f>
        <v/>
      </c>
    </row>
    <row r="157" spans="2:11" x14ac:dyDescent="0.2">
      <c r="B157" s="125" t="str">
        <f>IF(CavityStatus[[#This Row],[Unit '#]]&lt;&gt;0,CavityStatus[[#This Row],[Unit '#]],"")</f>
        <v/>
      </c>
      <c r="C157" s="122" t="str">
        <f>CavityStatus[[#This Row],[Serial '#]]</f>
        <v>CAV152</v>
      </c>
      <c r="D157" s="123" t="str">
        <f>IF(CavityStatus[[#This Row],[Actual Ship Date]]&lt;&gt;0,CavityStatus[[#This Row],[Actual Ship Date]],"")</f>
        <v/>
      </c>
      <c r="E157" s="124">
        <f>CavityStatus[[#This Row],[Incentive Earned]]</f>
        <v>0</v>
      </c>
      <c r="F157" s="129" t="str">
        <f>IF(CavityStatus[[#This Row],[Receipt Date]]&lt;&gt;0,CavityStatus[[#This Row],[Receipt Date]],"")</f>
        <v/>
      </c>
      <c r="G157" s="124">
        <f>CavityStatus[[#This Row],[Recipe Modification (Mod 9)]]</f>
        <v>0</v>
      </c>
      <c r="H157" s="124">
        <f>CavityStatus[[#This Row],[Caps            
 (Mod 10)]]</f>
        <v>0</v>
      </c>
      <c r="I157" s="124">
        <f>CavityStatus[[#This Row],[Delivery &amp; Acceptance]]</f>
        <v>40187.5</v>
      </c>
      <c r="J157" s="124">
        <f>CavityStatus[[#This Row],[Total]]</f>
        <v>40187.5</v>
      </c>
      <c r="K157" s="126" t="str">
        <f>IF(CavityStatus[[#This Row],[Accept Date]]&lt;&gt;0,CavityStatus[[#This Row],[Accept Date]],"")</f>
        <v/>
      </c>
    </row>
    <row r="158" spans="2:11" x14ac:dyDescent="0.2">
      <c r="B158" s="125" t="str">
        <f>IF(CavityStatus[[#This Row],[Unit '#]]&lt;&gt;0,CavityStatus[[#This Row],[Unit '#]],"")</f>
        <v/>
      </c>
      <c r="C158" s="122" t="str">
        <f>CavityStatus[[#This Row],[Serial '#]]</f>
        <v>CAV152</v>
      </c>
      <c r="D158" s="123" t="str">
        <f>IF(CavityStatus[[#This Row],[Actual Ship Date]]&lt;&gt;0,CavityStatus[[#This Row],[Actual Ship Date]],"")</f>
        <v/>
      </c>
      <c r="E158" s="124">
        <f>CavityStatus[[#This Row],[Incentive Earned]]</f>
        <v>0</v>
      </c>
      <c r="F158" s="129" t="str">
        <f>IF(CavityStatus[[#This Row],[Receipt Date]]&lt;&gt;0,CavityStatus[[#This Row],[Receipt Date]],"")</f>
        <v/>
      </c>
      <c r="G158" s="124">
        <f>CavityStatus[[#This Row],[Recipe Modification (Mod 9)]]</f>
        <v>0</v>
      </c>
      <c r="H158" s="124">
        <f>CavityStatus[[#This Row],[Caps            
 (Mod 10)]]</f>
        <v>0</v>
      </c>
      <c r="I158" s="124">
        <f>CavityStatus[[#This Row],[Delivery &amp; Acceptance]]</f>
        <v>40187.5</v>
      </c>
      <c r="J158" s="124">
        <f>CavityStatus[[#This Row],[Total]]</f>
        <v>40187.5</v>
      </c>
      <c r="K158" s="126" t="str">
        <f>IF(CavityStatus[[#This Row],[Accept Date]]&lt;&gt;0,CavityStatus[[#This Row],[Accept Date]],"")</f>
        <v/>
      </c>
    </row>
    <row r="159" spans="2:11" x14ac:dyDescent="0.2">
      <c r="B159" s="125" t="str">
        <f>IF(CavityStatus[[#This Row],[Unit '#]]&lt;&gt;0,CavityStatus[[#This Row],[Unit '#]],"")</f>
        <v/>
      </c>
      <c r="C159" s="122" t="str">
        <f>CavityStatus[[#This Row],[Serial '#]]</f>
        <v>CAV153</v>
      </c>
      <c r="D159" s="123" t="str">
        <f>IF(CavityStatus[[#This Row],[Actual Ship Date]]&lt;&gt;0,CavityStatus[[#This Row],[Actual Ship Date]],"")</f>
        <v/>
      </c>
      <c r="E159" s="124">
        <f>CavityStatus[[#This Row],[Incentive Earned]]</f>
        <v>0</v>
      </c>
      <c r="F159" s="129" t="str">
        <f>IF(CavityStatus[[#This Row],[Receipt Date]]&lt;&gt;0,CavityStatus[[#This Row],[Receipt Date]],"")</f>
        <v/>
      </c>
      <c r="G159" s="124">
        <f>CavityStatus[[#This Row],[Recipe Modification (Mod 9)]]</f>
        <v>0</v>
      </c>
      <c r="H159" s="124">
        <f>CavityStatus[[#This Row],[Caps            
 (Mod 10)]]</f>
        <v>0</v>
      </c>
      <c r="I159" s="124">
        <f>CavityStatus[[#This Row],[Delivery &amp; Acceptance]]</f>
        <v>40187.5</v>
      </c>
      <c r="J159" s="124">
        <f>CavityStatus[[#This Row],[Total]]</f>
        <v>40187.5</v>
      </c>
      <c r="K159" s="126" t="str">
        <f>IF(CavityStatus[[#This Row],[Accept Date]]&lt;&gt;0,CavityStatus[[#This Row],[Accept Date]],"")</f>
        <v/>
      </c>
    </row>
    <row r="160" spans="2:11" x14ac:dyDescent="0.2">
      <c r="B160" s="125" t="str">
        <f>IF(CavityStatus[[#This Row],[Unit '#]]&lt;&gt;0,CavityStatus[[#This Row],[Unit '#]],"")</f>
        <v/>
      </c>
      <c r="C160" s="122" t="str">
        <f>CavityStatus[[#This Row],[Serial '#]]</f>
        <v>CAV153</v>
      </c>
      <c r="D160" s="123" t="str">
        <f>IF(CavityStatus[[#This Row],[Actual Ship Date]]&lt;&gt;0,CavityStatus[[#This Row],[Actual Ship Date]],"")</f>
        <v/>
      </c>
      <c r="E160" s="124">
        <f>CavityStatus[[#This Row],[Incentive Earned]]</f>
        <v>0</v>
      </c>
      <c r="F160" s="129" t="str">
        <f>IF(CavityStatus[[#This Row],[Receipt Date]]&lt;&gt;0,CavityStatus[[#This Row],[Receipt Date]],"")</f>
        <v/>
      </c>
      <c r="G160" s="124">
        <f>CavityStatus[[#This Row],[Recipe Modification (Mod 9)]]</f>
        <v>0</v>
      </c>
      <c r="H160" s="124">
        <f>CavityStatus[[#This Row],[Caps            
 (Mod 10)]]</f>
        <v>0</v>
      </c>
      <c r="I160" s="124">
        <f>CavityStatus[[#This Row],[Delivery &amp; Acceptance]]</f>
        <v>40187.5</v>
      </c>
      <c r="J160" s="124">
        <f>CavityStatus[[#This Row],[Total]]</f>
        <v>40187.5</v>
      </c>
      <c r="K160" s="126" t="str">
        <f>IF(CavityStatus[[#This Row],[Accept Date]]&lt;&gt;0,CavityStatus[[#This Row],[Accept Date]],"")</f>
        <v/>
      </c>
    </row>
    <row r="161" spans="2:11" x14ac:dyDescent="0.2">
      <c r="B161" s="125" t="str">
        <f>IF(CavityStatus[[#This Row],[Unit '#]]&lt;&gt;0,CavityStatus[[#This Row],[Unit '#]],"")</f>
        <v/>
      </c>
      <c r="C161" s="122" t="str">
        <f>CavityStatus[[#This Row],[Serial '#]]</f>
        <v>CAV154</v>
      </c>
      <c r="D161" s="123" t="str">
        <f>IF(CavityStatus[[#This Row],[Actual Ship Date]]&lt;&gt;0,CavityStatus[[#This Row],[Actual Ship Date]],"")</f>
        <v/>
      </c>
      <c r="E161" s="124">
        <f>CavityStatus[[#This Row],[Incentive Earned]]</f>
        <v>0</v>
      </c>
      <c r="F161" s="129" t="str">
        <f>IF(CavityStatus[[#This Row],[Receipt Date]]&lt;&gt;0,CavityStatus[[#This Row],[Receipt Date]],"")</f>
        <v/>
      </c>
      <c r="G161" s="124">
        <f>CavityStatus[[#This Row],[Recipe Modification (Mod 9)]]</f>
        <v>0</v>
      </c>
      <c r="H161" s="124">
        <f>CavityStatus[[#This Row],[Caps            
 (Mod 10)]]</f>
        <v>0</v>
      </c>
      <c r="I161" s="124">
        <f>CavityStatus[[#This Row],[Delivery &amp; Acceptance]]</f>
        <v>40187.5</v>
      </c>
      <c r="J161" s="124">
        <f>CavityStatus[[#This Row],[Total]]</f>
        <v>40187.5</v>
      </c>
      <c r="K161" s="126" t="str">
        <f>IF(CavityStatus[[#This Row],[Accept Date]]&lt;&gt;0,CavityStatus[[#This Row],[Accept Date]],"")</f>
        <v/>
      </c>
    </row>
    <row r="162" spans="2:11" x14ac:dyDescent="0.2">
      <c r="B162" s="125" t="str">
        <f>IF(CavityStatus[[#This Row],[Unit '#]]&lt;&gt;0,CavityStatus[[#This Row],[Unit '#]],"")</f>
        <v/>
      </c>
      <c r="C162" s="122" t="str">
        <f>CavityStatus[[#This Row],[Serial '#]]</f>
        <v>CAV154</v>
      </c>
      <c r="D162" s="123" t="str">
        <f>IF(CavityStatus[[#This Row],[Actual Ship Date]]&lt;&gt;0,CavityStatus[[#This Row],[Actual Ship Date]],"")</f>
        <v/>
      </c>
      <c r="E162" s="124">
        <f>CavityStatus[[#This Row],[Incentive Earned]]</f>
        <v>0</v>
      </c>
      <c r="F162" s="129" t="str">
        <f>IF(CavityStatus[[#This Row],[Receipt Date]]&lt;&gt;0,CavityStatus[[#This Row],[Receipt Date]],"")</f>
        <v/>
      </c>
      <c r="G162" s="124">
        <f>CavityStatus[[#This Row],[Recipe Modification (Mod 9)]]</f>
        <v>0</v>
      </c>
      <c r="H162" s="124">
        <f>CavityStatus[[#This Row],[Caps            
 (Mod 10)]]</f>
        <v>0</v>
      </c>
      <c r="I162" s="124">
        <f>CavityStatus[[#This Row],[Delivery &amp; Acceptance]]</f>
        <v>40187.5</v>
      </c>
      <c r="J162" s="124">
        <f>CavityStatus[[#This Row],[Total]]</f>
        <v>40187.5</v>
      </c>
      <c r="K162" s="126" t="str">
        <f>IF(CavityStatus[[#This Row],[Accept Date]]&lt;&gt;0,CavityStatus[[#This Row],[Accept Date]],"")</f>
        <v/>
      </c>
    </row>
    <row r="163" spans="2:11" x14ac:dyDescent="0.2">
      <c r="B163" s="125" t="str">
        <f>IF(CavityStatus[[#This Row],[Unit '#]]&lt;&gt;0,CavityStatus[[#This Row],[Unit '#]],"")</f>
        <v/>
      </c>
      <c r="C163" s="122" t="str">
        <f>CavityStatus[[#This Row],[Serial '#]]</f>
        <v>CAV155</v>
      </c>
      <c r="D163" s="123" t="str">
        <f>IF(CavityStatus[[#This Row],[Actual Ship Date]]&lt;&gt;0,CavityStatus[[#This Row],[Actual Ship Date]],"")</f>
        <v/>
      </c>
      <c r="E163" s="124">
        <f>CavityStatus[[#This Row],[Incentive Earned]]</f>
        <v>0</v>
      </c>
      <c r="F163" s="129" t="str">
        <f>IF(CavityStatus[[#This Row],[Receipt Date]]&lt;&gt;0,CavityStatus[[#This Row],[Receipt Date]],"")</f>
        <v/>
      </c>
      <c r="G163" s="124">
        <f>CavityStatus[[#This Row],[Recipe Modification (Mod 9)]]</f>
        <v>0</v>
      </c>
      <c r="H163" s="124">
        <f>CavityStatus[[#This Row],[Caps            
 (Mod 10)]]</f>
        <v>0</v>
      </c>
      <c r="I163" s="124">
        <f>CavityStatus[[#This Row],[Delivery &amp; Acceptance]]</f>
        <v>40187.5</v>
      </c>
      <c r="J163" s="124">
        <f>CavityStatus[[#This Row],[Total]]</f>
        <v>40187.5</v>
      </c>
      <c r="K163" s="126" t="str">
        <f>IF(CavityStatus[[#This Row],[Accept Date]]&lt;&gt;0,CavityStatus[[#This Row],[Accept Date]],"")</f>
        <v/>
      </c>
    </row>
    <row r="164" spans="2:11" x14ac:dyDescent="0.2">
      <c r="B164" s="125" t="str">
        <f>IF(CavityStatus[[#This Row],[Unit '#]]&lt;&gt;0,CavityStatus[[#This Row],[Unit '#]],"")</f>
        <v/>
      </c>
      <c r="C164" s="122" t="str">
        <f>CavityStatus[[#This Row],[Serial '#]]</f>
        <v>CAV155</v>
      </c>
      <c r="D164" s="123" t="str">
        <f>IF(CavityStatus[[#This Row],[Actual Ship Date]]&lt;&gt;0,CavityStatus[[#This Row],[Actual Ship Date]],"")</f>
        <v/>
      </c>
      <c r="E164" s="124">
        <f>CavityStatus[[#This Row],[Incentive Earned]]</f>
        <v>0</v>
      </c>
      <c r="F164" s="129" t="str">
        <f>IF(CavityStatus[[#This Row],[Receipt Date]]&lt;&gt;0,CavityStatus[[#This Row],[Receipt Date]],"")</f>
        <v/>
      </c>
      <c r="G164" s="124">
        <f>CavityStatus[[#This Row],[Recipe Modification (Mod 9)]]</f>
        <v>0</v>
      </c>
      <c r="H164" s="124">
        <f>CavityStatus[[#This Row],[Caps            
 (Mod 10)]]</f>
        <v>0</v>
      </c>
      <c r="I164" s="124">
        <f>CavityStatus[[#This Row],[Delivery &amp; Acceptance]]</f>
        <v>40187.5</v>
      </c>
      <c r="J164" s="124">
        <f>CavityStatus[[#This Row],[Total]]</f>
        <v>40187.5</v>
      </c>
      <c r="K164" s="126" t="str">
        <f>IF(CavityStatus[[#This Row],[Accept Date]]&lt;&gt;0,CavityStatus[[#This Row],[Accept Date]],"")</f>
        <v/>
      </c>
    </row>
    <row r="165" spans="2:11" x14ac:dyDescent="0.2">
      <c r="B165" s="125" t="str">
        <f>IF(CavityStatus[[#This Row],[Unit '#]]&lt;&gt;0,CavityStatus[[#This Row],[Unit '#]],"")</f>
        <v/>
      </c>
      <c r="C165" s="122" t="str">
        <f>CavityStatus[[#This Row],[Serial '#]]</f>
        <v>CAV156</v>
      </c>
      <c r="D165" s="123" t="str">
        <f>IF(CavityStatus[[#This Row],[Actual Ship Date]]&lt;&gt;0,CavityStatus[[#This Row],[Actual Ship Date]],"")</f>
        <v/>
      </c>
      <c r="E165" s="124">
        <f>CavityStatus[[#This Row],[Incentive Earned]]</f>
        <v>0</v>
      </c>
      <c r="F165" s="129" t="str">
        <f>IF(CavityStatus[[#This Row],[Receipt Date]]&lt;&gt;0,CavityStatus[[#This Row],[Receipt Date]],"")</f>
        <v/>
      </c>
      <c r="G165" s="124">
        <f>CavityStatus[[#This Row],[Recipe Modification (Mod 9)]]</f>
        <v>0</v>
      </c>
      <c r="H165" s="124">
        <f>CavityStatus[[#This Row],[Caps            
 (Mod 10)]]</f>
        <v>0</v>
      </c>
      <c r="I165" s="124">
        <f>CavityStatus[[#This Row],[Delivery &amp; Acceptance]]</f>
        <v>40187.5</v>
      </c>
      <c r="J165" s="124">
        <f>CavityStatus[[#This Row],[Total]]</f>
        <v>40187.5</v>
      </c>
      <c r="K165" s="126" t="str">
        <f>IF(CavityStatus[[#This Row],[Accept Date]]&lt;&gt;0,CavityStatus[[#This Row],[Accept Date]],"")</f>
        <v/>
      </c>
    </row>
    <row r="166" spans="2:11" x14ac:dyDescent="0.2">
      <c r="B166" s="125" t="str">
        <f>IF(CavityStatus[[#This Row],[Unit '#]]&lt;&gt;0,CavityStatus[[#This Row],[Unit '#]],"")</f>
        <v/>
      </c>
      <c r="C166" s="122" t="str">
        <f>CavityStatus[[#This Row],[Serial '#]]</f>
        <v>CAV156</v>
      </c>
      <c r="D166" s="123" t="str">
        <f>IF(CavityStatus[[#This Row],[Actual Ship Date]]&lt;&gt;0,CavityStatus[[#This Row],[Actual Ship Date]],"")</f>
        <v/>
      </c>
      <c r="E166" s="124">
        <f>CavityStatus[[#This Row],[Incentive Earned]]</f>
        <v>0</v>
      </c>
      <c r="F166" s="129" t="str">
        <f>IF(CavityStatus[[#This Row],[Receipt Date]]&lt;&gt;0,CavityStatus[[#This Row],[Receipt Date]],"")</f>
        <v/>
      </c>
      <c r="G166" s="124">
        <f>CavityStatus[[#This Row],[Recipe Modification (Mod 9)]]</f>
        <v>0</v>
      </c>
      <c r="H166" s="124">
        <f>CavityStatus[[#This Row],[Caps            
 (Mod 10)]]</f>
        <v>0</v>
      </c>
      <c r="I166" s="124">
        <f>CavityStatus[[#This Row],[Delivery &amp; Acceptance]]</f>
        <v>40187.5</v>
      </c>
      <c r="J166" s="124">
        <f>CavityStatus[[#This Row],[Total]]</f>
        <v>40187.5</v>
      </c>
      <c r="K166" s="126" t="str">
        <f>IF(CavityStatus[[#This Row],[Accept Date]]&lt;&gt;0,CavityStatus[[#This Row],[Accept Date]],"")</f>
        <v/>
      </c>
    </row>
    <row r="167" spans="2:11" x14ac:dyDescent="0.2">
      <c r="B167" s="125" t="str">
        <f>IF(CavityStatus[[#This Row],[Unit '#]]&lt;&gt;0,CavityStatus[[#This Row],[Unit '#]],"")</f>
        <v/>
      </c>
      <c r="C167" s="122" t="str">
        <f>CavityStatus[[#This Row],[Serial '#]]</f>
        <v>CAV157</v>
      </c>
      <c r="D167" s="123" t="str">
        <f>IF(CavityStatus[[#This Row],[Actual Ship Date]]&lt;&gt;0,CavityStatus[[#This Row],[Actual Ship Date]],"")</f>
        <v/>
      </c>
      <c r="E167" s="124">
        <f>CavityStatus[[#This Row],[Incentive Earned]]</f>
        <v>0</v>
      </c>
      <c r="F167" s="129" t="str">
        <f>IF(CavityStatus[[#This Row],[Receipt Date]]&lt;&gt;0,CavityStatus[[#This Row],[Receipt Date]],"")</f>
        <v/>
      </c>
      <c r="G167" s="124">
        <f>CavityStatus[[#This Row],[Recipe Modification (Mod 9)]]</f>
        <v>0</v>
      </c>
      <c r="H167" s="124">
        <f>CavityStatus[[#This Row],[Caps            
 (Mod 10)]]</f>
        <v>0</v>
      </c>
      <c r="I167" s="124">
        <f>CavityStatus[[#This Row],[Delivery &amp; Acceptance]]</f>
        <v>40187.5</v>
      </c>
      <c r="J167" s="124">
        <f>CavityStatus[[#This Row],[Total]]</f>
        <v>40187.5</v>
      </c>
      <c r="K167" s="126" t="str">
        <f>IF(CavityStatus[[#This Row],[Accept Date]]&lt;&gt;0,CavityStatus[[#This Row],[Accept Date]],"")</f>
        <v/>
      </c>
    </row>
    <row r="168" spans="2:11" x14ac:dyDescent="0.2">
      <c r="B168" s="125" t="str">
        <f>IF(CavityStatus[[#This Row],[Unit '#]]&lt;&gt;0,CavityStatus[[#This Row],[Unit '#]],"")</f>
        <v/>
      </c>
      <c r="C168" s="122" t="str">
        <f>CavityStatus[[#This Row],[Serial '#]]</f>
        <v>CAV157</v>
      </c>
      <c r="D168" s="123" t="str">
        <f>IF(CavityStatus[[#This Row],[Actual Ship Date]]&lt;&gt;0,CavityStatus[[#This Row],[Actual Ship Date]],"")</f>
        <v/>
      </c>
      <c r="E168" s="124">
        <f>CavityStatus[[#This Row],[Incentive Earned]]</f>
        <v>0</v>
      </c>
      <c r="F168" s="129" t="str">
        <f>IF(CavityStatus[[#This Row],[Receipt Date]]&lt;&gt;0,CavityStatus[[#This Row],[Receipt Date]],"")</f>
        <v/>
      </c>
      <c r="G168" s="124">
        <f>CavityStatus[[#This Row],[Recipe Modification (Mod 9)]]</f>
        <v>0</v>
      </c>
      <c r="H168" s="124">
        <f>CavityStatus[[#This Row],[Caps            
 (Mod 10)]]</f>
        <v>0</v>
      </c>
      <c r="I168" s="124">
        <f>CavityStatus[[#This Row],[Delivery &amp; Acceptance]]</f>
        <v>40187.5</v>
      </c>
      <c r="J168" s="124">
        <f>CavityStatus[[#This Row],[Total]]</f>
        <v>40187.5</v>
      </c>
      <c r="K168" s="126" t="str">
        <f>IF(CavityStatus[[#This Row],[Accept Date]]&lt;&gt;0,CavityStatus[[#This Row],[Accept Date]],"")</f>
        <v/>
      </c>
    </row>
    <row r="169" spans="2:11" x14ac:dyDescent="0.2">
      <c r="B169" s="125" t="str">
        <f>IF(CavityStatus[[#This Row],[Unit '#]]&lt;&gt;0,CavityStatus[[#This Row],[Unit '#]],"")</f>
        <v/>
      </c>
      <c r="C169" s="122" t="str">
        <f>CavityStatus[[#This Row],[Serial '#]]</f>
        <v>CAV158</v>
      </c>
      <c r="D169" s="123" t="str">
        <f>IF(CavityStatus[[#This Row],[Actual Ship Date]]&lt;&gt;0,CavityStatus[[#This Row],[Actual Ship Date]],"")</f>
        <v/>
      </c>
      <c r="E169" s="124">
        <f>CavityStatus[[#This Row],[Incentive Earned]]</f>
        <v>0</v>
      </c>
      <c r="F169" s="129" t="str">
        <f>IF(CavityStatus[[#This Row],[Receipt Date]]&lt;&gt;0,CavityStatus[[#This Row],[Receipt Date]],"")</f>
        <v/>
      </c>
      <c r="G169" s="124">
        <f>CavityStatus[[#This Row],[Recipe Modification (Mod 9)]]</f>
        <v>0</v>
      </c>
      <c r="H169" s="124">
        <f>CavityStatus[[#This Row],[Caps            
 (Mod 10)]]</f>
        <v>0</v>
      </c>
      <c r="I169" s="124">
        <f>CavityStatus[[#This Row],[Delivery &amp; Acceptance]]</f>
        <v>40187.5</v>
      </c>
      <c r="J169" s="124">
        <f>CavityStatus[[#This Row],[Total]]</f>
        <v>40187.5</v>
      </c>
      <c r="K169" s="126" t="str">
        <f>IF(CavityStatus[[#This Row],[Accept Date]]&lt;&gt;0,CavityStatus[[#This Row],[Accept Date]],"")</f>
        <v/>
      </c>
    </row>
    <row r="170" spans="2:11" x14ac:dyDescent="0.2">
      <c r="B170" s="125" t="str">
        <f>IF(CavityStatus[[#This Row],[Unit '#]]&lt;&gt;0,CavityStatus[[#This Row],[Unit '#]],"")</f>
        <v/>
      </c>
      <c r="C170" s="122" t="str">
        <f>CavityStatus[[#This Row],[Serial '#]]</f>
        <v>CAV158</v>
      </c>
      <c r="D170" s="123" t="str">
        <f>IF(CavityStatus[[#This Row],[Actual Ship Date]]&lt;&gt;0,CavityStatus[[#This Row],[Actual Ship Date]],"")</f>
        <v/>
      </c>
      <c r="E170" s="124">
        <f>CavityStatus[[#This Row],[Incentive Earned]]</f>
        <v>0</v>
      </c>
      <c r="F170" s="129" t="str">
        <f>IF(CavityStatus[[#This Row],[Receipt Date]]&lt;&gt;0,CavityStatus[[#This Row],[Receipt Date]],"")</f>
        <v/>
      </c>
      <c r="G170" s="124">
        <f>CavityStatus[[#This Row],[Recipe Modification (Mod 9)]]</f>
        <v>0</v>
      </c>
      <c r="H170" s="124">
        <f>CavityStatus[[#This Row],[Caps            
 (Mod 10)]]</f>
        <v>0</v>
      </c>
      <c r="I170" s="124">
        <f>CavityStatus[[#This Row],[Delivery &amp; Acceptance]]</f>
        <v>40187.5</v>
      </c>
      <c r="J170" s="124">
        <f>CavityStatus[[#This Row],[Total]]</f>
        <v>40187.5</v>
      </c>
      <c r="K170" s="126" t="str">
        <f>IF(CavityStatus[[#This Row],[Accept Date]]&lt;&gt;0,CavityStatus[[#This Row],[Accept Date]],"")</f>
        <v/>
      </c>
    </row>
    <row r="171" spans="2:11" x14ac:dyDescent="0.2">
      <c r="B171" s="125" t="str">
        <f>IF(CavityStatus[[#This Row],[Unit '#]]&lt;&gt;0,CavityStatus[[#This Row],[Unit '#]],"")</f>
        <v/>
      </c>
      <c r="C171" s="122" t="str">
        <f>CavityStatus[[#This Row],[Serial '#]]</f>
        <v>CAV159</v>
      </c>
      <c r="D171" s="123" t="str">
        <f>IF(CavityStatus[[#This Row],[Actual Ship Date]]&lt;&gt;0,CavityStatus[[#This Row],[Actual Ship Date]],"")</f>
        <v/>
      </c>
      <c r="E171" s="124">
        <f>CavityStatus[[#This Row],[Incentive Earned]]</f>
        <v>0</v>
      </c>
      <c r="F171" s="129" t="str">
        <f>IF(CavityStatus[[#This Row],[Receipt Date]]&lt;&gt;0,CavityStatus[[#This Row],[Receipt Date]],"")</f>
        <v/>
      </c>
      <c r="G171" s="124">
        <f>CavityStatus[[#This Row],[Recipe Modification (Mod 9)]]</f>
        <v>0</v>
      </c>
      <c r="H171" s="124">
        <f>CavityStatus[[#This Row],[Caps            
 (Mod 10)]]</f>
        <v>0</v>
      </c>
      <c r="I171" s="124">
        <f>CavityStatus[[#This Row],[Delivery &amp; Acceptance]]</f>
        <v>40187.5</v>
      </c>
      <c r="J171" s="124">
        <f>CavityStatus[[#This Row],[Total]]</f>
        <v>40187.5</v>
      </c>
      <c r="K171" s="126" t="str">
        <f>IF(CavityStatus[[#This Row],[Accept Date]]&lt;&gt;0,CavityStatus[[#This Row],[Accept Date]],"")</f>
        <v/>
      </c>
    </row>
    <row r="172" spans="2:11" x14ac:dyDescent="0.2">
      <c r="B172" s="125" t="str">
        <f>IF(CavityStatus[[#This Row],[Unit '#]]&lt;&gt;0,CavityStatus[[#This Row],[Unit '#]],"")</f>
        <v/>
      </c>
      <c r="C172" s="122" t="str">
        <f>CavityStatus[[#This Row],[Serial '#]]</f>
        <v>CAV159</v>
      </c>
      <c r="D172" s="123" t="str">
        <f>IF(CavityStatus[[#This Row],[Actual Ship Date]]&lt;&gt;0,CavityStatus[[#This Row],[Actual Ship Date]],"")</f>
        <v/>
      </c>
      <c r="E172" s="124">
        <f>CavityStatus[[#This Row],[Incentive Earned]]</f>
        <v>0</v>
      </c>
      <c r="F172" s="129" t="str">
        <f>IF(CavityStatus[[#This Row],[Receipt Date]]&lt;&gt;0,CavityStatus[[#This Row],[Receipt Date]],"")</f>
        <v/>
      </c>
      <c r="G172" s="124">
        <f>CavityStatus[[#This Row],[Recipe Modification (Mod 9)]]</f>
        <v>0</v>
      </c>
      <c r="H172" s="124">
        <f>CavityStatus[[#This Row],[Caps            
 (Mod 10)]]</f>
        <v>0</v>
      </c>
      <c r="I172" s="124">
        <f>CavityStatus[[#This Row],[Delivery &amp; Acceptance]]</f>
        <v>40187.5</v>
      </c>
      <c r="J172" s="124">
        <f>CavityStatus[[#This Row],[Total]]</f>
        <v>40187.5</v>
      </c>
      <c r="K172" s="126" t="str">
        <f>IF(CavityStatus[[#This Row],[Accept Date]]&lt;&gt;0,CavityStatus[[#This Row],[Accept Date]],"")</f>
        <v/>
      </c>
    </row>
    <row r="173" spans="2:11" x14ac:dyDescent="0.2">
      <c r="B173" s="125" t="str">
        <f>IF(CavityStatus[[#This Row],[Unit '#]]&lt;&gt;0,CavityStatus[[#This Row],[Unit '#]],"")</f>
        <v/>
      </c>
      <c r="C173" s="122" t="str">
        <f>CavityStatus[[#This Row],[Serial '#]]</f>
        <v>CAV160</v>
      </c>
      <c r="D173" s="123" t="str">
        <f>IF(CavityStatus[[#This Row],[Actual Ship Date]]&lt;&gt;0,CavityStatus[[#This Row],[Actual Ship Date]],"")</f>
        <v/>
      </c>
      <c r="E173" s="124">
        <f>CavityStatus[[#This Row],[Incentive Earned]]</f>
        <v>0</v>
      </c>
      <c r="F173" s="129" t="str">
        <f>IF(CavityStatus[[#This Row],[Receipt Date]]&lt;&gt;0,CavityStatus[[#This Row],[Receipt Date]],"")</f>
        <v/>
      </c>
      <c r="G173" s="124">
        <f>CavityStatus[[#This Row],[Recipe Modification (Mod 9)]]</f>
        <v>0</v>
      </c>
      <c r="H173" s="124">
        <f>CavityStatus[[#This Row],[Caps            
 (Mod 10)]]</f>
        <v>0</v>
      </c>
      <c r="I173" s="124">
        <f>CavityStatus[[#This Row],[Delivery &amp; Acceptance]]</f>
        <v>40187.5</v>
      </c>
      <c r="J173" s="124">
        <f>CavityStatus[[#This Row],[Total]]</f>
        <v>40187.5</v>
      </c>
      <c r="K173" s="126" t="str">
        <f>IF(CavityStatus[[#This Row],[Accept Date]]&lt;&gt;0,CavityStatus[[#This Row],[Accept Date]],"")</f>
        <v/>
      </c>
    </row>
    <row r="174" spans="2:11" x14ac:dyDescent="0.2">
      <c r="B174" s="125" t="str">
        <f>IF(CavityStatus[[#This Row],[Unit '#]]&lt;&gt;0,CavityStatus[[#This Row],[Unit '#]],"")</f>
        <v/>
      </c>
      <c r="C174" s="122" t="str">
        <f>CavityStatus[[#This Row],[Serial '#]]</f>
        <v>CAV160</v>
      </c>
      <c r="D174" s="123" t="str">
        <f>IF(CavityStatus[[#This Row],[Actual Ship Date]]&lt;&gt;0,CavityStatus[[#This Row],[Actual Ship Date]],"")</f>
        <v/>
      </c>
      <c r="E174" s="124">
        <f>CavityStatus[[#This Row],[Incentive Earned]]</f>
        <v>0</v>
      </c>
      <c r="F174" s="129" t="str">
        <f>IF(CavityStatus[[#This Row],[Receipt Date]]&lt;&gt;0,CavityStatus[[#This Row],[Receipt Date]],"")</f>
        <v/>
      </c>
      <c r="G174" s="124">
        <f>CavityStatus[[#This Row],[Recipe Modification (Mod 9)]]</f>
        <v>0</v>
      </c>
      <c r="H174" s="124">
        <f>CavityStatus[[#This Row],[Caps            
 (Mod 10)]]</f>
        <v>0</v>
      </c>
      <c r="I174" s="124">
        <f>CavityStatus[[#This Row],[Delivery &amp; Acceptance]]</f>
        <v>40187.5</v>
      </c>
      <c r="J174" s="124">
        <f>CavityStatus[[#This Row],[Total]]</f>
        <v>40187.5</v>
      </c>
      <c r="K174" s="126" t="str">
        <f>IF(CavityStatus[[#This Row],[Accept Date]]&lt;&gt;0,CavityStatus[[#This Row],[Accept Date]],"")</f>
        <v/>
      </c>
    </row>
    <row r="175" spans="2:11" x14ac:dyDescent="0.2">
      <c r="B175" s="125" t="str">
        <f>IF(CavityStatus[[#This Row],[Unit '#]]&lt;&gt;0,CavityStatus[[#This Row],[Unit '#]],"")</f>
        <v/>
      </c>
      <c r="C175" s="122" t="str">
        <f>CavityStatus[[#This Row],[Serial '#]]</f>
        <v>CAV161</v>
      </c>
      <c r="D175" s="123" t="str">
        <f>IF(CavityStatus[[#This Row],[Actual Ship Date]]&lt;&gt;0,CavityStatus[[#This Row],[Actual Ship Date]],"")</f>
        <v/>
      </c>
      <c r="E175" s="124">
        <f>CavityStatus[[#This Row],[Incentive Earned]]</f>
        <v>0</v>
      </c>
      <c r="F175" s="129" t="str">
        <f>IF(CavityStatus[[#This Row],[Receipt Date]]&lt;&gt;0,CavityStatus[[#This Row],[Receipt Date]],"")</f>
        <v/>
      </c>
      <c r="G175" s="124">
        <f>CavityStatus[[#This Row],[Recipe Modification (Mod 9)]]</f>
        <v>0</v>
      </c>
      <c r="H175" s="124">
        <f>CavityStatus[[#This Row],[Caps            
 (Mod 10)]]</f>
        <v>0</v>
      </c>
      <c r="I175" s="124">
        <f>CavityStatus[[#This Row],[Delivery &amp; Acceptance]]</f>
        <v>40187.5</v>
      </c>
      <c r="J175" s="124">
        <f>CavityStatus[[#This Row],[Total]]</f>
        <v>40187.5</v>
      </c>
      <c r="K175" s="126" t="str">
        <f>IF(CavityStatus[[#This Row],[Accept Date]]&lt;&gt;0,CavityStatus[[#This Row],[Accept Date]],"")</f>
        <v/>
      </c>
    </row>
    <row r="176" spans="2:11" x14ac:dyDescent="0.2">
      <c r="B176" s="125" t="str">
        <f>IF(CavityStatus[[#This Row],[Unit '#]]&lt;&gt;0,CavityStatus[[#This Row],[Unit '#]],"")</f>
        <v/>
      </c>
      <c r="C176" s="122" t="str">
        <f>CavityStatus[[#This Row],[Serial '#]]</f>
        <v>CAV161</v>
      </c>
      <c r="D176" s="123" t="str">
        <f>IF(CavityStatus[[#This Row],[Actual Ship Date]]&lt;&gt;0,CavityStatus[[#This Row],[Actual Ship Date]],"")</f>
        <v/>
      </c>
      <c r="E176" s="124">
        <f>CavityStatus[[#This Row],[Incentive Earned]]</f>
        <v>0</v>
      </c>
      <c r="F176" s="129" t="str">
        <f>IF(CavityStatus[[#This Row],[Receipt Date]]&lt;&gt;0,CavityStatus[[#This Row],[Receipt Date]],"")</f>
        <v/>
      </c>
      <c r="G176" s="124">
        <f>CavityStatus[[#This Row],[Recipe Modification (Mod 9)]]</f>
        <v>0</v>
      </c>
      <c r="H176" s="124">
        <f>CavityStatus[[#This Row],[Caps            
 (Mod 10)]]</f>
        <v>0</v>
      </c>
      <c r="I176" s="124">
        <f>CavityStatus[[#This Row],[Delivery &amp; Acceptance]]</f>
        <v>40187.5</v>
      </c>
      <c r="J176" s="124">
        <f>CavityStatus[[#This Row],[Total]]</f>
        <v>40187.5</v>
      </c>
      <c r="K176" s="126" t="str">
        <f>IF(CavityStatus[[#This Row],[Accept Date]]&lt;&gt;0,CavityStatus[[#This Row],[Accept Date]],"")</f>
        <v/>
      </c>
    </row>
    <row r="177" spans="2:11" x14ac:dyDescent="0.2">
      <c r="B177" s="125" t="str">
        <f>IF(CavityStatus[[#This Row],[Unit '#]]&lt;&gt;0,CavityStatus[[#This Row],[Unit '#]],"")</f>
        <v/>
      </c>
      <c r="C177" s="122" t="str">
        <f>CavityStatus[[#This Row],[Serial '#]]</f>
        <v>CAV162</v>
      </c>
      <c r="D177" s="123" t="str">
        <f>IF(CavityStatus[[#This Row],[Actual Ship Date]]&lt;&gt;0,CavityStatus[[#This Row],[Actual Ship Date]],"")</f>
        <v/>
      </c>
      <c r="E177" s="124">
        <f>CavityStatus[[#This Row],[Incentive Earned]]</f>
        <v>0</v>
      </c>
      <c r="F177" s="129" t="str">
        <f>IF(CavityStatus[[#This Row],[Receipt Date]]&lt;&gt;0,CavityStatus[[#This Row],[Receipt Date]],"")</f>
        <v/>
      </c>
      <c r="G177" s="124">
        <f>CavityStatus[[#This Row],[Recipe Modification (Mod 9)]]</f>
        <v>0</v>
      </c>
      <c r="H177" s="124">
        <f>CavityStatus[[#This Row],[Caps            
 (Mod 10)]]</f>
        <v>0</v>
      </c>
      <c r="I177" s="124">
        <f>CavityStatus[[#This Row],[Delivery &amp; Acceptance]]</f>
        <v>40187.5</v>
      </c>
      <c r="J177" s="124">
        <f>CavityStatus[[#This Row],[Total]]</f>
        <v>40187.5</v>
      </c>
      <c r="K177" s="126" t="str">
        <f>IF(CavityStatus[[#This Row],[Accept Date]]&lt;&gt;0,CavityStatus[[#This Row],[Accept Date]],"")</f>
        <v/>
      </c>
    </row>
    <row r="178" spans="2:11" x14ac:dyDescent="0.2">
      <c r="B178" s="125" t="str">
        <f>IF(CavityStatus[[#This Row],[Unit '#]]&lt;&gt;0,CavityStatus[[#This Row],[Unit '#]],"")</f>
        <v/>
      </c>
      <c r="C178" s="122" t="str">
        <f>CavityStatus[[#This Row],[Serial '#]]</f>
        <v>CAV162</v>
      </c>
      <c r="D178" s="123" t="str">
        <f>IF(CavityStatus[[#This Row],[Actual Ship Date]]&lt;&gt;0,CavityStatus[[#This Row],[Actual Ship Date]],"")</f>
        <v/>
      </c>
      <c r="E178" s="124">
        <f>CavityStatus[[#This Row],[Incentive Earned]]</f>
        <v>0</v>
      </c>
      <c r="F178" s="129" t="str">
        <f>IF(CavityStatus[[#This Row],[Receipt Date]]&lt;&gt;0,CavityStatus[[#This Row],[Receipt Date]],"")</f>
        <v/>
      </c>
      <c r="G178" s="124">
        <f>CavityStatus[[#This Row],[Recipe Modification (Mod 9)]]</f>
        <v>0</v>
      </c>
      <c r="H178" s="124">
        <f>CavityStatus[[#This Row],[Caps            
 (Mod 10)]]</f>
        <v>0</v>
      </c>
      <c r="I178" s="124">
        <f>CavityStatus[[#This Row],[Delivery &amp; Acceptance]]</f>
        <v>40187.5</v>
      </c>
      <c r="J178" s="124">
        <f>CavityStatus[[#This Row],[Total]]</f>
        <v>40187.5</v>
      </c>
      <c r="K178" s="126" t="str">
        <f>IF(CavityStatus[[#This Row],[Accept Date]]&lt;&gt;0,CavityStatus[[#This Row],[Accept Date]],"")</f>
        <v/>
      </c>
    </row>
    <row r="179" spans="2:11" x14ac:dyDescent="0.2">
      <c r="B179" s="125" t="str">
        <f>IF(CavityStatus[[#This Row],[Unit '#]]&lt;&gt;0,CavityStatus[[#This Row],[Unit '#]],"")</f>
        <v/>
      </c>
      <c r="C179" s="122" t="str">
        <f>CavityStatus[[#This Row],[Serial '#]]</f>
        <v>CAV163</v>
      </c>
      <c r="D179" s="123" t="str">
        <f>IF(CavityStatus[[#This Row],[Actual Ship Date]]&lt;&gt;0,CavityStatus[[#This Row],[Actual Ship Date]],"")</f>
        <v/>
      </c>
      <c r="E179" s="124">
        <f>CavityStatus[[#This Row],[Incentive Earned]]</f>
        <v>0</v>
      </c>
      <c r="F179" s="129" t="str">
        <f>IF(CavityStatus[[#This Row],[Receipt Date]]&lt;&gt;0,CavityStatus[[#This Row],[Receipt Date]],"")</f>
        <v/>
      </c>
      <c r="G179" s="124">
        <f>CavityStatus[[#This Row],[Recipe Modification (Mod 9)]]</f>
        <v>0</v>
      </c>
      <c r="H179" s="124">
        <f>CavityStatus[[#This Row],[Caps            
 (Mod 10)]]</f>
        <v>0</v>
      </c>
      <c r="I179" s="124">
        <f>CavityStatus[[#This Row],[Delivery &amp; Acceptance]]</f>
        <v>40187.5</v>
      </c>
      <c r="J179" s="124">
        <f>CavityStatus[[#This Row],[Total]]</f>
        <v>40187.5</v>
      </c>
      <c r="K179" s="126" t="str">
        <f>IF(CavityStatus[[#This Row],[Accept Date]]&lt;&gt;0,CavityStatus[[#This Row],[Accept Date]],"")</f>
        <v/>
      </c>
    </row>
    <row r="180" spans="2:11" x14ac:dyDescent="0.2">
      <c r="B180" s="125" t="str">
        <f>IF(CavityStatus[[#This Row],[Unit '#]]&lt;&gt;0,CavityStatus[[#This Row],[Unit '#]],"")</f>
        <v/>
      </c>
      <c r="C180" s="122" t="str">
        <f>CavityStatus[[#This Row],[Serial '#]]</f>
        <v>CAV163</v>
      </c>
      <c r="D180" s="123" t="str">
        <f>IF(CavityStatus[[#This Row],[Actual Ship Date]]&lt;&gt;0,CavityStatus[[#This Row],[Actual Ship Date]],"")</f>
        <v/>
      </c>
      <c r="E180" s="124">
        <f>CavityStatus[[#This Row],[Incentive Earned]]</f>
        <v>0</v>
      </c>
      <c r="F180" s="129" t="str">
        <f>IF(CavityStatus[[#This Row],[Receipt Date]]&lt;&gt;0,CavityStatus[[#This Row],[Receipt Date]],"")</f>
        <v/>
      </c>
      <c r="G180" s="124">
        <f>CavityStatus[[#This Row],[Recipe Modification (Mod 9)]]</f>
        <v>0</v>
      </c>
      <c r="H180" s="124">
        <f>CavityStatus[[#This Row],[Caps            
 (Mod 10)]]</f>
        <v>0</v>
      </c>
      <c r="I180" s="124">
        <f>CavityStatus[[#This Row],[Delivery &amp; Acceptance]]</f>
        <v>40187.5</v>
      </c>
      <c r="J180" s="124">
        <f>CavityStatus[[#This Row],[Total]]</f>
        <v>40187.5</v>
      </c>
      <c r="K180" s="126" t="str">
        <f>IF(CavityStatus[[#This Row],[Accept Date]]&lt;&gt;0,CavityStatus[[#This Row],[Accept Date]],"")</f>
        <v/>
      </c>
    </row>
    <row r="181" spans="2:11" x14ac:dyDescent="0.2">
      <c r="B181" s="125" t="str">
        <f>IF(CavityStatus[[#This Row],[Unit '#]]&lt;&gt;0,CavityStatus[[#This Row],[Unit '#]],"")</f>
        <v/>
      </c>
      <c r="C181" s="122" t="str">
        <f>CavityStatus[[#This Row],[Serial '#]]</f>
        <v>CAV164</v>
      </c>
      <c r="D181" s="123" t="str">
        <f>IF(CavityStatus[[#This Row],[Actual Ship Date]]&lt;&gt;0,CavityStatus[[#This Row],[Actual Ship Date]],"")</f>
        <v/>
      </c>
      <c r="E181" s="124">
        <f>CavityStatus[[#This Row],[Incentive Earned]]</f>
        <v>0</v>
      </c>
      <c r="F181" s="129" t="str">
        <f>IF(CavityStatus[[#This Row],[Receipt Date]]&lt;&gt;0,CavityStatus[[#This Row],[Receipt Date]],"")</f>
        <v/>
      </c>
      <c r="G181" s="124">
        <f>CavityStatus[[#This Row],[Recipe Modification (Mod 9)]]</f>
        <v>0</v>
      </c>
      <c r="H181" s="124">
        <f>CavityStatus[[#This Row],[Caps            
 (Mod 10)]]</f>
        <v>0</v>
      </c>
      <c r="I181" s="124">
        <f>CavityStatus[[#This Row],[Delivery &amp; Acceptance]]</f>
        <v>40187.5</v>
      </c>
      <c r="J181" s="124">
        <f>CavityStatus[[#This Row],[Total]]</f>
        <v>40187.5</v>
      </c>
      <c r="K181" s="126" t="str">
        <f>IF(CavityStatus[[#This Row],[Accept Date]]&lt;&gt;0,CavityStatus[[#This Row],[Accept Date]],"")</f>
        <v/>
      </c>
    </row>
    <row r="182" spans="2:11" x14ac:dyDescent="0.2">
      <c r="B182" s="125" t="str">
        <f>IF(CavityStatus[[#This Row],[Unit '#]]&lt;&gt;0,CavityStatus[[#This Row],[Unit '#]],"")</f>
        <v/>
      </c>
      <c r="C182" s="122" t="str">
        <f>CavityStatus[[#This Row],[Serial '#]]</f>
        <v>CAV164</v>
      </c>
      <c r="D182" s="123" t="str">
        <f>IF(CavityStatus[[#This Row],[Actual Ship Date]]&lt;&gt;0,CavityStatus[[#This Row],[Actual Ship Date]],"")</f>
        <v/>
      </c>
      <c r="E182" s="124">
        <f>CavityStatus[[#This Row],[Incentive Earned]]</f>
        <v>0</v>
      </c>
      <c r="F182" s="129" t="str">
        <f>IF(CavityStatus[[#This Row],[Receipt Date]]&lt;&gt;0,CavityStatus[[#This Row],[Receipt Date]],"")</f>
        <v/>
      </c>
      <c r="G182" s="124">
        <f>CavityStatus[[#This Row],[Recipe Modification (Mod 9)]]</f>
        <v>0</v>
      </c>
      <c r="H182" s="124">
        <f>CavityStatus[[#This Row],[Caps            
 (Mod 10)]]</f>
        <v>0</v>
      </c>
      <c r="I182" s="124">
        <f>CavityStatus[[#This Row],[Delivery &amp; Acceptance]]</f>
        <v>40187.5</v>
      </c>
      <c r="J182" s="124">
        <f>CavityStatus[[#This Row],[Total]]</f>
        <v>40187.5</v>
      </c>
      <c r="K182" s="126" t="str">
        <f>IF(CavityStatus[[#This Row],[Accept Date]]&lt;&gt;0,CavityStatus[[#This Row],[Accept Date]],"")</f>
        <v/>
      </c>
    </row>
    <row r="183" spans="2:11" x14ac:dyDescent="0.2">
      <c r="B183" s="125" t="str">
        <f>IF(CavityStatus[[#This Row],[Unit '#]]&lt;&gt;0,CavityStatus[[#This Row],[Unit '#]],"")</f>
        <v/>
      </c>
      <c r="C183" s="122" t="str">
        <f>CavityStatus[[#This Row],[Serial '#]]</f>
        <v>CAV165</v>
      </c>
      <c r="D183" s="123" t="str">
        <f>IF(CavityStatus[[#This Row],[Actual Ship Date]]&lt;&gt;0,CavityStatus[[#This Row],[Actual Ship Date]],"")</f>
        <v/>
      </c>
      <c r="E183" s="124">
        <f>CavityStatus[[#This Row],[Incentive Earned]]</f>
        <v>0</v>
      </c>
      <c r="F183" s="129" t="str">
        <f>IF(CavityStatus[[#This Row],[Receipt Date]]&lt;&gt;0,CavityStatus[[#This Row],[Receipt Date]],"")</f>
        <v/>
      </c>
      <c r="G183" s="124">
        <f>CavityStatus[[#This Row],[Recipe Modification (Mod 9)]]</f>
        <v>0</v>
      </c>
      <c r="H183" s="124">
        <f>CavityStatus[[#This Row],[Caps            
 (Mod 10)]]</f>
        <v>0</v>
      </c>
      <c r="I183" s="124">
        <f>CavityStatus[[#This Row],[Delivery &amp; Acceptance]]</f>
        <v>40187.5</v>
      </c>
      <c r="J183" s="124">
        <f>CavityStatus[[#This Row],[Total]]</f>
        <v>40187.5</v>
      </c>
      <c r="K183" s="126" t="str">
        <f>IF(CavityStatus[[#This Row],[Accept Date]]&lt;&gt;0,CavityStatus[[#This Row],[Accept Date]],"")</f>
        <v/>
      </c>
    </row>
    <row r="184" spans="2:11" x14ac:dyDescent="0.2">
      <c r="B184" s="125" t="str">
        <f>IF(CavityStatus[[#This Row],[Unit '#]]&lt;&gt;0,CavityStatus[[#This Row],[Unit '#]],"")</f>
        <v/>
      </c>
      <c r="C184" s="122" t="str">
        <f>CavityStatus[[#This Row],[Serial '#]]</f>
        <v>CAV165</v>
      </c>
      <c r="D184" s="123" t="str">
        <f>IF(CavityStatus[[#This Row],[Actual Ship Date]]&lt;&gt;0,CavityStatus[[#This Row],[Actual Ship Date]],"")</f>
        <v/>
      </c>
      <c r="E184" s="124">
        <f>CavityStatus[[#This Row],[Incentive Earned]]</f>
        <v>0</v>
      </c>
      <c r="F184" s="129" t="str">
        <f>IF(CavityStatus[[#This Row],[Receipt Date]]&lt;&gt;0,CavityStatus[[#This Row],[Receipt Date]],"")</f>
        <v/>
      </c>
      <c r="G184" s="124">
        <f>CavityStatus[[#This Row],[Recipe Modification (Mod 9)]]</f>
        <v>0</v>
      </c>
      <c r="H184" s="124">
        <f>CavityStatus[[#This Row],[Caps            
 (Mod 10)]]</f>
        <v>0</v>
      </c>
      <c r="I184" s="124">
        <f>CavityStatus[[#This Row],[Delivery &amp; Acceptance]]</f>
        <v>40187.5</v>
      </c>
      <c r="J184" s="124">
        <f>CavityStatus[[#This Row],[Total]]</f>
        <v>40187.5</v>
      </c>
      <c r="K184" s="126" t="str">
        <f>IF(CavityStatus[[#This Row],[Accept Date]]&lt;&gt;0,CavityStatus[[#This Row],[Accept Date]],"")</f>
        <v/>
      </c>
    </row>
    <row r="185" spans="2:11" x14ac:dyDescent="0.2">
      <c r="B185" s="125" t="str">
        <f>IF(CavityStatus[[#This Row],[Unit '#]]&lt;&gt;0,CavityStatus[[#This Row],[Unit '#]],"")</f>
        <v/>
      </c>
      <c r="C185" s="122" t="str">
        <f>CavityStatus[[#This Row],[Serial '#]]</f>
        <v>CAV166</v>
      </c>
      <c r="D185" s="123" t="str">
        <f>IF(CavityStatus[[#This Row],[Actual Ship Date]]&lt;&gt;0,CavityStatus[[#This Row],[Actual Ship Date]],"")</f>
        <v/>
      </c>
      <c r="E185" s="124">
        <f>CavityStatus[[#This Row],[Incentive Earned]]</f>
        <v>0</v>
      </c>
      <c r="F185" s="129" t="str">
        <f>IF(CavityStatus[[#This Row],[Receipt Date]]&lt;&gt;0,CavityStatus[[#This Row],[Receipt Date]],"")</f>
        <v/>
      </c>
      <c r="G185" s="124">
        <f>CavityStatus[[#This Row],[Recipe Modification (Mod 9)]]</f>
        <v>0</v>
      </c>
      <c r="H185" s="124">
        <f>CavityStatus[[#This Row],[Caps            
 (Mod 10)]]</f>
        <v>0</v>
      </c>
      <c r="I185" s="124">
        <f>CavityStatus[[#This Row],[Delivery &amp; Acceptance]]</f>
        <v>40187.5</v>
      </c>
      <c r="J185" s="124">
        <f>CavityStatus[[#This Row],[Total]]</f>
        <v>40187.5</v>
      </c>
      <c r="K185" s="126" t="str">
        <f>IF(CavityStatus[[#This Row],[Accept Date]]&lt;&gt;0,CavityStatus[[#This Row],[Accept Date]],"")</f>
        <v/>
      </c>
    </row>
    <row r="186" spans="2:11" x14ac:dyDescent="0.2">
      <c r="B186" s="125" t="str">
        <f>IF(CavityStatus[[#This Row],[Unit '#]]&lt;&gt;0,CavityStatus[[#This Row],[Unit '#]],"")</f>
        <v/>
      </c>
      <c r="C186" s="122" t="str">
        <f>CavityStatus[[#This Row],[Serial '#]]</f>
        <v>CAV166</v>
      </c>
      <c r="D186" s="123" t="str">
        <f>IF(CavityStatus[[#This Row],[Actual Ship Date]]&lt;&gt;0,CavityStatus[[#This Row],[Actual Ship Date]],"")</f>
        <v/>
      </c>
      <c r="E186" s="124">
        <f>CavityStatus[[#This Row],[Incentive Earned]]</f>
        <v>0</v>
      </c>
      <c r="F186" s="129" t="str">
        <f>IF(CavityStatus[[#This Row],[Receipt Date]]&lt;&gt;0,CavityStatus[[#This Row],[Receipt Date]],"")</f>
        <v/>
      </c>
      <c r="G186" s="124">
        <f>CavityStatus[[#This Row],[Recipe Modification (Mod 9)]]</f>
        <v>0</v>
      </c>
      <c r="H186" s="124">
        <f>CavityStatus[[#This Row],[Caps            
 (Mod 10)]]</f>
        <v>0</v>
      </c>
      <c r="I186" s="124">
        <f>CavityStatus[[#This Row],[Delivery &amp; Acceptance]]</f>
        <v>40187.5</v>
      </c>
      <c r="J186" s="124">
        <f>CavityStatus[[#This Row],[Total]]</f>
        <v>40187.5</v>
      </c>
      <c r="K186" s="126" t="str">
        <f>IF(CavityStatus[[#This Row],[Accept Date]]&lt;&gt;0,CavityStatus[[#This Row],[Accept Date]],"")</f>
        <v/>
      </c>
    </row>
    <row r="187" spans="2:11" x14ac:dyDescent="0.2">
      <c r="B187" s="125" t="str">
        <f>IF(CavityStatus[[#This Row],[Unit '#]]&lt;&gt;0,CavityStatus[[#This Row],[Unit '#]],"")</f>
        <v/>
      </c>
      <c r="C187" s="122" t="str">
        <f>CavityStatus[[#This Row],[Serial '#]]</f>
        <v>CAV167</v>
      </c>
      <c r="D187" s="123" t="str">
        <f>IF(CavityStatus[[#This Row],[Actual Ship Date]]&lt;&gt;0,CavityStatus[[#This Row],[Actual Ship Date]],"")</f>
        <v/>
      </c>
      <c r="E187" s="124">
        <f>CavityStatus[[#This Row],[Incentive Earned]]</f>
        <v>0</v>
      </c>
      <c r="F187" s="129" t="str">
        <f>IF(CavityStatus[[#This Row],[Receipt Date]]&lt;&gt;0,CavityStatus[[#This Row],[Receipt Date]],"")</f>
        <v/>
      </c>
      <c r="G187" s="124">
        <f>CavityStatus[[#This Row],[Recipe Modification (Mod 9)]]</f>
        <v>0</v>
      </c>
      <c r="H187" s="124">
        <f>CavityStatus[[#This Row],[Caps            
 (Mod 10)]]</f>
        <v>0</v>
      </c>
      <c r="I187" s="124">
        <f>CavityStatus[[#This Row],[Delivery &amp; Acceptance]]</f>
        <v>40187.5</v>
      </c>
      <c r="J187" s="124">
        <f>CavityStatus[[#This Row],[Total]]</f>
        <v>40187.5</v>
      </c>
      <c r="K187" s="126" t="str">
        <f>IF(CavityStatus[[#This Row],[Accept Date]]&lt;&gt;0,CavityStatus[[#This Row],[Accept Date]],"")</f>
        <v/>
      </c>
    </row>
    <row r="188" spans="2:11" x14ac:dyDescent="0.2">
      <c r="B188" s="125" t="str">
        <f>IF(CavityStatus[[#This Row],[Unit '#]]&lt;&gt;0,CavityStatus[[#This Row],[Unit '#]],"")</f>
        <v/>
      </c>
      <c r="C188" s="122" t="str">
        <f>CavityStatus[[#This Row],[Serial '#]]</f>
        <v>CAV167</v>
      </c>
      <c r="D188" s="123" t="str">
        <f>IF(CavityStatus[[#This Row],[Actual Ship Date]]&lt;&gt;0,CavityStatus[[#This Row],[Actual Ship Date]],"")</f>
        <v/>
      </c>
      <c r="E188" s="124">
        <f>CavityStatus[[#This Row],[Incentive Earned]]</f>
        <v>0</v>
      </c>
      <c r="F188" s="129" t="str">
        <f>IF(CavityStatus[[#This Row],[Receipt Date]]&lt;&gt;0,CavityStatus[[#This Row],[Receipt Date]],"")</f>
        <v/>
      </c>
      <c r="G188" s="124">
        <f>CavityStatus[[#This Row],[Recipe Modification (Mod 9)]]</f>
        <v>0</v>
      </c>
      <c r="H188" s="124">
        <f>CavityStatus[[#This Row],[Caps            
 (Mod 10)]]</f>
        <v>0</v>
      </c>
      <c r="I188" s="124">
        <f>CavityStatus[[#This Row],[Delivery &amp; Acceptance]]</f>
        <v>40187.5</v>
      </c>
      <c r="J188" s="124">
        <f>CavityStatus[[#This Row],[Total]]</f>
        <v>40187.5</v>
      </c>
      <c r="K188" s="126" t="str">
        <f>IF(CavityStatus[[#This Row],[Accept Date]]&lt;&gt;0,CavityStatus[[#This Row],[Accept Date]],"")</f>
        <v/>
      </c>
    </row>
    <row r="189" spans="2:11" x14ac:dyDescent="0.2">
      <c r="B189" s="125" t="str">
        <f>IF(CavityStatus[[#This Row],[Unit '#]]&lt;&gt;0,CavityStatus[[#This Row],[Unit '#]],"")</f>
        <v/>
      </c>
      <c r="C189" s="122" t="str">
        <f>CavityStatus[[#This Row],[Serial '#]]</f>
        <v>CAV168</v>
      </c>
      <c r="D189" s="123" t="str">
        <f>IF(CavityStatus[[#This Row],[Actual Ship Date]]&lt;&gt;0,CavityStatus[[#This Row],[Actual Ship Date]],"")</f>
        <v/>
      </c>
      <c r="E189" s="124">
        <f>CavityStatus[[#This Row],[Incentive Earned]]</f>
        <v>0</v>
      </c>
      <c r="F189" s="129" t="str">
        <f>IF(CavityStatus[[#This Row],[Receipt Date]]&lt;&gt;0,CavityStatus[[#This Row],[Receipt Date]],"")</f>
        <v/>
      </c>
      <c r="G189" s="124">
        <f>CavityStatus[[#This Row],[Recipe Modification (Mod 9)]]</f>
        <v>0</v>
      </c>
      <c r="H189" s="124">
        <f>CavityStatus[[#This Row],[Caps            
 (Mod 10)]]</f>
        <v>0</v>
      </c>
      <c r="I189" s="124">
        <f>CavityStatus[[#This Row],[Delivery &amp; Acceptance]]</f>
        <v>40187.5</v>
      </c>
      <c r="J189" s="124">
        <f>CavityStatus[[#This Row],[Total]]</f>
        <v>40187.5</v>
      </c>
      <c r="K189" s="126" t="str">
        <f>IF(CavityStatus[[#This Row],[Accept Date]]&lt;&gt;0,CavityStatus[[#This Row],[Accept Date]],"")</f>
        <v/>
      </c>
    </row>
    <row r="190" spans="2:11" x14ac:dyDescent="0.2">
      <c r="B190" s="125" t="str">
        <f>IF(CavityStatus[[#This Row],[Unit '#]]&lt;&gt;0,CavityStatus[[#This Row],[Unit '#]],"")</f>
        <v/>
      </c>
      <c r="C190" s="122" t="str">
        <f>CavityStatus[[#This Row],[Serial '#]]</f>
        <v>CAV168</v>
      </c>
      <c r="D190" s="123" t="str">
        <f>IF(CavityStatus[[#This Row],[Actual Ship Date]]&lt;&gt;0,CavityStatus[[#This Row],[Actual Ship Date]],"")</f>
        <v/>
      </c>
      <c r="E190" s="124">
        <f>CavityStatus[[#This Row],[Incentive Earned]]</f>
        <v>0</v>
      </c>
      <c r="F190" s="129" t="str">
        <f>IF(CavityStatus[[#This Row],[Receipt Date]]&lt;&gt;0,CavityStatus[[#This Row],[Receipt Date]],"")</f>
        <v/>
      </c>
      <c r="G190" s="124">
        <f>CavityStatus[[#This Row],[Recipe Modification (Mod 9)]]</f>
        <v>0</v>
      </c>
      <c r="H190" s="124">
        <f>CavityStatus[[#This Row],[Caps            
 (Mod 10)]]</f>
        <v>0</v>
      </c>
      <c r="I190" s="124">
        <f>CavityStatus[[#This Row],[Delivery &amp; Acceptance]]</f>
        <v>40187.5</v>
      </c>
      <c r="J190" s="124">
        <f>CavityStatus[[#This Row],[Total]]</f>
        <v>40187.5</v>
      </c>
      <c r="K190" s="126" t="str">
        <f>IF(CavityStatus[[#This Row],[Accept Date]]&lt;&gt;0,CavityStatus[[#This Row],[Accept Date]],"")</f>
        <v/>
      </c>
    </row>
    <row r="191" spans="2:11" x14ac:dyDescent="0.2">
      <c r="B191" s="125" t="str">
        <f>IF(CavityStatus[[#This Row],[Unit '#]]&lt;&gt;0,CavityStatus[[#This Row],[Unit '#]],"")</f>
        <v/>
      </c>
      <c r="C191" s="122" t="str">
        <f>CavityStatus[[#This Row],[Serial '#]]</f>
        <v>CAV169</v>
      </c>
      <c r="D191" s="123" t="str">
        <f>IF(CavityStatus[[#This Row],[Actual Ship Date]]&lt;&gt;0,CavityStatus[[#This Row],[Actual Ship Date]],"")</f>
        <v/>
      </c>
      <c r="E191" s="124">
        <f>CavityStatus[[#This Row],[Incentive Earned]]</f>
        <v>0</v>
      </c>
      <c r="F191" s="129" t="str">
        <f>IF(CavityStatus[[#This Row],[Receipt Date]]&lt;&gt;0,CavityStatus[[#This Row],[Receipt Date]],"")</f>
        <v/>
      </c>
      <c r="G191" s="124">
        <f>CavityStatus[[#This Row],[Recipe Modification (Mod 9)]]</f>
        <v>0</v>
      </c>
      <c r="H191" s="124">
        <f>CavityStatus[[#This Row],[Caps            
 (Mod 10)]]</f>
        <v>0</v>
      </c>
      <c r="I191" s="124">
        <f>CavityStatus[[#This Row],[Delivery &amp; Acceptance]]</f>
        <v>40187.5</v>
      </c>
      <c r="J191" s="124">
        <f>CavityStatus[[#This Row],[Total]]</f>
        <v>40187.5</v>
      </c>
      <c r="K191" s="126" t="str">
        <f>IF(CavityStatus[[#This Row],[Accept Date]]&lt;&gt;0,CavityStatus[[#This Row],[Accept Date]],"")</f>
        <v/>
      </c>
    </row>
    <row r="192" spans="2:11" x14ac:dyDescent="0.2">
      <c r="B192" s="125" t="str">
        <f>IF(CavityStatus[[#This Row],[Unit '#]]&lt;&gt;0,CavityStatus[[#This Row],[Unit '#]],"")</f>
        <v/>
      </c>
      <c r="C192" s="122" t="str">
        <f>CavityStatus[[#This Row],[Serial '#]]</f>
        <v>CAV169</v>
      </c>
      <c r="D192" s="123" t="str">
        <f>IF(CavityStatus[[#This Row],[Actual Ship Date]]&lt;&gt;0,CavityStatus[[#This Row],[Actual Ship Date]],"")</f>
        <v/>
      </c>
      <c r="E192" s="124">
        <f>CavityStatus[[#This Row],[Incentive Earned]]</f>
        <v>0</v>
      </c>
      <c r="F192" s="129" t="str">
        <f>IF(CavityStatus[[#This Row],[Receipt Date]]&lt;&gt;0,CavityStatus[[#This Row],[Receipt Date]],"")</f>
        <v/>
      </c>
      <c r="G192" s="124">
        <f>CavityStatus[[#This Row],[Recipe Modification (Mod 9)]]</f>
        <v>0</v>
      </c>
      <c r="H192" s="124">
        <f>CavityStatus[[#This Row],[Caps            
 (Mod 10)]]</f>
        <v>0</v>
      </c>
      <c r="I192" s="124">
        <f>CavityStatus[[#This Row],[Delivery &amp; Acceptance]]</f>
        <v>40187.5</v>
      </c>
      <c r="J192" s="124">
        <f>CavityStatus[[#This Row],[Total]]</f>
        <v>40187.5</v>
      </c>
      <c r="K192" s="126" t="str">
        <f>IF(CavityStatus[[#This Row],[Accept Date]]&lt;&gt;0,CavityStatus[[#This Row],[Accept Date]],"")</f>
        <v/>
      </c>
    </row>
    <row r="193" spans="2:11" x14ac:dyDescent="0.2">
      <c r="B193" s="125" t="str">
        <f>IF(CavityStatus[[#This Row],[Unit '#]]&lt;&gt;0,CavityStatus[[#This Row],[Unit '#]],"")</f>
        <v/>
      </c>
      <c r="C193" s="122" t="str">
        <f>CavityStatus[[#This Row],[Serial '#]]</f>
        <v>CAV170</v>
      </c>
      <c r="D193" s="123" t="str">
        <f>IF(CavityStatus[[#This Row],[Actual Ship Date]]&lt;&gt;0,CavityStatus[[#This Row],[Actual Ship Date]],"")</f>
        <v/>
      </c>
      <c r="E193" s="124">
        <f>CavityStatus[[#This Row],[Incentive Earned]]</f>
        <v>0</v>
      </c>
      <c r="F193" s="129" t="str">
        <f>IF(CavityStatus[[#This Row],[Receipt Date]]&lt;&gt;0,CavityStatus[[#This Row],[Receipt Date]],"")</f>
        <v/>
      </c>
      <c r="G193" s="124">
        <f>CavityStatus[[#This Row],[Recipe Modification (Mod 9)]]</f>
        <v>0</v>
      </c>
      <c r="H193" s="124">
        <f>CavityStatus[[#This Row],[Caps            
 (Mod 10)]]</f>
        <v>0</v>
      </c>
      <c r="I193" s="124">
        <f>CavityStatus[[#This Row],[Delivery &amp; Acceptance]]</f>
        <v>40187.5</v>
      </c>
      <c r="J193" s="124">
        <f>CavityStatus[[#This Row],[Total]]</f>
        <v>40187.5</v>
      </c>
      <c r="K193" s="126" t="str">
        <f>IF(CavityStatus[[#This Row],[Accept Date]]&lt;&gt;0,CavityStatus[[#This Row],[Accept Date]],"")</f>
        <v/>
      </c>
    </row>
    <row r="194" spans="2:11" x14ac:dyDescent="0.2">
      <c r="B194" s="125" t="str">
        <f>IF(CavityStatus[[#This Row],[Unit '#]]&lt;&gt;0,CavityStatus[[#This Row],[Unit '#]],"")</f>
        <v/>
      </c>
      <c r="C194" s="122" t="str">
        <f>CavityStatus[[#This Row],[Serial '#]]</f>
        <v>CAV170</v>
      </c>
      <c r="D194" s="123" t="str">
        <f>IF(CavityStatus[[#This Row],[Actual Ship Date]]&lt;&gt;0,CavityStatus[[#This Row],[Actual Ship Date]],"")</f>
        <v/>
      </c>
      <c r="E194" s="124">
        <f>CavityStatus[[#This Row],[Incentive Earned]]</f>
        <v>0</v>
      </c>
      <c r="F194" s="129" t="str">
        <f>IF(CavityStatus[[#This Row],[Receipt Date]]&lt;&gt;0,CavityStatus[[#This Row],[Receipt Date]],"")</f>
        <v/>
      </c>
      <c r="G194" s="124">
        <f>CavityStatus[[#This Row],[Recipe Modification (Mod 9)]]</f>
        <v>0</v>
      </c>
      <c r="H194" s="124">
        <f>CavityStatus[[#This Row],[Caps            
 (Mod 10)]]</f>
        <v>0</v>
      </c>
      <c r="I194" s="124">
        <f>CavityStatus[[#This Row],[Delivery &amp; Acceptance]]</f>
        <v>40187.5</v>
      </c>
      <c r="J194" s="124">
        <f>CavityStatus[[#This Row],[Total]]</f>
        <v>40187.5</v>
      </c>
      <c r="K194" s="126" t="str">
        <f>IF(CavityStatus[[#This Row],[Accept Date]]&lt;&gt;0,CavityStatus[[#This Row],[Accept Date]],"")</f>
        <v/>
      </c>
    </row>
    <row r="195" spans="2:11" x14ac:dyDescent="0.2">
      <c r="B195" s="125" t="str">
        <f>IF(CavityStatus[[#This Row],[Unit '#]]&lt;&gt;0,CavityStatus[[#This Row],[Unit '#]],"")</f>
        <v/>
      </c>
      <c r="C195" s="122" t="str">
        <f>CavityStatus[[#This Row],[Serial '#]]</f>
        <v>CAV171</v>
      </c>
      <c r="D195" s="123" t="str">
        <f>IF(CavityStatus[[#This Row],[Actual Ship Date]]&lt;&gt;0,CavityStatus[[#This Row],[Actual Ship Date]],"")</f>
        <v/>
      </c>
      <c r="E195" s="124">
        <f>CavityStatus[[#This Row],[Incentive Earned]]</f>
        <v>0</v>
      </c>
      <c r="F195" s="129" t="str">
        <f>IF(CavityStatus[[#This Row],[Receipt Date]]&lt;&gt;0,CavityStatus[[#This Row],[Receipt Date]],"")</f>
        <v/>
      </c>
      <c r="G195" s="124">
        <f>CavityStatus[[#This Row],[Recipe Modification (Mod 9)]]</f>
        <v>0</v>
      </c>
      <c r="H195" s="124">
        <f>CavityStatus[[#This Row],[Caps            
 (Mod 10)]]</f>
        <v>0</v>
      </c>
      <c r="I195" s="124">
        <f>CavityStatus[[#This Row],[Delivery &amp; Acceptance]]</f>
        <v>40187.5</v>
      </c>
      <c r="J195" s="124">
        <f>CavityStatus[[#This Row],[Total]]</f>
        <v>40187.5</v>
      </c>
      <c r="K195" s="126" t="str">
        <f>IF(CavityStatus[[#This Row],[Accept Date]]&lt;&gt;0,CavityStatus[[#This Row],[Accept Date]],"")</f>
        <v/>
      </c>
    </row>
    <row r="196" spans="2:11" x14ac:dyDescent="0.2">
      <c r="B196" s="125" t="str">
        <f>IF(CavityStatus[[#This Row],[Unit '#]]&lt;&gt;0,CavityStatus[[#This Row],[Unit '#]],"")</f>
        <v/>
      </c>
      <c r="C196" s="122" t="str">
        <f>CavityStatus[[#This Row],[Serial '#]]</f>
        <v>CAV172</v>
      </c>
      <c r="D196" s="123" t="str">
        <f>IF(CavityStatus[[#This Row],[Actual Ship Date]]&lt;&gt;0,CavityStatus[[#This Row],[Actual Ship Date]],"")</f>
        <v/>
      </c>
      <c r="E196" s="124">
        <f>CavityStatus[[#This Row],[Incentive Earned]]</f>
        <v>0</v>
      </c>
      <c r="F196" s="129" t="str">
        <f>IF(CavityStatus[[#This Row],[Receipt Date]]&lt;&gt;0,CavityStatus[[#This Row],[Receipt Date]],"")</f>
        <v/>
      </c>
      <c r="G196" s="124">
        <f>CavityStatus[[#This Row],[Recipe Modification (Mod 9)]]</f>
        <v>0</v>
      </c>
      <c r="H196" s="124">
        <f>CavityStatus[[#This Row],[Caps            
 (Mod 10)]]</f>
        <v>0</v>
      </c>
      <c r="I196" s="124">
        <f>CavityStatus[[#This Row],[Delivery &amp; Acceptance]]</f>
        <v>40187.5</v>
      </c>
      <c r="J196" s="124">
        <f>CavityStatus[[#This Row],[Total]]</f>
        <v>40187.5</v>
      </c>
      <c r="K196" s="126" t="str">
        <f>IF(CavityStatus[[#This Row],[Accept Date]]&lt;&gt;0,CavityStatus[[#This Row],[Accept Date]],"")</f>
        <v/>
      </c>
    </row>
    <row r="197" spans="2:11" x14ac:dyDescent="0.2">
      <c r="B197" s="125" t="str">
        <f>IF(CavityStatus[[#This Row],[Unit '#]]&lt;&gt;0,CavityStatus[[#This Row],[Unit '#]],"")</f>
        <v/>
      </c>
      <c r="C197" s="122" t="str">
        <f>CavityStatus[[#This Row],[Serial '#]]</f>
        <v>CAV173</v>
      </c>
      <c r="D197" s="123" t="str">
        <f>IF(CavityStatus[[#This Row],[Actual Ship Date]]&lt;&gt;0,CavityStatus[[#This Row],[Actual Ship Date]],"")</f>
        <v/>
      </c>
      <c r="E197" s="124">
        <f>CavityStatus[[#This Row],[Incentive Earned]]</f>
        <v>0</v>
      </c>
      <c r="F197" s="129" t="str">
        <f>IF(CavityStatus[[#This Row],[Receipt Date]]&lt;&gt;0,CavityStatus[[#This Row],[Receipt Date]],"")</f>
        <v/>
      </c>
      <c r="G197" s="124">
        <f>CavityStatus[[#This Row],[Recipe Modification (Mod 9)]]</f>
        <v>0</v>
      </c>
      <c r="H197" s="124">
        <f>CavityStatus[[#This Row],[Caps            
 (Mod 10)]]</f>
        <v>0</v>
      </c>
      <c r="I197" s="124">
        <f>CavityStatus[[#This Row],[Delivery &amp; Acceptance]]</f>
        <v>40187.5</v>
      </c>
      <c r="J197" s="124">
        <f>CavityStatus[[#This Row],[Total]]</f>
        <v>40187.5</v>
      </c>
      <c r="K197" s="126" t="str">
        <f>IF(CavityStatus[[#This Row],[Accept Date]]&lt;&gt;0,CavityStatus[[#This Row],[Accept Date]],"")</f>
        <v/>
      </c>
    </row>
    <row r="198" spans="2:11" x14ac:dyDescent="0.2">
      <c r="B198" s="125" t="str">
        <f>IF(CavityStatus[[#This Row],[Unit '#]]&lt;&gt;0,CavityStatus[[#This Row],[Unit '#]],"")</f>
        <v/>
      </c>
      <c r="C198" s="122" t="str">
        <f>CavityStatus[[#This Row],[Serial '#]]</f>
        <v>CAV174</v>
      </c>
      <c r="D198" s="123" t="str">
        <f>IF(CavityStatus[[#This Row],[Actual Ship Date]]&lt;&gt;0,CavityStatus[[#This Row],[Actual Ship Date]],"")</f>
        <v/>
      </c>
      <c r="E198" s="124">
        <f>CavityStatus[[#This Row],[Incentive Earned]]</f>
        <v>0</v>
      </c>
      <c r="F198" s="129" t="str">
        <f>IF(CavityStatus[[#This Row],[Receipt Date]]&lt;&gt;0,CavityStatus[[#This Row],[Receipt Date]],"")</f>
        <v/>
      </c>
      <c r="G198" s="124">
        <f>CavityStatus[[#This Row],[Recipe Modification (Mod 9)]]</f>
        <v>0</v>
      </c>
      <c r="H198" s="124">
        <f>CavityStatus[[#This Row],[Caps            
 (Mod 10)]]</f>
        <v>0</v>
      </c>
      <c r="I198" s="124">
        <f>CavityStatus[[#This Row],[Delivery &amp; Acceptance]]</f>
        <v>40187.5</v>
      </c>
      <c r="J198" s="124">
        <f>CavityStatus[[#This Row],[Total]]</f>
        <v>40187.5</v>
      </c>
      <c r="K198" s="126" t="str">
        <f>IF(CavityStatus[[#This Row],[Accept Date]]&lt;&gt;0,CavityStatus[[#This Row],[Accept Date]],"")</f>
        <v/>
      </c>
    </row>
    <row r="199" spans="2:11" x14ac:dyDescent="0.2">
      <c r="B199" s="125" t="str">
        <f>IF(CavityStatus[[#This Row],[Unit '#]]&lt;&gt;0,CavityStatus[[#This Row],[Unit '#]],"")</f>
        <v/>
      </c>
      <c r="C199" s="122" t="str">
        <f>CavityStatus[[#This Row],[Serial '#]]</f>
        <v>CAV175</v>
      </c>
      <c r="D199" s="123" t="str">
        <f>IF(CavityStatus[[#This Row],[Actual Ship Date]]&lt;&gt;0,CavityStatus[[#This Row],[Actual Ship Date]],"")</f>
        <v/>
      </c>
      <c r="E199" s="124">
        <f>CavityStatus[[#This Row],[Incentive Earned]]</f>
        <v>0</v>
      </c>
      <c r="F199" s="129" t="str">
        <f>IF(CavityStatus[[#This Row],[Receipt Date]]&lt;&gt;0,CavityStatus[[#This Row],[Receipt Date]],"")</f>
        <v/>
      </c>
      <c r="G199" s="124">
        <f>CavityStatus[[#This Row],[Recipe Modification (Mod 9)]]</f>
        <v>0</v>
      </c>
      <c r="H199" s="124">
        <f>CavityStatus[[#This Row],[Caps            
 (Mod 10)]]</f>
        <v>0</v>
      </c>
      <c r="I199" s="124">
        <f>CavityStatus[[#This Row],[Delivery &amp; Acceptance]]</f>
        <v>40187.5</v>
      </c>
      <c r="J199" s="124">
        <f>CavityStatus[[#This Row],[Total]]</f>
        <v>40187.5</v>
      </c>
      <c r="K199" s="126" t="str">
        <f>IF(CavityStatus[[#This Row],[Accept Date]]&lt;&gt;0,CavityStatus[[#This Row],[Accept Date]],"")</f>
        <v/>
      </c>
    </row>
    <row r="200" spans="2:11" x14ac:dyDescent="0.2">
      <c r="B200" s="125" t="str">
        <f>IF(CavityStatus[[#This Row],[Unit '#]]&lt;&gt;0,CavityStatus[[#This Row],[Unit '#]],"")</f>
        <v/>
      </c>
      <c r="C200" s="122" t="str">
        <f>CavityStatus[[#This Row],[Serial '#]]</f>
        <v>CAV176</v>
      </c>
      <c r="D200" s="123" t="str">
        <f>IF(CavityStatus[[#This Row],[Actual Ship Date]]&lt;&gt;0,CavityStatus[[#This Row],[Actual Ship Date]],"")</f>
        <v/>
      </c>
      <c r="E200" s="124">
        <f>CavityStatus[[#This Row],[Incentive Earned]]</f>
        <v>0</v>
      </c>
      <c r="F200" s="129" t="str">
        <f>IF(CavityStatus[[#This Row],[Receipt Date]]&lt;&gt;0,CavityStatus[[#This Row],[Receipt Date]],"")</f>
        <v/>
      </c>
      <c r="G200" s="124">
        <f>CavityStatus[[#This Row],[Recipe Modification (Mod 9)]]</f>
        <v>0</v>
      </c>
      <c r="H200" s="124">
        <f>CavityStatus[[#This Row],[Caps            
 (Mod 10)]]</f>
        <v>0</v>
      </c>
      <c r="I200" s="124">
        <f>CavityStatus[[#This Row],[Delivery &amp; Acceptance]]</f>
        <v>40187.5</v>
      </c>
      <c r="J200" s="124">
        <f>CavityStatus[[#This Row],[Total]]</f>
        <v>40187.5</v>
      </c>
      <c r="K200" s="126" t="str">
        <f>IF(CavityStatus[[#This Row],[Accept Date]]&lt;&gt;0,CavityStatus[[#This Row],[Accept Date]],"")</f>
        <v/>
      </c>
    </row>
    <row r="201" spans="2:11" x14ac:dyDescent="0.2">
      <c r="B201" s="125" t="str">
        <f>IF(CavityStatus[[#This Row],[Unit '#]]&lt;&gt;0,CavityStatus[[#This Row],[Unit '#]],"")</f>
        <v/>
      </c>
      <c r="C201" s="122" t="str">
        <f>CavityStatus[[#This Row],[Serial '#]]</f>
        <v>CAV177</v>
      </c>
      <c r="D201" s="123" t="str">
        <f>IF(CavityStatus[[#This Row],[Actual Ship Date]]&lt;&gt;0,CavityStatus[[#This Row],[Actual Ship Date]],"")</f>
        <v/>
      </c>
      <c r="E201" s="124">
        <f>CavityStatus[[#This Row],[Incentive Earned]]</f>
        <v>0</v>
      </c>
      <c r="F201" s="129" t="str">
        <f>IF(CavityStatus[[#This Row],[Receipt Date]]&lt;&gt;0,CavityStatus[[#This Row],[Receipt Date]],"")</f>
        <v/>
      </c>
      <c r="G201" s="124">
        <f>CavityStatus[[#This Row],[Recipe Modification (Mod 9)]]</f>
        <v>0</v>
      </c>
      <c r="H201" s="124">
        <f>CavityStatus[[#This Row],[Caps            
 (Mod 10)]]</f>
        <v>0</v>
      </c>
      <c r="I201" s="124">
        <f>CavityStatus[[#This Row],[Delivery &amp; Acceptance]]</f>
        <v>40187.5</v>
      </c>
      <c r="J201" s="124">
        <f>CavityStatus[[#This Row],[Total]]</f>
        <v>40187.5</v>
      </c>
      <c r="K201" s="126" t="str">
        <f>IF(CavityStatus[[#This Row],[Accept Date]]&lt;&gt;0,CavityStatus[[#This Row],[Accept Date]],"")</f>
        <v/>
      </c>
    </row>
    <row r="202" spans="2:11" x14ac:dyDescent="0.2">
      <c r="B202" s="125" t="str">
        <f>IF(CavityStatus[[#This Row],[Unit '#]]&lt;&gt;0,CavityStatus[[#This Row],[Unit '#]],"")</f>
        <v/>
      </c>
      <c r="C202" s="122" t="str">
        <f>CavityStatus[[#This Row],[Serial '#]]</f>
        <v>CAV178</v>
      </c>
      <c r="D202" s="123" t="str">
        <f>IF(CavityStatus[[#This Row],[Actual Ship Date]]&lt;&gt;0,CavityStatus[[#This Row],[Actual Ship Date]],"")</f>
        <v/>
      </c>
      <c r="E202" s="124">
        <f>CavityStatus[[#This Row],[Incentive Earned]]</f>
        <v>0</v>
      </c>
      <c r="F202" s="129" t="str">
        <f>IF(CavityStatus[[#This Row],[Receipt Date]]&lt;&gt;0,CavityStatus[[#This Row],[Receipt Date]],"")</f>
        <v/>
      </c>
      <c r="G202" s="124">
        <f>CavityStatus[[#This Row],[Recipe Modification (Mod 9)]]</f>
        <v>0</v>
      </c>
      <c r="H202" s="124">
        <f>CavityStatus[[#This Row],[Caps            
 (Mod 10)]]</f>
        <v>0</v>
      </c>
      <c r="I202" s="124">
        <f>CavityStatus[[#This Row],[Delivery &amp; Acceptance]]</f>
        <v>40187.5</v>
      </c>
      <c r="J202" s="124">
        <f>CavityStatus[[#This Row],[Total]]</f>
        <v>40187.5</v>
      </c>
      <c r="K202" s="126" t="str">
        <f>IF(CavityStatus[[#This Row],[Accept Date]]&lt;&gt;0,CavityStatus[[#This Row],[Accept Date]],"")</f>
        <v/>
      </c>
    </row>
    <row r="203" spans="2:11" x14ac:dyDescent="0.2">
      <c r="B203" s="125" t="str">
        <f>IF(CavityStatus[[#This Row],[Unit '#]]&lt;&gt;0,CavityStatus[[#This Row],[Unit '#]],"")</f>
        <v/>
      </c>
      <c r="C203" s="122" t="str">
        <f>CavityStatus[[#This Row],[Serial '#]]</f>
        <v>CAV179</v>
      </c>
      <c r="D203" s="123" t="str">
        <f>IF(CavityStatus[[#This Row],[Actual Ship Date]]&lt;&gt;0,CavityStatus[[#This Row],[Actual Ship Date]],"")</f>
        <v/>
      </c>
      <c r="E203" s="124">
        <f>CavityStatus[[#This Row],[Incentive Earned]]</f>
        <v>0</v>
      </c>
      <c r="F203" s="129" t="str">
        <f>IF(CavityStatus[[#This Row],[Receipt Date]]&lt;&gt;0,CavityStatus[[#This Row],[Receipt Date]],"")</f>
        <v/>
      </c>
      <c r="G203" s="124">
        <f>CavityStatus[[#This Row],[Recipe Modification (Mod 9)]]</f>
        <v>0</v>
      </c>
      <c r="H203" s="124">
        <f>CavityStatus[[#This Row],[Caps            
 (Mod 10)]]</f>
        <v>0</v>
      </c>
      <c r="I203" s="124">
        <f>CavityStatus[[#This Row],[Delivery &amp; Acceptance]]</f>
        <v>40187.5</v>
      </c>
      <c r="J203" s="124">
        <f>CavityStatus[[#This Row],[Total]]</f>
        <v>40187.5</v>
      </c>
      <c r="K203" s="126" t="str">
        <f>IF(CavityStatus[[#This Row],[Accept Date]]&lt;&gt;0,CavityStatus[[#This Row],[Accept Date]],"")</f>
        <v/>
      </c>
    </row>
    <row r="204" spans="2:11" x14ac:dyDescent="0.2">
      <c r="B204" s="125" t="str">
        <f>IF(CavityStatus[[#This Row],[Unit '#]]&lt;&gt;0,CavityStatus[[#This Row],[Unit '#]],"")</f>
        <v/>
      </c>
      <c r="C204" s="122" t="str">
        <f>CavityStatus[[#This Row],[Serial '#]]</f>
        <v>CAV180</v>
      </c>
      <c r="D204" s="123" t="str">
        <f>IF(CavityStatus[[#This Row],[Actual Ship Date]]&lt;&gt;0,CavityStatus[[#This Row],[Actual Ship Date]],"")</f>
        <v/>
      </c>
      <c r="E204" s="124">
        <f>CavityStatus[[#This Row],[Incentive Earned]]</f>
        <v>0</v>
      </c>
      <c r="F204" s="129" t="str">
        <f>IF(CavityStatus[[#This Row],[Receipt Date]]&lt;&gt;0,CavityStatus[[#This Row],[Receipt Date]],"")</f>
        <v/>
      </c>
      <c r="G204" s="124">
        <f>CavityStatus[[#This Row],[Recipe Modification (Mod 9)]]</f>
        <v>0</v>
      </c>
      <c r="H204" s="124">
        <f>CavityStatus[[#This Row],[Caps            
 (Mod 10)]]</f>
        <v>0</v>
      </c>
      <c r="I204" s="124">
        <f>CavityStatus[[#This Row],[Delivery &amp; Acceptance]]</f>
        <v>40187.5</v>
      </c>
      <c r="J204" s="124">
        <f>CavityStatus[[#This Row],[Total]]</f>
        <v>40187.5</v>
      </c>
      <c r="K204" s="126" t="str">
        <f>IF(CavityStatus[[#This Row],[Accept Date]]&lt;&gt;0,CavityStatus[[#This Row],[Accept Date]],"")</f>
        <v/>
      </c>
    </row>
    <row r="205" spans="2:11" x14ac:dyDescent="0.2">
      <c r="B205" s="125" t="str">
        <f>IF(CavityStatus[[#This Row],[Unit '#]]&lt;&gt;0,CavityStatus[[#This Row],[Unit '#]],"")</f>
        <v/>
      </c>
      <c r="C205" s="122" t="str">
        <f>CavityStatus[[#This Row],[Serial '#]]</f>
        <v>CAV181</v>
      </c>
      <c r="D205" s="123" t="str">
        <f>IF(CavityStatus[[#This Row],[Actual Ship Date]]&lt;&gt;0,CavityStatus[[#This Row],[Actual Ship Date]],"")</f>
        <v/>
      </c>
      <c r="E205" s="124">
        <f>CavityStatus[[#This Row],[Incentive Earned]]</f>
        <v>0</v>
      </c>
      <c r="F205" s="129" t="str">
        <f>IF(CavityStatus[[#This Row],[Receipt Date]]&lt;&gt;0,CavityStatus[[#This Row],[Receipt Date]],"")</f>
        <v/>
      </c>
      <c r="G205" s="124">
        <f>CavityStatus[[#This Row],[Recipe Modification (Mod 9)]]</f>
        <v>0</v>
      </c>
      <c r="H205" s="124">
        <f>CavityStatus[[#This Row],[Caps            
 (Mod 10)]]</f>
        <v>0</v>
      </c>
      <c r="I205" s="124">
        <f>CavityStatus[[#This Row],[Delivery &amp; Acceptance]]</f>
        <v>40187.5</v>
      </c>
      <c r="J205" s="124">
        <f>CavityStatus[[#This Row],[Total]]</f>
        <v>40187.5</v>
      </c>
      <c r="K205" s="126" t="str">
        <f>IF(CavityStatus[[#This Row],[Accept Date]]&lt;&gt;0,CavityStatus[[#This Row],[Accept Date]],"")</f>
        <v/>
      </c>
    </row>
    <row r="206" spans="2:11" x14ac:dyDescent="0.2">
      <c r="B206" s="125" t="str">
        <f>IF(CavityStatus[[#This Row],[Unit '#]]&lt;&gt;0,CavityStatus[[#This Row],[Unit '#]],"")</f>
        <v/>
      </c>
      <c r="C206" s="122" t="str">
        <f>CavityStatus[[#This Row],[Serial '#]]</f>
        <v>CAV182</v>
      </c>
      <c r="D206" s="123" t="str">
        <f>IF(CavityStatus[[#This Row],[Actual Ship Date]]&lt;&gt;0,CavityStatus[[#This Row],[Actual Ship Date]],"")</f>
        <v/>
      </c>
      <c r="E206" s="124">
        <f>CavityStatus[[#This Row],[Incentive Earned]]</f>
        <v>0</v>
      </c>
      <c r="F206" s="129" t="str">
        <f>IF(CavityStatus[[#This Row],[Receipt Date]]&lt;&gt;0,CavityStatus[[#This Row],[Receipt Date]],"")</f>
        <v/>
      </c>
      <c r="G206" s="124">
        <f>CavityStatus[[#This Row],[Recipe Modification (Mod 9)]]</f>
        <v>0</v>
      </c>
      <c r="H206" s="124">
        <f>CavityStatus[[#This Row],[Caps            
 (Mod 10)]]</f>
        <v>0</v>
      </c>
      <c r="I206" s="124">
        <f>CavityStatus[[#This Row],[Delivery &amp; Acceptance]]</f>
        <v>40187.5</v>
      </c>
      <c r="J206" s="124">
        <f>CavityStatus[[#This Row],[Total]]</f>
        <v>40187.5</v>
      </c>
      <c r="K206" s="126" t="str">
        <f>IF(CavityStatus[[#This Row],[Accept Date]]&lt;&gt;0,CavityStatus[[#This Row],[Accept Date]],"")</f>
        <v/>
      </c>
    </row>
    <row r="207" spans="2:11" x14ac:dyDescent="0.2">
      <c r="B207" s="125" t="str">
        <f>IF(CavityStatus[[#This Row],[Unit '#]]&lt;&gt;0,CavityStatus[[#This Row],[Unit '#]],"")</f>
        <v/>
      </c>
      <c r="C207" s="122" t="str">
        <f>CavityStatus[[#This Row],[Serial '#]]</f>
        <v>CAV183</v>
      </c>
      <c r="D207" s="123" t="str">
        <f>IF(CavityStatus[[#This Row],[Actual Ship Date]]&lt;&gt;0,CavityStatus[[#This Row],[Actual Ship Date]],"")</f>
        <v/>
      </c>
      <c r="E207" s="124">
        <f>CavityStatus[[#This Row],[Incentive Earned]]</f>
        <v>0</v>
      </c>
      <c r="F207" s="129" t="str">
        <f>IF(CavityStatus[[#This Row],[Receipt Date]]&lt;&gt;0,CavityStatus[[#This Row],[Receipt Date]],"")</f>
        <v/>
      </c>
      <c r="G207" s="124">
        <f>CavityStatus[[#This Row],[Recipe Modification (Mod 9)]]</f>
        <v>0</v>
      </c>
      <c r="H207" s="124">
        <f>CavityStatus[[#This Row],[Caps            
 (Mod 10)]]</f>
        <v>0</v>
      </c>
      <c r="I207" s="124">
        <f>CavityStatus[[#This Row],[Delivery &amp; Acceptance]]</f>
        <v>40187.5</v>
      </c>
      <c r="J207" s="124">
        <f>CavityStatus[[#This Row],[Total]]</f>
        <v>40187.5</v>
      </c>
      <c r="K207" s="126" t="str">
        <f>IF(CavityStatus[[#This Row],[Accept Date]]&lt;&gt;0,CavityStatus[[#This Row],[Accept Date]],"")</f>
        <v/>
      </c>
    </row>
    <row r="208" spans="2:11" x14ac:dyDescent="0.2">
      <c r="B208" s="125" t="str">
        <f>IF(CavityStatus[[#This Row],[Unit '#]]&lt;&gt;0,CavityStatus[[#This Row],[Unit '#]],"")</f>
        <v/>
      </c>
      <c r="C208" s="122" t="str">
        <f>CavityStatus[[#This Row],[Serial '#]]</f>
        <v>CAV184</v>
      </c>
      <c r="D208" s="123" t="str">
        <f>IF(CavityStatus[[#This Row],[Actual Ship Date]]&lt;&gt;0,CavityStatus[[#This Row],[Actual Ship Date]],"")</f>
        <v/>
      </c>
      <c r="E208" s="124">
        <f>CavityStatus[[#This Row],[Incentive Earned]]</f>
        <v>0</v>
      </c>
      <c r="F208" s="129" t="str">
        <f>IF(CavityStatus[[#This Row],[Receipt Date]]&lt;&gt;0,CavityStatus[[#This Row],[Receipt Date]],"")</f>
        <v/>
      </c>
      <c r="G208" s="124">
        <f>CavityStatus[[#This Row],[Recipe Modification (Mod 9)]]</f>
        <v>0</v>
      </c>
      <c r="H208" s="124">
        <f>CavityStatus[[#This Row],[Caps            
 (Mod 10)]]</f>
        <v>0</v>
      </c>
      <c r="I208" s="124">
        <f>CavityStatus[[#This Row],[Delivery &amp; Acceptance]]</f>
        <v>40187.5</v>
      </c>
      <c r="J208" s="124">
        <f>CavityStatus[[#This Row],[Total]]</f>
        <v>40187.5</v>
      </c>
      <c r="K208" s="126" t="str">
        <f>IF(CavityStatus[[#This Row],[Accept Date]]&lt;&gt;0,CavityStatus[[#This Row],[Accept Date]],"")</f>
        <v/>
      </c>
    </row>
    <row r="209" spans="2:11" x14ac:dyDescent="0.2">
      <c r="B209" s="125" t="str">
        <f>IF(CavityStatus[[#This Row],[Unit '#]]&lt;&gt;0,CavityStatus[[#This Row],[Unit '#]],"")</f>
        <v/>
      </c>
      <c r="C209" s="122" t="str">
        <f>CavityStatus[[#This Row],[Serial '#]]</f>
        <v>CAV185</v>
      </c>
      <c r="D209" s="123" t="str">
        <f>IF(CavityStatus[[#This Row],[Actual Ship Date]]&lt;&gt;0,CavityStatus[[#This Row],[Actual Ship Date]],"")</f>
        <v/>
      </c>
      <c r="E209" s="124">
        <f>CavityStatus[[#This Row],[Incentive Earned]]</f>
        <v>0</v>
      </c>
      <c r="F209" s="129" t="str">
        <f>IF(CavityStatus[[#This Row],[Receipt Date]]&lt;&gt;0,CavityStatus[[#This Row],[Receipt Date]],"")</f>
        <v/>
      </c>
      <c r="G209" s="124">
        <f>CavityStatus[[#This Row],[Recipe Modification (Mod 9)]]</f>
        <v>0</v>
      </c>
      <c r="H209" s="124">
        <f>CavityStatus[[#This Row],[Caps            
 (Mod 10)]]</f>
        <v>0</v>
      </c>
      <c r="I209" s="124">
        <f>CavityStatus[[#This Row],[Delivery &amp; Acceptance]]</f>
        <v>40187.5</v>
      </c>
      <c r="J209" s="124">
        <f>CavityStatus[[#This Row],[Total]]</f>
        <v>40187.5</v>
      </c>
      <c r="K209" s="126" t="str">
        <f>IF(CavityStatus[[#This Row],[Accept Date]]&lt;&gt;0,CavityStatus[[#This Row],[Accept Date]],"")</f>
        <v/>
      </c>
    </row>
    <row r="210" spans="2:11" x14ac:dyDescent="0.2">
      <c r="B210" s="125" t="str">
        <f>IF(CavityStatus[[#This Row],[Unit '#]]&lt;&gt;0,CavityStatus[[#This Row],[Unit '#]],"")</f>
        <v/>
      </c>
      <c r="C210" s="122" t="str">
        <f>CavityStatus[[#This Row],[Serial '#]]</f>
        <v>CAV186</v>
      </c>
      <c r="D210" s="123" t="str">
        <f>IF(CavityStatus[[#This Row],[Actual Ship Date]]&lt;&gt;0,CavityStatus[[#This Row],[Actual Ship Date]],"")</f>
        <v/>
      </c>
      <c r="E210" s="124">
        <f>CavityStatus[[#This Row],[Incentive Earned]]</f>
        <v>0</v>
      </c>
      <c r="F210" s="129" t="str">
        <f>IF(CavityStatus[[#This Row],[Receipt Date]]&lt;&gt;0,CavityStatus[[#This Row],[Receipt Date]],"")</f>
        <v/>
      </c>
      <c r="G210" s="124">
        <f>CavityStatus[[#This Row],[Recipe Modification (Mod 9)]]</f>
        <v>0</v>
      </c>
      <c r="H210" s="124">
        <f>CavityStatus[[#This Row],[Caps            
 (Mod 10)]]</f>
        <v>0</v>
      </c>
      <c r="I210" s="124">
        <f>CavityStatus[[#This Row],[Delivery &amp; Acceptance]]</f>
        <v>40187.5</v>
      </c>
      <c r="J210" s="124">
        <f>CavityStatus[[#This Row],[Total]]</f>
        <v>40187.5</v>
      </c>
      <c r="K210" s="126" t="str">
        <f>IF(CavityStatus[[#This Row],[Accept Date]]&lt;&gt;0,CavityStatus[[#This Row],[Accept Date]],"")</f>
        <v/>
      </c>
    </row>
    <row r="211" spans="2:11" x14ac:dyDescent="0.2">
      <c r="B211" s="125" t="str">
        <f>IF(CavityStatus[[#This Row],[Unit '#]]&lt;&gt;0,CavityStatus[[#This Row],[Unit '#]],"")</f>
        <v/>
      </c>
      <c r="C211" s="122" t="str">
        <f>CavityStatus[[#This Row],[Serial '#]]</f>
        <v>CAV187</v>
      </c>
      <c r="D211" s="123" t="str">
        <f>IF(CavityStatus[[#This Row],[Actual Ship Date]]&lt;&gt;0,CavityStatus[[#This Row],[Actual Ship Date]],"")</f>
        <v/>
      </c>
      <c r="E211" s="124">
        <f>CavityStatus[[#This Row],[Incentive Earned]]</f>
        <v>0</v>
      </c>
      <c r="F211" s="129" t="str">
        <f>IF(CavityStatus[[#This Row],[Receipt Date]]&lt;&gt;0,CavityStatus[[#This Row],[Receipt Date]],"")</f>
        <v/>
      </c>
      <c r="G211" s="124">
        <f>CavityStatus[[#This Row],[Recipe Modification (Mod 9)]]</f>
        <v>0</v>
      </c>
      <c r="H211" s="124">
        <f>CavityStatus[[#This Row],[Caps            
 (Mod 10)]]</f>
        <v>0</v>
      </c>
      <c r="I211" s="124">
        <f>CavityStatus[[#This Row],[Delivery &amp; Acceptance]]</f>
        <v>40187.5</v>
      </c>
      <c r="J211" s="124">
        <f>CavityStatus[[#This Row],[Total]]</f>
        <v>40187.5</v>
      </c>
      <c r="K211" s="126" t="str">
        <f>IF(CavityStatus[[#This Row],[Accept Date]]&lt;&gt;0,CavityStatus[[#This Row],[Accept Date]],"")</f>
        <v/>
      </c>
    </row>
    <row r="212" spans="2:11" x14ac:dyDescent="0.2">
      <c r="B212" s="125" t="str">
        <f>IF(CavityStatus[[#This Row],[Unit '#]]&lt;&gt;0,CavityStatus[[#This Row],[Unit '#]],"")</f>
        <v/>
      </c>
      <c r="C212" s="122" t="str">
        <f>CavityStatus[[#This Row],[Serial '#]]</f>
        <v>CAV188</v>
      </c>
      <c r="D212" s="123" t="str">
        <f>IF(CavityStatus[[#This Row],[Actual Ship Date]]&lt;&gt;0,CavityStatus[[#This Row],[Actual Ship Date]],"")</f>
        <v/>
      </c>
      <c r="E212" s="124">
        <f>CavityStatus[[#This Row],[Incentive Earned]]</f>
        <v>0</v>
      </c>
      <c r="F212" s="129" t="str">
        <f>IF(CavityStatus[[#This Row],[Receipt Date]]&lt;&gt;0,CavityStatus[[#This Row],[Receipt Date]],"")</f>
        <v/>
      </c>
      <c r="G212" s="124">
        <f>CavityStatus[[#This Row],[Recipe Modification (Mod 9)]]</f>
        <v>0</v>
      </c>
      <c r="H212" s="124">
        <f>CavityStatus[[#This Row],[Caps            
 (Mod 10)]]</f>
        <v>0</v>
      </c>
      <c r="I212" s="124">
        <f>CavityStatus[[#This Row],[Delivery &amp; Acceptance]]</f>
        <v>40187.5</v>
      </c>
      <c r="J212" s="124">
        <f>CavityStatus[[#This Row],[Total]]</f>
        <v>40187.5</v>
      </c>
      <c r="K212" s="126" t="str">
        <f>IF(CavityStatus[[#This Row],[Accept Date]]&lt;&gt;0,CavityStatus[[#This Row],[Accept Date]],"")</f>
        <v/>
      </c>
    </row>
    <row r="213" spans="2:11" x14ac:dyDescent="0.2">
      <c r="B213" s="125" t="str">
        <f>IF(CavityStatus[[#This Row],[Unit '#]]&lt;&gt;0,CavityStatus[[#This Row],[Unit '#]],"")</f>
        <v/>
      </c>
      <c r="C213" s="122" t="str">
        <f>CavityStatus[[#This Row],[Serial '#]]</f>
        <v>CAV189</v>
      </c>
      <c r="D213" s="123" t="str">
        <f>IF(CavityStatus[[#This Row],[Actual Ship Date]]&lt;&gt;0,CavityStatus[[#This Row],[Actual Ship Date]],"")</f>
        <v/>
      </c>
      <c r="E213" s="124">
        <f>CavityStatus[[#This Row],[Incentive Earned]]</f>
        <v>0</v>
      </c>
      <c r="F213" s="129" t="str">
        <f>IF(CavityStatus[[#This Row],[Receipt Date]]&lt;&gt;0,CavityStatus[[#This Row],[Receipt Date]],"")</f>
        <v/>
      </c>
      <c r="G213" s="124">
        <f>CavityStatus[[#This Row],[Recipe Modification (Mod 9)]]</f>
        <v>0</v>
      </c>
      <c r="H213" s="124">
        <f>CavityStatus[[#This Row],[Caps            
 (Mod 10)]]</f>
        <v>0</v>
      </c>
      <c r="I213" s="124">
        <f>CavityStatus[[#This Row],[Delivery &amp; Acceptance]]</f>
        <v>40187.5</v>
      </c>
      <c r="J213" s="124">
        <f>CavityStatus[[#This Row],[Total]]</f>
        <v>40187.5</v>
      </c>
      <c r="K213" s="126" t="str">
        <f>IF(CavityStatus[[#This Row],[Accept Date]]&lt;&gt;0,CavityStatus[[#This Row],[Accept Date]],"")</f>
        <v/>
      </c>
    </row>
    <row r="214" spans="2:11" x14ac:dyDescent="0.2">
      <c r="B214" s="125" t="str">
        <f>IF(CavityStatus[[#This Row],[Unit '#]]&lt;&gt;0,CavityStatus[[#This Row],[Unit '#]],"")</f>
        <v/>
      </c>
      <c r="C214" s="122" t="str">
        <f>CavityStatus[[#This Row],[Serial '#]]</f>
        <v>CAV190</v>
      </c>
      <c r="D214" s="123" t="str">
        <f>IF(CavityStatus[[#This Row],[Actual Ship Date]]&lt;&gt;0,CavityStatus[[#This Row],[Actual Ship Date]],"")</f>
        <v/>
      </c>
      <c r="E214" s="124">
        <f>CavityStatus[[#This Row],[Incentive Earned]]</f>
        <v>0</v>
      </c>
      <c r="F214" s="129" t="str">
        <f>IF(CavityStatus[[#This Row],[Receipt Date]]&lt;&gt;0,CavityStatus[[#This Row],[Receipt Date]],"")</f>
        <v/>
      </c>
      <c r="G214" s="124">
        <f>CavityStatus[[#This Row],[Recipe Modification (Mod 9)]]</f>
        <v>0</v>
      </c>
      <c r="H214" s="124">
        <f>CavityStatus[[#This Row],[Caps            
 (Mod 10)]]</f>
        <v>0</v>
      </c>
      <c r="I214" s="124">
        <f>CavityStatus[[#This Row],[Delivery &amp; Acceptance]]</f>
        <v>40187.5</v>
      </c>
      <c r="J214" s="124">
        <f>CavityStatus[[#This Row],[Total]]</f>
        <v>40187.5</v>
      </c>
      <c r="K214" s="126" t="str">
        <f>IF(CavityStatus[[#This Row],[Accept Date]]&lt;&gt;0,CavityStatus[[#This Row],[Accept Date]],"")</f>
        <v/>
      </c>
    </row>
    <row r="215" spans="2:11" x14ac:dyDescent="0.2">
      <c r="B215" s="125" t="str">
        <f>IF(CavityStatus[[#This Row],[Unit '#]]&lt;&gt;0,CavityStatus[[#This Row],[Unit '#]],"")</f>
        <v/>
      </c>
      <c r="C215" s="122" t="str">
        <f>CavityStatus[[#This Row],[Serial '#]]</f>
        <v>CAV191</v>
      </c>
      <c r="D215" s="123" t="str">
        <f>IF(CavityStatus[[#This Row],[Actual Ship Date]]&lt;&gt;0,CavityStatus[[#This Row],[Actual Ship Date]],"")</f>
        <v/>
      </c>
      <c r="E215" s="124">
        <f>CavityStatus[[#This Row],[Incentive Earned]]</f>
        <v>0</v>
      </c>
      <c r="F215" s="129" t="str">
        <f>IF(CavityStatus[[#This Row],[Receipt Date]]&lt;&gt;0,CavityStatus[[#This Row],[Receipt Date]],"")</f>
        <v/>
      </c>
      <c r="G215" s="124">
        <f>CavityStatus[[#This Row],[Recipe Modification (Mod 9)]]</f>
        <v>0</v>
      </c>
      <c r="H215" s="124">
        <f>CavityStatus[[#This Row],[Caps            
 (Mod 10)]]</f>
        <v>0</v>
      </c>
      <c r="I215" s="124">
        <f>CavityStatus[[#This Row],[Delivery &amp; Acceptance]]</f>
        <v>40187.5</v>
      </c>
      <c r="J215" s="124">
        <f>CavityStatus[[#This Row],[Total]]</f>
        <v>40187.5</v>
      </c>
      <c r="K215" s="126" t="str">
        <f>IF(CavityStatus[[#This Row],[Accept Date]]&lt;&gt;0,CavityStatus[[#This Row],[Accept Date]],"")</f>
        <v/>
      </c>
    </row>
    <row r="216" spans="2:11" x14ac:dyDescent="0.2">
      <c r="B216" s="125" t="str">
        <f>IF(CavityStatus[[#This Row],[Unit '#]]&lt;&gt;0,CavityStatus[[#This Row],[Unit '#]],"")</f>
        <v/>
      </c>
      <c r="C216" s="122" t="str">
        <f>CavityStatus[[#This Row],[Serial '#]]</f>
        <v>CAV192</v>
      </c>
      <c r="D216" s="123" t="str">
        <f>IF(CavityStatus[[#This Row],[Actual Ship Date]]&lt;&gt;0,CavityStatus[[#This Row],[Actual Ship Date]],"")</f>
        <v/>
      </c>
      <c r="E216" s="124">
        <f>CavityStatus[[#This Row],[Incentive Earned]]</f>
        <v>0</v>
      </c>
      <c r="F216" s="129" t="str">
        <f>IF(CavityStatus[[#This Row],[Receipt Date]]&lt;&gt;0,CavityStatus[[#This Row],[Receipt Date]],"")</f>
        <v/>
      </c>
      <c r="G216" s="124">
        <f>CavityStatus[[#This Row],[Recipe Modification (Mod 9)]]</f>
        <v>0</v>
      </c>
      <c r="H216" s="124">
        <f>CavityStatus[[#This Row],[Caps            
 (Mod 10)]]</f>
        <v>0</v>
      </c>
      <c r="I216" s="124">
        <f>CavityStatus[[#This Row],[Delivery &amp; Acceptance]]</f>
        <v>40187.5</v>
      </c>
      <c r="J216" s="124">
        <f>CavityStatus[[#This Row],[Total]]</f>
        <v>40187.5</v>
      </c>
      <c r="K216" s="126" t="str">
        <f>IF(CavityStatus[[#This Row],[Accept Date]]&lt;&gt;0,CavityStatus[[#This Row],[Accept Date]],"")</f>
        <v/>
      </c>
    </row>
    <row r="217" spans="2:11" x14ac:dyDescent="0.2">
      <c r="B217" s="125" t="str">
        <f>IF(CavityStatus[[#This Row],[Unit '#]]&lt;&gt;0,CavityStatus[[#This Row],[Unit '#]],"")</f>
        <v/>
      </c>
      <c r="C217" s="122" t="str">
        <f>CavityStatus[[#This Row],[Serial '#]]</f>
        <v>CAV193</v>
      </c>
      <c r="D217" s="123" t="str">
        <f>IF(CavityStatus[[#This Row],[Actual Ship Date]]&lt;&gt;0,CavityStatus[[#This Row],[Actual Ship Date]],"")</f>
        <v/>
      </c>
      <c r="E217" s="124">
        <f>CavityStatus[[#This Row],[Incentive Earned]]</f>
        <v>0</v>
      </c>
      <c r="F217" s="129" t="str">
        <f>IF(CavityStatus[[#This Row],[Receipt Date]]&lt;&gt;0,CavityStatus[[#This Row],[Receipt Date]],"")</f>
        <v/>
      </c>
      <c r="G217" s="124">
        <f>CavityStatus[[#This Row],[Recipe Modification (Mod 9)]]</f>
        <v>0</v>
      </c>
      <c r="H217" s="124">
        <f>CavityStatus[[#This Row],[Caps            
 (Mod 10)]]</f>
        <v>0</v>
      </c>
      <c r="I217" s="124">
        <f>CavityStatus[[#This Row],[Delivery &amp; Acceptance]]</f>
        <v>40187.5</v>
      </c>
      <c r="J217" s="124">
        <f>CavityStatus[[#This Row],[Total]]</f>
        <v>40187.5</v>
      </c>
      <c r="K217" s="126" t="str">
        <f>IF(CavityStatus[[#This Row],[Accept Date]]&lt;&gt;0,CavityStatus[[#This Row],[Accept Date]],"")</f>
        <v/>
      </c>
    </row>
    <row r="218" spans="2:11" x14ac:dyDescent="0.2">
      <c r="B218" s="125" t="str">
        <f>IF(CavityStatus[[#This Row],[Unit '#]]&lt;&gt;0,CavityStatus[[#This Row],[Unit '#]],"")</f>
        <v/>
      </c>
      <c r="C218" s="122" t="str">
        <f>CavityStatus[[#This Row],[Serial '#]]</f>
        <v>CAV194</v>
      </c>
      <c r="D218" s="123" t="str">
        <f>IF(CavityStatus[[#This Row],[Actual Ship Date]]&lt;&gt;0,CavityStatus[[#This Row],[Actual Ship Date]],"")</f>
        <v/>
      </c>
      <c r="E218" s="124">
        <f>CavityStatus[[#This Row],[Incentive Earned]]</f>
        <v>0</v>
      </c>
      <c r="F218" s="129" t="str">
        <f>IF(CavityStatus[[#This Row],[Receipt Date]]&lt;&gt;0,CavityStatus[[#This Row],[Receipt Date]],"")</f>
        <v/>
      </c>
      <c r="G218" s="124">
        <f>CavityStatus[[#This Row],[Recipe Modification (Mod 9)]]</f>
        <v>0</v>
      </c>
      <c r="H218" s="124">
        <f>CavityStatus[[#This Row],[Caps            
 (Mod 10)]]</f>
        <v>0</v>
      </c>
      <c r="I218" s="124">
        <f>CavityStatus[[#This Row],[Delivery &amp; Acceptance]]</f>
        <v>40187.5</v>
      </c>
      <c r="J218" s="124">
        <f>CavityStatus[[#This Row],[Total]]</f>
        <v>40187.5</v>
      </c>
      <c r="K218" s="126" t="str">
        <f>IF(CavityStatus[[#This Row],[Accept Date]]&lt;&gt;0,CavityStatus[[#This Row],[Accept Date]],"")</f>
        <v/>
      </c>
    </row>
    <row r="219" spans="2:11" x14ac:dyDescent="0.2">
      <c r="B219" s="125" t="str">
        <f>IF(CavityStatus[[#This Row],[Unit '#]]&lt;&gt;0,CavityStatus[[#This Row],[Unit '#]],"")</f>
        <v/>
      </c>
      <c r="C219" s="122" t="str">
        <f>CavityStatus[[#This Row],[Serial '#]]</f>
        <v>CAV195</v>
      </c>
      <c r="D219" s="123" t="str">
        <f>IF(CavityStatus[[#This Row],[Actual Ship Date]]&lt;&gt;0,CavityStatus[[#This Row],[Actual Ship Date]],"")</f>
        <v/>
      </c>
      <c r="E219" s="124">
        <f>CavityStatus[[#This Row],[Incentive Earned]]</f>
        <v>0</v>
      </c>
      <c r="F219" s="129" t="str">
        <f>IF(CavityStatus[[#This Row],[Receipt Date]]&lt;&gt;0,CavityStatus[[#This Row],[Receipt Date]],"")</f>
        <v/>
      </c>
      <c r="G219" s="124">
        <f>CavityStatus[[#This Row],[Recipe Modification (Mod 9)]]</f>
        <v>0</v>
      </c>
      <c r="H219" s="124">
        <f>CavityStatus[[#This Row],[Caps            
 (Mod 10)]]</f>
        <v>0</v>
      </c>
      <c r="I219" s="124">
        <f>CavityStatus[[#This Row],[Delivery &amp; Acceptance]]</f>
        <v>40187.5</v>
      </c>
      <c r="J219" s="124">
        <f>CavityStatus[[#This Row],[Total]]</f>
        <v>40187.5</v>
      </c>
      <c r="K219" s="126" t="str">
        <f>IF(CavityStatus[[#This Row],[Accept Date]]&lt;&gt;0,CavityStatus[[#This Row],[Accept Date]],"")</f>
        <v/>
      </c>
    </row>
    <row r="220" spans="2:11" x14ac:dyDescent="0.2">
      <c r="B220" s="125" t="str">
        <f>IF(CavityStatus[[#This Row],[Unit '#]]&lt;&gt;0,CavityStatus[[#This Row],[Unit '#]],"")</f>
        <v/>
      </c>
      <c r="C220" s="122" t="str">
        <f>CavityStatus[[#This Row],[Serial '#]]</f>
        <v>CAV196</v>
      </c>
      <c r="D220" s="123" t="str">
        <f>IF(CavityStatus[[#This Row],[Actual Ship Date]]&lt;&gt;0,CavityStatus[[#This Row],[Actual Ship Date]],"")</f>
        <v/>
      </c>
      <c r="E220" s="124">
        <f>CavityStatus[[#This Row],[Incentive Earned]]</f>
        <v>0</v>
      </c>
      <c r="F220" s="129" t="str">
        <f>IF(CavityStatus[[#This Row],[Receipt Date]]&lt;&gt;0,CavityStatus[[#This Row],[Receipt Date]],"")</f>
        <v/>
      </c>
      <c r="G220" s="124">
        <f>CavityStatus[[#This Row],[Recipe Modification (Mod 9)]]</f>
        <v>0</v>
      </c>
      <c r="H220" s="124">
        <f>CavityStatus[[#This Row],[Caps            
 (Mod 10)]]</f>
        <v>0</v>
      </c>
      <c r="I220" s="124">
        <f>CavityStatus[[#This Row],[Delivery &amp; Acceptance]]</f>
        <v>40187.5</v>
      </c>
      <c r="J220" s="124">
        <f>CavityStatus[[#This Row],[Total]]</f>
        <v>40187.5</v>
      </c>
      <c r="K220" s="126" t="str">
        <f>IF(CavityStatus[[#This Row],[Accept Date]]&lt;&gt;0,CavityStatus[[#This Row],[Accept Date]],"")</f>
        <v/>
      </c>
    </row>
    <row r="221" spans="2:11" x14ac:dyDescent="0.2">
      <c r="B221" s="125" t="str">
        <f>IF(CavityStatus[[#This Row],[Unit '#]]&lt;&gt;0,CavityStatus[[#This Row],[Unit '#]],"")</f>
        <v/>
      </c>
      <c r="C221" s="122" t="str">
        <f>CavityStatus[[#This Row],[Serial '#]]</f>
        <v>CAV197</v>
      </c>
      <c r="D221" s="123" t="str">
        <f>IF(CavityStatus[[#This Row],[Actual Ship Date]]&lt;&gt;0,CavityStatus[[#This Row],[Actual Ship Date]],"")</f>
        <v/>
      </c>
      <c r="E221" s="124">
        <f>CavityStatus[[#This Row],[Incentive Earned]]</f>
        <v>0</v>
      </c>
      <c r="F221" s="129" t="str">
        <f>IF(CavityStatus[[#This Row],[Receipt Date]]&lt;&gt;0,CavityStatus[[#This Row],[Receipt Date]],"")</f>
        <v/>
      </c>
      <c r="G221" s="124">
        <f>CavityStatus[[#This Row],[Recipe Modification (Mod 9)]]</f>
        <v>0</v>
      </c>
      <c r="H221" s="124">
        <f>CavityStatus[[#This Row],[Caps            
 (Mod 10)]]</f>
        <v>0</v>
      </c>
      <c r="I221" s="124">
        <f>CavityStatus[[#This Row],[Delivery &amp; Acceptance]]</f>
        <v>40187.5</v>
      </c>
      <c r="J221" s="124">
        <f>CavityStatus[[#This Row],[Total]]</f>
        <v>40187.5</v>
      </c>
      <c r="K221" s="126" t="str">
        <f>IF(CavityStatus[[#This Row],[Accept Date]]&lt;&gt;0,CavityStatus[[#This Row],[Accept Date]],"")</f>
        <v/>
      </c>
    </row>
    <row r="222" spans="2:11" x14ac:dyDescent="0.2">
      <c r="B222" s="125" t="str">
        <f>IF(CavityStatus[[#This Row],[Unit '#]]&lt;&gt;0,CavityStatus[[#This Row],[Unit '#]],"")</f>
        <v/>
      </c>
      <c r="C222" s="122" t="str">
        <f>CavityStatus[[#This Row],[Serial '#]]</f>
        <v>CAV198</v>
      </c>
      <c r="D222" s="123" t="str">
        <f>IF(CavityStatus[[#This Row],[Actual Ship Date]]&lt;&gt;0,CavityStatus[[#This Row],[Actual Ship Date]],"")</f>
        <v/>
      </c>
      <c r="E222" s="124">
        <f>CavityStatus[[#This Row],[Incentive Earned]]</f>
        <v>0</v>
      </c>
      <c r="F222" s="129" t="str">
        <f>IF(CavityStatus[[#This Row],[Receipt Date]]&lt;&gt;0,CavityStatus[[#This Row],[Receipt Date]],"")</f>
        <v/>
      </c>
      <c r="G222" s="124">
        <f>CavityStatus[[#This Row],[Recipe Modification (Mod 9)]]</f>
        <v>0</v>
      </c>
      <c r="H222" s="124">
        <f>CavityStatus[[#This Row],[Caps            
 (Mod 10)]]</f>
        <v>0</v>
      </c>
      <c r="I222" s="124">
        <f>CavityStatus[[#This Row],[Delivery &amp; Acceptance]]</f>
        <v>40187.5</v>
      </c>
      <c r="J222" s="124">
        <f>CavityStatus[[#This Row],[Total]]</f>
        <v>40187.5</v>
      </c>
      <c r="K222" s="126" t="str">
        <f>IF(CavityStatus[[#This Row],[Accept Date]]&lt;&gt;0,CavityStatus[[#This Row],[Accept Date]],"")</f>
        <v/>
      </c>
    </row>
    <row r="223" spans="2:11" x14ac:dyDescent="0.2">
      <c r="B223" s="125" t="str">
        <f>IF(CavityStatus[[#This Row],[Unit '#]]&lt;&gt;0,CavityStatus[[#This Row],[Unit '#]],"")</f>
        <v/>
      </c>
      <c r="C223" s="122" t="str">
        <f>CavityStatus[[#This Row],[Serial '#]]</f>
        <v>CAV199</v>
      </c>
      <c r="D223" s="123" t="str">
        <f>IF(CavityStatus[[#This Row],[Actual Ship Date]]&lt;&gt;0,CavityStatus[[#This Row],[Actual Ship Date]],"")</f>
        <v/>
      </c>
      <c r="E223" s="124">
        <f>CavityStatus[[#This Row],[Incentive Earned]]</f>
        <v>0</v>
      </c>
      <c r="F223" s="129" t="str">
        <f>IF(CavityStatus[[#This Row],[Receipt Date]]&lt;&gt;0,CavityStatus[[#This Row],[Receipt Date]],"")</f>
        <v/>
      </c>
      <c r="G223" s="124">
        <f>CavityStatus[[#This Row],[Recipe Modification (Mod 9)]]</f>
        <v>0</v>
      </c>
      <c r="H223" s="124">
        <f>CavityStatus[[#This Row],[Caps            
 (Mod 10)]]</f>
        <v>0</v>
      </c>
      <c r="I223" s="124">
        <f>CavityStatus[[#This Row],[Delivery &amp; Acceptance]]</f>
        <v>40187.5</v>
      </c>
      <c r="J223" s="124">
        <f>CavityStatus[[#This Row],[Total]]</f>
        <v>40187.5</v>
      </c>
      <c r="K223" s="126" t="str">
        <f>IF(CavityStatus[[#This Row],[Accept Date]]&lt;&gt;0,CavityStatus[[#This Row],[Accept Date]],"")</f>
        <v/>
      </c>
    </row>
    <row r="224" spans="2:11" x14ac:dyDescent="0.2">
      <c r="B224" s="125" t="str">
        <f>IF(CavityStatus[[#This Row],[Unit '#]]&lt;&gt;0,CavityStatus[[#This Row],[Unit '#]],"")</f>
        <v/>
      </c>
      <c r="C224" s="122" t="str">
        <f>CavityStatus[[#This Row],[Serial '#]]</f>
        <v>CAV200</v>
      </c>
      <c r="D224" s="123" t="str">
        <f>IF(CavityStatus[[#This Row],[Actual Ship Date]]&lt;&gt;0,CavityStatus[[#This Row],[Actual Ship Date]],"")</f>
        <v/>
      </c>
      <c r="E224" s="124">
        <f>CavityStatus[[#This Row],[Incentive Earned]]</f>
        <v>0</v>
      </c>
      <c r="F224" s="129" t="str">
        <f>IF(CavityStatus[[#This Row],[Receipt Date]]&lt;&gt;0,CavityStatus[[#This Row],[Receipt Date]],"")</f>
        <v/>
      </c>
      <c r="G224" s="124">
        <f>CavityStatus[[#This Row],[Recipe Modification (Mod 9)]]</f>
        <v>0</v>
      </c>
      <c r="H224" s="124">
        <f>CavityStatus[[#This Row],[Caps            
 (Mod 10)]]</f>
        <v>0</v>
      </c>
      <c r="I224" s="124">
        <f>CavityStatus[[#This Row],[Delivery &amp; Acceptance]]</f>
        <v>40187.5</v>
      </c>
      <c r="J224" s="124">
        <f>CavityStatus[[#This Row],[Total]]</f>
        <v>40187.5</v>
      </c>
      <c r="K224" s="126" t="str">
        <f>IF(CavityStatus[[#This Row],[Accept Date]]&lt;&gt;0,CavityStatus[[#This Row],[Accept Date]],"")</f>
        <v/>
      </c>
    </row>
    <row r="225" spans="1:11" x14ac:dyDescent="0.2">
      <c r="B225" s="125" t="str">
        <f>IF(CavityStatus[[#This Row],[Unit '#]]&lt;&gt;0,CavityStatus[[#This Row],[Unit '#]],"")</f>
        <v/>
      </c>
      <c r="C225" s="122" t="str">
        <f>CavityStatus[[#This Row],[Serial '#]]</f>
        <v>CAV201</v>
      </c>
      <c r="D225" s="123" t="str">
        <f>IF(CavityStatus[[#This Row],[Actual Ship Date]]&lt;&gt;0,CavityStatus[[#This Row],[Actual Ship Date]],"")</f>
        <v/>
      </c>
      <c r="E225" s="124">
        <f>CavityStatus[[#This Row],[Incentive Earned]]</f>
        <v>0</v>
      </c>
      <c r="F225" s="129" t="str">
        <f>IF(CavityStatus[[#This Row],[Receipt Date]]&lt;&gt;0,CavityStatus[[#This Row],[Receipt Date]],"")</f>
        <v/>
      </c>
      <c r="G225" s="124">
        <f>CavityStatus[[#This Row],[Recipe Modification (Mod 9)]]</f>
        <v>0</v>
      </c>
      <c r="H225" s="124">
        <f>CavityStatus[[#This Row],[Caps            
 (Mod 10)]]</f>
        <v>0</v>
      </c>
      <c r="I225" s="124">
        <f>CavityStatus[[#This Row],[Delivery &amp; Acceptance]]</f>
        <v>40187.5</v>
      </c>
      <c r="J225" s="124">
        <f>CavityStatus[[#This Row],[Total]]</f>
        <v>40187.5</v>
      </c>
      <c r="K225" s="126" t="str">
        <f>IF(CavityStatus[[#This Row],[Accept Date]]&lt;&gt;0,CavityStatus[[#This Row],[Accept Date]],"")</f>
        <v/>
      </c>
    </row>
    <row r="226" spans="1:11" x14ac:dyDescent="0.2">
      <c r="B226" s="125" t="str">
        <f>IF(CavityStatus[[#This Row],[Unit '#]]&lt;&gt;0,CavityStatus[[#This Row],[Unit '#]],"")</f>
        <v/>
      </c>
      <c r="C226" s="122" t="str">
        <f>CavityStatus[[#This Row],[Serial '#]]</f>
        <v>CAV202</v>
      </c>
      <c r="D226" s="123" t="str">
        <f>IF(CavityStatus[[#This Row],[Actual Ship Date]]&lt;&gt;0,CavityStatus[[#This Row],[Actual Ship Date]],"")</f>
        <v/>
      </c>
      <c r="E226" s="124">
        <f>CavityStatus[[#This Row],[Incentive Earned]]</f>
        <v>0</v>
      </c>
      <c r="F226" s="129" t="str">
        <f>IF(CavityStatus[[#This Row],[Receipt Date]]&lt;&gt;0,CavityStatus[[#This Row],[Receipt Date]],"")</f>
        <v/>
      </c>
      <c r="G226" s="124">
        <f>CavityStatus[[#This Row],[Recipe Modification (Mod 9)]]</f>
        <v>0</v>
      </c>
      <c r="H226" s="124">
        <f>CavityStatus[[#This Row],[Caps            
 (Mod 10)]]</f>
        <v>0</v>
      </c>
      <c r="I226" s="124">
        <f>CavityStatus[[#This Row],[Delivery &amp; Acceptance]]</f>
        <v>40187.5</v>
      </c>
      <c r="J226" s="124">
        <f>CavityStatus[[#This Row],[Total]]</f>
        <v>40187.5</v>
      </c>
      <c r="K226" s="126" t="str">
        <f>IF(CavityStatus[[#This Row],[Accept Date]]&lt;&gt;0,CavityStatus[[#This Row],[Accept Date]],"")</f>
        <v/>
      </c>
    </row>
    <row r="227" spans="1:11" ht="13.5" thickBot="1" x14ac:dyDescent="0.25">
      <c r="B227" s="127" t="str">
        <f>IF(CavityStatus[[#This Row],[Unit '#]]&lt;&gt;0,CavityStatus[[#This Row],[Unit '#]],"")</f>
        <v/>
      </c>
      <c r="C227" s="128">
        <f>CavityStatus[[#This Row],[Serial '#]]</f>
        <v>0</v>
      </c>
      <c r="D227" s="129" t="str">
        <f>IF(CavityStatus[[#This Row],[Actual Ship Date]]&lt;&gt;0,CavityStatus[[#This Row],[Actual Ship Date]],"")</f>
        <v/>
      </c>
      <c r="E227" s="130">
        <f>CavityStatus[[#This Row],[Incentive Earned]]</f>
        <v>0</v>
      </c>
      <c r="F227" s="129" t="str">
        <f>IF(CavityStatus[[#This Row],[Receipt Date]]&lt;&gt;0,CavityStatus[[#This Row],[Receipt Date]],"")</f>
        <v/>
      </c>
      <c r="G227" s="130">
        <f>CavityStatus[[#This Row],[Recipe Modification (Mod 9)]]</f>
        <v>0</v>
      </c>
      <c r="H227" s="130">
        <f>CavityStatus[[#This Row],[Caps            
 (Mod 10)]]</f>
        <v>0</v>
      </c>
      <c r="I227" s="130">
        <f>CavityStatus[[#This Row],[Delivery &amp; Acceptance]]</f>
        <v>40187.5</v>
      </c>
      <c r="J227" s="130">
        <f>CavityStatus[[#This Row],[Total]]</f>
        <v>40187.5</v>
      </c>
      <c r="K227" s="131" t="str">
        <f>IF(CavityStatus[[#This Row],[Accept Date]]&lt;&gt;0,CavityStatus[[#This Row],[Accept Date]],"")</f>
        <v/>
      </c>
    </row>
    <row r="228" spans="1:11" s="146" customFormat="1" ht="16.5" thickTop="1" thickBot="1" x14ac:dyDescent="0.25">
      <c r="A228"/>
      <c r="B228" s="189" t="s">
        <v>87</v>
      </c>
      <c r="C228" s="190">
        <f>SUBTOTAL(103,CavityStatus5[Serial '#])</f>
        <v>224</v>
      </c>
      <c r="D228" s="190"/>
      <c r="E228" s="191">
        <f>SUBTOTAL(109,CavityStatus5[Incentive Earned])</f>
        <v>245240</v>
      </c>
      <c r="F228" s="192"/>
      <c r="G228" s="191">
        <f>SUBTOTAL(109,CavityStatus5[Recipe Mod (Mod 9)])</f>
        <v>479716.15999999933</v>
      </c>
      <c r="H228" s="193">
        <f>SUBTOTAL(109,CavityStatus5[Caps            
 (Mod 10)])</f>
        <v>56840</v>
      </c>
      <c r="I228" s="191">
        <f>SUBTOTAL(109,CavityStatus5[Delivery &amp; Acceptance])</f>
        <v>9002000</v>
      </c>
      <c r="J228" s="191">
        <f>SUBTOTAL(109,CavityStatus5[Total])</f>
        <v>9783796.1599999927</v>
      </c>
      <c r="K228" s="194"/>
    </row>
    <row r="229" spans="1:11" ht="13.5" thickTop="1" x14ac:dyDescent="0.2"/>
  </sheetData>
  <mergeCells count="1">
    <mergeCell ref="B1:K1"/>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workbookViewId="0">
      <selection activeCell="C134" sqref="C18:C134"/>
    </sheetView>
  </sheetViews>
  <sheetFormatPr defaultRowHeight="12.75" x14ac:dyDescent="0.2"/>
  <cols>
    <col min="2" max="2" width="15.28515625" customWidth="1"/>
    <col min="3" max="3" width="14.5703125" customWidth="1"/>
  </cols>
  <sheetData>
    <row r="1" spans="1:3" x14ac:dyDescent="0.2">
      <c r="A1" s="49" t="s">
        <v>202</v>
      </c>
      <c r="B1" s="49" t="s">
        <v>203</v>
      </c>
      <c r="C1" s="49" t="s">
        <v>204</v>
      </c>
    </row>
    <row r="2" spans="1:3" x14ac:dyDescent="0.2">
      <c r="A2">
        <v>1</v>
      </c>
      <c r="B2" s="86">
        <v>42552</v>
      </c>
      <c r="C2" s="83">
        <v>20196</v>
      </c>
    </row>
    <row r="3" spans="1:3" x14ac:dyDescent="0.2">
      <c r="A3">
        <v>2</v>
      </c>
      <c r="B3" s="86">
        <v>42552</v>
      </c>
      <c r="C3" s="83">
        <v>20196</v>
      </c>
    </row>
    <row r="4" spans="1:3" x14ac:dyDescent="0.2">
      <c r="A4">
        <v>3</v>
      </c>
      <c r="B4" s="86">
        <v>42552</v>
      </c>
      <c r="C4" s="83">
        <v>20196</v>
      </c>
    </row>
    <row r="5" spans="1:3" x14ac:dyDescent="0.2">
      <c r="A5">
        <v>4</v>
      </c>
      <c r="B5" s="86">
        <v>42552</v>
      </c>
      <c r="C5" s="83">
        <v>20196</v>
      </c>
    </row>
    <row r="6" spans="1:3" x14ac:dyDescent="0.2">
      <c r="A6">
        <v>5</v>
      </c>
      <c r="B6" s="86">
        <v>42552</v>
      </c>
      <c r="C6" s="83">
        <v>20196</v>
      </c>
    </row>
    <row r="7" spans="1:3" x14ac:dyDescent="0.2">
      <c r="A7">
        <v>6</v>
      </c>
      <c r="B7" s="86">
        <v>42552</v>
      </c>
      <c r="C7" s="83">
        <v>20196</v>
      </c>
    </row>
    <row r="8" spans="1:3" x14ac:dyDescent="0.2">
      <c r="A8">
        <v>7</v>
      </c>
      <c r="B8" s="86">
        <v>42552</v>
      </c>
      <c r="C8" s="83">
        <v>20196</v>
      </c>
    </row>
    <row r="9" spans="1:3" x14ac:dyDescent="0.2">
      <c r="A9">
        <v>8</v>
      </c>
      <c r="B9" s="86">
        <v>42552</v>
      </c>
      <c r="C9" s="83">
        <v>20196</v>
      </c>
    </row>
    <row r="10" spans="1:3" x14ac:dyDescent="0.2">
      <c r="A10">
        <v>9</v>
      </c>
      <c r="B10" s="86">
        <v>42583</v>
      </c>
      <c r="C10" s="83">
        <v>20196</v>
      </c>
    </row>
    <row r="11" spans="1:3" x14ac:dyDescent="0.2">
      <c r="A11">
        <v>10</v>
      </c>
      <c r="B11" s="86">
        <v>42583</v>
      </c>
      <c r="C11" s="83">
        <v>20196</v>
      </c>
    </row>
    <row r="12" spans="1:3" x14ac:dyDescent="0.2">
      <c r="A12">
        <v>11</v>
      </c>
      <c r="B12" s="86">
        <v>42583</v>
      </c>
      <c r="C12" s="83">
        <v>20196</v>
      </c>
    </row>
    <row r="13" spans="1:3" x14ac:dyDescent="0.2">
      <c r="A13">
        <v>12</v>
      </c>
      <c r="B13" s="86">
        <v>42583</v>
      </c>
      <c r="C13" s="83">
        <v>20196</v>
      </c>
    </row>
    <row r="14" spans="1:3" x14ac:dyDescent="0.2">
      <c r="A14">
        <v>13</v>
      </c>
      <c r="B14" s="86">
        <v>42583</v>
      </c>
      <c r="C14" s="83">
        <v>20196</v>
      </c>
    </row>
    <row r="15" spans="1:3" x14ac:dyDescent="0.2">
      <c r="A15">
        <v>14</v>
      </c>
      <c r="B15" s="86">
        <v>42583</v>
      </c>
      <c r="C15" s="83">
        <v>20196</v>
      </c>
    </row>
    <row r="16" spans="1:3" x14ac:dyDescent="0.2">
      <c r="A16">
        <v>15</v>
      </c>
      <c r="B16" s="86">
        <v>42583</v>
      </c>
      <c r="C16" s="83">
        <v>20196</v>
      </c>
    </row>
    <row r="17" spans="1:3" x14ac:dyDescent="0.2">
      <c r="A17">
        <v>16</v>
      </c>
      <c r="B17" s="86">
        <v>42583</v>
      </c>
      <c r="C17" s="83">
        <v>20196</v>
      </c>
    </row>
    <row r="18" spans="1:3" x14ac:dyDescent="0.2">
      <c r="A18">
        <v>17</v>
      </c>
      <c r="B18" s="86">
        <v>42676</v>
      </c>
      <c r="C18" s="82">
        <v>5750</v>
      </c>
    </row>
    <row r="19" spans="1:3" x14ac:dyDescent="0.2">
      <c r="A19">
        <v>18</v>
      </c>
      <c r="B19" s="86">
        <v>42676</v>
      </c>
      <c r="C19" s="82">
        <v>5750</v>
      </c>
    </row>
    <row r="20" spans="1:3" x14ac:dyDescent="0.2">
      <c r="A20">
        <v>19</v>
      </c>
      <c r="B20" s="86">
        <v>42676</v>
      </c>
      <c r="C20" s="82">
        <v>5750</v>
      </c>
    </row>
    <row r="21" spans="1:3" x14ac:dyDescent="0.2">
      <c r="A21">
        <v>20</v>
      </c>
      <c r="B21" s="86">
        <v>42676</v>
      </c>
      <c r="C21" s="82">
        <v>5750</v>
      </c>
    </row>
    <row r="22" spans="1:3" x14ac:dyDescent="0.2">
      <c r="A22">
        <v>21</v>
      </c>
      <c r="B22" s="86">
        <v>42676</v>
      </c>
      <c r="C22" s="82">
        <v>5750</v>
      </c>
    </row>
    <row r="23" spans="1:3" x14ac:dyDescent="0.2">
      <c r="A23">
        <v>22</v>
      </c>
      <c r="B23" s="86">
        <v>42676</v>
      </c>
      <c r="C23" s="82">
        <v>5750</v>
      </c>
    </row>
    <row r="24" spans="1:3" x14ac:dyDescent="0.2">
      <c r="A24">
        <v>23</v>
      </c>
      <c r="B24" s="86">
        <v>42676</v>
      </c>
      <c r="C24" s="82">
        <v>5750</v>
      </c>
    </row>
    <row r="25" spans="1:3" x14ac:dyDescent="0.2">
      <c r="A25">
        <v>24</v>
      </c>
      <c r="B25" s="86">
        <v>42676</v>
      </c>
      <c r="C25" s="82">
        <v>5750</v>
      </c>
    </row>
    <row r="26" spans="1:3" x14ac:dyDescent="0.2">
      <c r="A26">
        <v>25</v>
      </c>
      <c r="B26" s="86">
        <v>42676</v>
      </c>
      <c r="C26" s="82">
        <v>5750</v>
      </c>
    </row>
    <row r="27" spans="1:3" x14ac:dyDescent="0.2">
      <c r="A27">
        <v>26</v>
      </c>
      <c r="B27" s="86">
        <v>42676</v>
      </c>
      <c r="C27" s="82">
        <v>5750</v>
      </c>
    </row>
    <row r="28" spans="1:3" x14ac:dyDescent="0.2">
      <c r="A28">
        <v>27</v>
      </c>
      <c r="B28" s="86">
        <v>42676</v>
      </c>
      <c r="C28" s="82">
        <v>5750</v>
      </c>
    </row>
    <row r="29" spans="1:3" x14ac:dyDescent="0.2">
      <c r="A29">
        <v>28</v>
      </c>
      <c r="B29" s="86">
        <v>42676</v>
      </c>
      <c r="C29" s="82">
        <v>5750</v>
      </c>
    </row>
    <row r="30" spans="1:3" x14ac:dyDescent="0.2">
      <c r="A30">
        <v>29</v>
      </c>
      <c r="B30" s="86">
        <v>42704</v>
      </c>
      <c r="C30" s="82">
        <v>5750</v>
      </c>
    </row>
    <row r="31" spans="1:3" x14ac:dyDescent="0.2">
      <c r="A31">
        <v>30</v>
      </c>
      <c r="B31" s="86">
        <v>42704</v>
      </c>
      <c r="C31" s="82">
        <v>5750</v>
      </c>
    </row>
    <row r="32" spans="1:3" x14ac:dyDescent="0.2">
      <c r="A32">
        <v>31</v>
      </c>
      <c r="B32" s="86">
        <v>42704</v>
      </c>
      <c r="C32" s="82">
        <v>5750</v>
      </c>
    </row>
    <row r="33" spans="1:3" x14ac:dyDescent="0.2">
      <c r="A33">
        <v>32</v>
      </c>
      <c r="B33" s="86">
        <v>42704</v>
      </c>
      <c r="C33" s="82">
        <v>5750</v>
      </c>
    </row>
    <row r="34" spans="1:3" x14ac:dyDescent="0.2">
      <c r="A34">
        <v>33</v>
      </c>
      <c r="B34" s="86">
        <v>42704</v>
      </c>
      <c r="C34" s="82">
        <v>5750</v>
      </c>
    </row>
    <row r="35" spans="1:3" x14ac:dyDescent="0.2">
      <c r="A35">
        <v>34</v>
      </c>
      <c r="B35" s="86">
        <v>42704</v>
      </c>
      <c r="C35" s="82">
        <v>5750</v>
      </c>
    </row>
    <row r="36" spans="1:3" x14ac:dyDescent="0.2">
      <c r="A36">
        <v>35</v>
      </c>
      <c r="B36" s="86">
        <v>42704</v>
      </c>
      <c r="C36" s="82">
        <v>5750</v>
      </c>
    </row>
    <row r="37" spans="1:3" x14ac:dyDescent="0.2">
      <c r="A37">
        <v>36</v>
      </c>
      <c r="B37" s="86">
        <v>42704</v>
      </c>
      <c r="C37" s="82">
        <v>5750</v>
      </c>
    </row>
    <row r="38" spans="1:3" x14ac:dyDescent="0.2">
      <c r="A38">
        <v>37</v>
      </c>
      <c r="B38" s="86">
        <v>42704</v>
      </c>
      <c r="C38" s="82">
        <v>5750</v>
      </c>
    </row>
    <row r="39" spans="1:3" x14ac:dyDescent="0.2">
      <c r="A39">
        <v>38</v>
      </c>
      <c r="B39" s="86">
        <v>42704</v>
      </c>
      <c r="C39" s="82">
        <v>5750</v>
      </c>
    </row>
    <row r="40" spans="1:3" x14ac:dyDescent="0.2">
      <c r="A40">
        <v>39</v>
      </c>
      <c r="B40" s="86">
        <v>42704</v>
      </c>
      <c r="C40" s="82">
        <v>5750</v>
      </c>
    </row>
    <row r="41" spans="1:3" x14ac:dyDescent="0.2">
      <c r="A41">
        <v>40</v>
      </c>
      <c r="B41" s="86">
        <v>42704</v>
      </c>
      <c r="C41" s="82">
        <v>5750</v>
      </c>
    </row>
    <row r="42" spans="1:3" x14ac:dyDescent="0.2">
      <c r="A42">
        <v>41</v>
      </c>
      <c r="B42" s="86">
        <v>42732</v>
      </c>
      <c r="C42" s="82">
        <v>2270</v>
      </c>
    </row>
    <row r="43" spans="1:3" x14ac:dyDescent="0.2">
      <c r="A43">
        <v>42</v>
      </c>
      <c r="B43" s="86">
        <v>42732</v>
      </c>
      <c r="C43" s="82">
        <v>2270</v>
      </c>
    </row>
    <row r="44" spans="1:3" x14ac:dyDescent="0.2">
      <c r="A44">
        <v>43</v>
      </c>
      <c r="B44" s="86">
        <v>42732</v>
      </c>
      <c r="C44" s="82">
        <v>2270</v>
      </c>
    </row>
    <row r="45" spans="1:3" x14ac:dyDescent="0.2">
      <c r="A45">
        <v>44</v>
      </c>
      <c r="B45" s="86">
        <v>42732</v>
      </c>
      <c r="C45" s="82">
        <v>2270</v>
      </c>
    </row>
    <row r="46" spans="1:3" x14ac:dyDescent="0.2">
      <c r="A46">
        <v>45</v>
      </c>
      <c r="B46" s="86">
        <v>42732</v>
      </c>
      <c r="C46" s="82">
        <v>2270</v>
      </c>
    </row>
    <row r="47" spans="1:3" x14ac:dyDescent="0.2">
      <c r="A47">
        <v>46</v>
      </c>
      <c r="B47" s="86">
        <v>42732</v>
      </c>
      <c r="C47" s="82">
        <v>2270</v>
      </c>
    </row>
    <row r="48" spans="1:3" x14ac:dyDescent="0.2">
      <c r="A48">
        <v>47</v>
      </c>
      <c r="B48" s="86">
        <v>42732</v>
      </c>
      <c r="C48" s="82">
        <v>2270</v>
      </c>
    </row>
    <row r="49" spans="1:3" x14ac:dyDescent="0.2">
      <c r="A49">
        <v>48</v>
      </c>
      <c r="B49" s="86">
        <v>42732</v>
      </c>
      <c r="C49" s="82">
        <v>2270</v>
      </c>
    </row>
    <row r="50" spans="1:3" x14ac:dyDescent="0.2">
      <c r="A50">
        <v>49</v>
      </c>
      <c r="B50" s="86">
        <v>42732</v>
      </c>
      <c r="C50" s="82">
        <v>2270</v>
      </c>
    </row>
    <row r="51" spans="1:3" x14ac:dyDescent="0.2">
      <c r="A51">
        <v>50</v>
      </c>
      <c r="B51" s="86">
        <v>42732</v>
      </c>
      <c r="C51" s="82">
        <v>2270</v>
      </c>
    </row>
    <row r="52" spans="1:3" x14ac:dyDescent="0.2">
      <c r="A52">
        <v>51</v>
      </c>
      <c r="B52" s="86">
        <v>42732</v>
      </c>
      <c r="C52" s="82">
        <v>2270</v>
      </c>
    </row>
    <row r="53" spans="1:3" x14ac:dyDescent="0.2">
      <c r="A53">
        <v>52</v>
      </c>
      <c r="B53" s="86">
        <v>42732</v>
      </c>
      <c r="C53" s="82">
        <v>2270</v>
      </c>
    </row>
    <row r="54" spans="1:3" x14ac:dyDescent="0.2">
      <c r="A54">
        <v>53</v>
      </c>
      <c r="B54" s="86">
        <v>42760</v>
      </c>
      <c r="C54" s="82">
        <v>1000</v>
      </c>
    </row>
    <row r="55" spans="1:3" x14ac:dyDescent="0.2">
      <c r="A55">
        <v>54</v>
      </c>
      <c r="B55" s="86">
        <v>42760</v>
      </c>
      <c r="C55" s="82">
        <v>1000</v>
      </c>
    </row>
    <row r="56" spans="1:3" x14ac:dyDescent="0.2">
      <c r="A56">
        <v>55</v>
      </c>
      <c r="B56" s="86">
        <v>42760</v>
      </c>
      <c r="C56" s="82">
        <v>1000</v>
      </c>
    </row>
    <row r="57" spans="1:3" x14ac:dyDescent="0.2">
      <c r="A57">
        <v>56</v>
      </c>
      <c r="B57" s="86">
        <v>42760</v>
      </c>
      <c r="C57" s="82">
        <v>1000</v>
      </c>
    </row>
    <row r="58" spans="1:3" x14ac:dyDescent="0.2">
      <c r="A58">
        <v>57</v>
      </c>
      <c r="B58" s="86">
        <v>42760</v>
      </c>
      <c r="C58" s="82">
        <v>1000</v>
      </c>
    </row>
    <row r="59" spans="1:3" x14ac:dyDescent="0.2">
      <c r="A59">
        <v>58</v>
      </c>
      <c r="B59" s="86">
        <v>42760</v>
      </c>
      <c r="C59" s="82">
        <v>1000</v>
      </c>
    </row>
    <row r="60" spans="1:3" x14ac:dyDescent="0.2">
      <c r="A60">
        <v>59</v>
      </c>
      <c r="B60" s="86">
        <v>42760</v>
      </c>
      <c r="C60" s="82">
        <v>1000</v>
      </c>
    </row>
    <row r="61" spans="1:3" x14ac:dyDescent="0.2">
      <c r="A61">
        <v>60</v>
      </c>
      <c r="B61" s="86">
        <v>42760</v>
      </c>
      <c r="C61" s="82">
        <v>1000</v>
      </c>
    </row>
    <row r="62" spans="1:3" x14ac:dyDescent="0.2">
      <c r="A62">
        <v>61</v>
      </c>
      <c r="B62" s="86">
        <v>42760</v>
      </c>
      <c r="C62" s="82">
        <v>1000</v>
      </c>
    </row>
    <row r="63" spans="1:3" x14ac:dyDescent="0.2">
      <c r="A63">
        <v>62</v>
      </c>
      <c r="B63" s="86">
        <v>42760</v>
      </c>
      <c r="C63" s="82">
        <v>1000</v>
      </c>
    </row>
    <row r="64" spans="1:3" x14ac:dyDescent="0.2">
      <c r="A64">
        <v>63</v>
      </c>
      <c r="B64" s="86">
        <v>42760</v>
      </c>
      <c r="C64" s="82">
        <v>1000</v>
      </c>
    </row>
    <row r="65" spans="1:3" x14ac:dyDescent="0.2">
      <c r="A65">
        <v>64</v>
      </c>
      <c r="B65" s="86">
        <v>42760</v>
      </c>
      <c r="C65" s="82">
        <v>1000</v>
      </c>
    </row>
    <row r="66" spans="1:3" x14ac:dyDescent="0.2">
      <c r="A66">
        <v>65</v>
      </c>
      <c r="B66" s="86">
        <v>42788</v>
      </c>
      <c r="C66" s="82">
        <v>1000</v>
      </c>
    </row>
    <row r="67" spans="1:3" x14ac:dyDescent="0.2">
      <c r="A67">
        <v>66</v>
      </c>
      <c r="B67" s="86">
        <v>42788</v>
      </c>
      <c r="C67" s="82">
        <v>1000</v>
      </c>
    </row>
    <row r="68" spans="1:3" x14ac:dyDescent="0.2">
      <c r="A68">
        <v>67</v>
      </c>
      <c r="B68" s="86">
        <v>42788</v>
      </c>
      <c r="C68" s="82">
        <v>1000</v>
      </c>
    </row>
    <row r="69" spans="1:3" x14ac:dyDescent="0.2">
      <c r="A69">
        <v>68</v>
      </c>
      <c r="B69" s="86">
        <v>42788</v>
      </c>
      <c r="C69" s="82">
        <v>1000</v>
      </c>
    </row>
    <row r="70" spans="1:3" x14ac:dyDescent="0.2">
      <c r="A70">
        <v>69</v>
      </c>
      <c r="B70" s="86">
        <v>42788</v>
      </c>
      <c r="C70" s="82">
        <v>1000</v>
      </c>
    </row>
    <row r="71" spans="1:3" x14ac:dyDescent="0.2">
      <c r="A71">
        <v>70</v>
      </c>
      <c r="B71" s="86">
        <v>42788</v>
      </c>
      <c r="C71" s="82">
        <v>1000</v>
      </c>
    </row>
    <row r="72" spans="1:3" x14ac:dyDescent="0.2">
      <c r="A72">
        <v>71</v>
      </c>
      <c r="B72" s="86">
        <v>42788</v>
      </c>
      <c r="C72" s="82">
        <v>1000</v>
      </c>
    </row>
    <row r="73" spans="1:3" x14ac:dyDescent="0.2">
      <c r="A73">
        <v>72</v>
      </c>
      <c r="B73" s="86">
        <v>42788</v>
      </c>
      <c r="C73" s="82">
        <v>1000</v>
      </c>
    </row>
    <row r="74" spans="1:3" x14ac:dyDescent="0.2">
      <c r="A74">
        <v>73</v>
      </c>
      <c r="B74" s="86">
        <v>42788</v>
      </c>
      <c r="C74" s="82">
        <v>1000</v>
      </c>
    </row>
    <row r="75" spans="1:3" x14ac:dyDescent="0.2">
      <c r="A75">
        <v>74</v>
      </c>
      <c r="B75" s="86">
        <v>42788</v>
      </c>
      <c r="C75" s="82">
        <v>1000</v>
      </c>
    </row>
    <row r="76" spans="1:3" x14ac:dyDescent="0.2">
      <c r="A76">
        <v>75</v>
      </c>
      <c r="B76" s="86">
        <v>42788</v>
      </c>
      <c r="C76" s="82">
        <v>1000</v>
      </c>
    </row>
    <row r="77" spans="1:3" x14ac:dyDescent="0.2">
      <c r="A77">
        <v>76</v>
      </c>
      <c r="B77" s="86">
        <v>42788</v>
      </c>
      <c r="C77" s="82">
        <v>1000</v>
      </c>
    </row>
    <row r="78" spans="1:3" x14ac:dyDescent="0.2">
      <c r="A78">
        <v>77</v>
      </c>
      <c r="B78" s="86">
        <v>42816</v>
      </c>
      <c r="C78" s="82">
        <v>1000</v>
      </c>
    </row>
    <row r="79" spans="1:3" x14ac:dyDescent="0.2">
      <c r="A79">
        <v>78</v>
      </c>
      <c r="B79" s="86">
        <v>42816</v>
      </c>
      <c r="C79" s="82">
        <v>1000</v>
      </c>
    </row>
    <row r="80" spans="1:3" x14ac:dyDescent="0.2">
      <c r="A80">
        <v>79</v>
      </c>
      <c r="B80" s="86">
        <v>42816</v>
      </c>
      <c r="C80" s="82">
        <v>1000</v>
      </c>
    </row>
    <row r="81" spans="1:3" x14ac:dyDescent="0.2">
      <c r="A81">
        <v>80</v>
      </c>
      <c r="B81" s="86">
        <v>42816</v>
      </c>
      <c r="C81" s="82">
        <v>1000</v>
      </c>
    </row>
    <row r="82" spans="1:3" x14ac:dyDescent="0.2">
      <c r="A82">
        <v>81</v>
      </c>
      <c r="B82" s="86">
        <v>42816</v>
      </c>
      <c r="C82" s="82">
        <v>1000</v>
      </c>
    </row>
    <row r="83" spans="1:3" x14ac:dyDescent="0.2">
      <c r="A83">
        <v>82</v>
      </c>
      <c r="B83" s="86">
        <v>42816</v>
      </c>
      <c r="C83" s="82">
        <v>1000</v>
      </c>
    </row>
    <row r="84" spans="1:3" x14ac:dyDescent="0.2">
      <c r="A84">
        <v>83</v>
      </c>
      <c r="B84" s="86">
        <v>42816</v>
      </c>
      <c r="C84" s="82">
        <v>1000</v>
      </c>
    </row>
    <row r="85" spans="1:3" x14ac:dyDescent="0.2">
      <c r="A85">
        <v>84</v>
      </c>
      <c r="B85" s="86">
        <v>42816</v>
      </c>
      <c r="C85" s="82">
        <v>1000</v>
      </c>
    </row>
    <row r="86" spans="1:3" x14ac:dyDescent="0.2">
      <c r="A86">
        <v>85</v>
      </c>
      <c r="B86" s="86">
        <v>42816</v>
      </c>
      <c r="C86" s="82">
        <v>1000</v>
      </c>
    </row>
    <row r="87" spans="1:3" x14ac:dyDescent="0.2">
      <c r="A87">
        <v>86</v>
      </c>
      <c r="B87" s="86">
        <v>42816</v>
      </c>
      <c r="C87" s="82">
        <v>1000</v>
      </c>
    </row>
    <row r="88" spans="1:3" x14ac:dyDescent="0.2">
      <c r="A88">
        <v>87</v>
      </c>
      <c r="B88" s="86">
        <v>42816</v>
      </c>
      <c r="C88" s="82">
        <v>1000</v>
      </c>
    </row>
    <row r="89" spans="1:3" x14ac:dyDescent="0.2">
      <c r="A89">
        <v>88</v>
      </c>
      <c r="B89" s="86">
        <v>42816</v>
      </c>
      <c r="C89" s="82">
        <v>1000</v>
      </c>
    </row>
    <row r="90" spans="1:3" x14ac:dyDescent="0.2">
      <c r="A90">
        <v>89</v>
      </c>
      <c r="B90" s="86">
        <v>42844</v>
      </c>
      <c r="C90" s="82">
        <v>1000</v>
      </c>
    </row>
    <row r="91" spans="1:3" x14ac:dyDescent="0.2">
      <c r="A91">
        <v>90</v>
      </c>
      <c r="B91" s="86">
        <v>42844</v>
      </c>
      <c r="C91" s="82">
        <v>1000</v>
      </c>
    </row>
    <row r="92" spans="1:3" x14ac:dyDescent="0.2">
      <c r="A92">
        <v>91</v>
      </c>
      <c r="B92" s="86">
        <v>42844</v>
      </c>
      <c r="C92" s="82">
        <v>1000</v>
      </c>
    </row>
    <row r="93" spans="1:3" x14ac:dyDescent="0.2">
      <c r="A93">
        <v>92</v>
      </c>
      <c r="B93" s="86">
        <v>42844</v>
      </c>
      <c r="C93" s="82">
        <v>1000</v>
      </c>
    </row>
    <row r="94" spans="1:3" x14ac:dyDescent="0.2">
      <c r="A94">
        <v>93</v>
      </c>
      <c r="B94" s="86">
        <v>42844</v>
      </c>
      <c r="C94" s="82">
        <v>1000</v>
      </c>
    </row>
    <row r="95" spans="1:3" x14ac:dyDescent="0.2">
      <c r="A95">
        <v>94</v>
      </c>
      <c r="B95" s="86">
        <v>42844</v>
      </c>
      <c r="C95" s="82">
        <v>1000</v>
      </c>
    </row>
    <row r="96" spans="1:3" x14ac:dyDescent="0.2">
      <c r="A96">
        <v>95</v>
      </c>
      <c r="B96" s="86">
        <v>42844</v>
      </c>
      <c r="C96" s="82">
        <v>1000</v>
      </c>
    </row>
    <row r="97" spans="1:3" x14ac:dyDescent="0.2">
      <c r="A97">
        <v>96</v>
      </c>
      <c r="B97" s="86">
        <v>42844</v>
      </c>
      <c r="C97" s="82">
        <v>1000</v>
      </c>
    </row>
    <row r="98" spans="1:3" x14ac:dyDescent="0.2">
      <c r="A98">
        <v>97</v>
      </c>
      <c r="B98" s="86">
        <v>42844</v>
      </c>
      <c r="C98" s="82">
        <v>1000</v>
      </c>
    </row>
    <row r="99" spans="1:3" x14ac:dyDescent="0.2">
      <c r="A99">
        <v>98</v>
      </c>
      <c r="B99" s="86">
        <v>42844</v>
      </c>
      <c r="C99" s="82">
        <v>1000</v>
      </c>
    </row>
    <row r="100" spans="1:3" x14ac:dyDescent="0.2">
      <c r="A100">
        <v>99</v>
      </c>
      <c r="B100" s="86">
        <v>42844</v>
      </c>
      <c r="C100" s="82">
        <v>1000</v>
      </c>
    </row>
    <row r="101" spans="1:3" x14ac:dyDescent="0.2">
      <c r="A101">
        <v>100</v>
      </c>
      <c r="B101" s="86">
        <v>42844</v>
      </c>
      <c r="C101" s="82">
        <v>1000</v>
      </c>
    </row>
    <row r="102" spans="1:3" x14ac:dyDescent="0.2">
      <c r="A102">
        <v>101</v>
      </c>
      <c r="B102" s="86">
        <v>42872</v>
      </c>
      <c r="C102" s="82">
        <v>1000</v>
      </c>
    </row>
    <row r="103" spans="1:3" x14ac:dyDescent="0.2">
      <c r="A103">
        <v>102</v>
      </c>
      <c r="B103" s="86">
        <v>42872</v>
      </c>
      <c r="C103" s="82">
        <v>1000</v>
      </c>
    </row>
    <row r="104" spans="1:3" x14ac:dyDescent="0.2">
      <c r="A104">
        <v>103</v>
      </c>
      <c r="B104" s="86">
        <v>42872</v>
      </c>
      <c r="C104" s="82">
        <v>1000</v>
      </c>
    </row>
    <row r="105" spans="1:3" x14ac:dyDescent="0.2">
      <c r="A105">
        <v>104</v>
      </c>
      <c r="B105" s="86">
        <v>42872</v>
      </c>
      <c r="C105" s="82">
        <v>1000</v>
      </c>
    </row>
    <row r="106" spans="1:3" x14ac:dyDescent="0.2">
      <c r="A106">
        <v>105</v>
      </c>
      <c r="B106" s="86">
        <v>42872</v>
      </c>
      <c r="C106" s="82">
        <v>1000</v>
      </c>
    </row>
    <row r="107" spans="1:3" x14ac:dyDescent="0.2">
      <c r="A107">
        <v>106</v>
      </c>
      <c r="B107" s="86">
        <v>42872</v>
      </c>
      <c r="C107" s="82">
        <v>1000</v>
      </c>
    </row>
    <row r="108" spans="1:3" x14ac:dyDescent="0.2">
      <c r="A108">
        <v>107</v>
      </c>
      <c r="B108" s="86">
        <v>42872</v>
      </c>
      <c r="C108" s="82">
        <v>1000</v>
      </c>
    </row>
    <row r="109" spans="1:3" x14ac:dyDescent="0.2">
      <c r="A109">
        <v>108</v>
      </c>
      <c r="B109" s="86">
        <v>42872</v>
      </c>
      <c r="C109" s="82">
        <v>1000</v>
      </c>
    </row>
    <row r="110" spans="1:3" x14ac:dyDescent="0.2">
      <c r="A110">
        <v>109</v>
      </c>
      <c r="B110" s="86">
        <v>42872</v>
      </c>
      <c r="C110" s="82">
        <v>1000</v>
      </c>
    </row>
    <row r="111" spans="1:3" x14ac:dyDescent="0.2">
      <c r="A111">
        <v>110</v>
      </c>
      <c r="B111" s="86">
        <v>42872</v>
      </c>
      <c r="C111" s="82">
        <v>1000</v>
      </c>
    </row>
    <row r="112" spans="1:3" x14ac:dyDescent="0.2">
      <c r="A112">
        <v>111</v>
      </c>
      <c r="B112" s="86">
        <v>42872</v>
      </c>
      <c r="C112" s="82">
        <v>1000</v>
      </c>
    </row>
    <row r="113" spans="1:3" x14ac:dyDescent="0.2">
      <c r="A113">
        <v>112</v>
      </c>
      <c r="B113" s="86">
        <v>42872</v>
      </c>
      <c r="C113" s="82">
        <v>1000</v>
      </c>
    </row>
    <row r="114" spans="1:3" x14ac:dyDescent="0.2">
      <c r="A114">
        <v>113</v>
      </c>
      <c r="B114" s="86">
        <v>42900</v>
      </c>
      <c r="C114" s="82">
        <v>1000</v>
      </c>
    </row>
    <row r="115" spans="1:3" x14ac:dyDescent="0.2">
      <c r="A115">
        <v>114</v>
      </c>
      <c r="B115" s="86">
        <v>42900</v>
      </c>
      <c r="C115" s="82">
        <v>1000</v>
      </c>
    </row>
    <row r="116" spans="1:3" x14ac:dyDescent="0.2">
      <c r="A116">
        <v>115</v>
      </c>
      <c r="B116" s="86">
        <v>42900</v>
      </c>
      <c r="C116" s="82">
        <v>1000</v>
      </c>
    </row>
    <row r="117" spans="1:3" x14ac:dyDescent="0.2">
      <c r="A117">
        <v>116</v>
      </c>
      <c r="B117" s="86">
        <v>42900</v>
      </c>
      <c r="C117" s="82">
        <v>1000</v>
      </c>
    </row>
    <row r="118" spans="1:3" x14ac:dyDescent="0.2">
      <c r="A118">
        <v>117</v>
      </c>
      <c r="B118" s="86">
        <v>42900</v>
      </c>
      <c r="C118" s="82">
        <v>1000</v>
      </c>
    </row>
    <row r="119" spans="1:3" x14ac:dyDescent="0.2">
      <c r="A119">
        <v>118</v>
      </c>
      <c r="B119" s="86">
        <v>42900</v>
      </c>
      <c r="C119" s="82">
        <v>1000</v>
      </c>
    </row>
    <row r="120" spans="1:3" x14ac:dyDescent="0.2">
      <c r="A120">
        <v>119</v>
      </c>
      <c r="B120" s="86">
        <v>42900</v>
      </c>
      <c r="C120" s="82">
        <v>1000</v>
      </c>
    </row>
    <row r="121" spans="1:3" x14ac:dyDescent="0.2">
      <c r="A121">
        <v>120</v>
      </c>
      <c r="B121" s="86">
        <v>42900</v>
      </c>
      <c r="C121" s="82">
        <v>1000</v>
      </c>
    </row>
    <row r="122" spans="1:3" x14ac:dyDescent="0.2">
      <c r="A122">
        <v>121</v>
      </c>
      <c r="B122" s="86">
        <v>42900</v>
      </c>
      <c r="C122" s="82">
        <v>1000</v>
      </c>
    </row>
    <row r="123" spans="1:3" x14ac:dyDescent="0.2">
      <c r="A123">
        <v>122</v>
      </c>
      <c r="B123" s="86">
        <v>42900</v>
      </c>
      <c r="C123" s="82">
        <v>1000</v>
      </c>
    </row>
    <row r="124" spans="1:3" x14ac:dyDescent="0.2">
      <c r="A124">
        <v>123</v>
      </c>
      <c r="B124" s="86">
        <v>42900</v>
      </c>
      <c r="C124" s="82">
        <v>1000</v>
      </c>
    </row>
    <row r="125" spans="1:3" x14ac:dyDescent="0.2">
      <c r="A125">
        <v>124</v>
      </c>
      <c r="B125" s="86">
        <v>42900</v>
      </c>
      <c r="C125" s="82">
        <v>1000</v>
      </c>
    </row>
    <row r="126" spans="1:3" x14ac:dyDescent="0.2">
      <c r="A126">
        <v>125</v>
      </c>
      <c r="B126" s="86">
        <v>42928</v>
      </c>
      <c r="C126" s="82">
        <v>1000</v>
      </c>
    </row>
    <row r="127" spans="1:3" x14ac:dyDescent="0.2">
      <c r="A127">
        <v>126</v>
      </c>
      <c r="B127" s="86">
        <v>42928</v>
      </c>
      <c r="C127" s="82">
        <v>1000</v>
      </c>
    </row>
    <row r="128" spans="1:3" x14ac:dyDescent="0.2">
      <c r="A128">
        <v>127</v>
      </c>
      <c r="B128" s="86">
        <v>42928</v>
      </c>
      <c r="C128" s="82">
        <v>1000</v>
      </c>
    </row>
    <row r="129" spans="1:3" x14ac:dyDescent="0.2">
      <c r="A129">
        <v>128</v>
      </c>
      <c r="B129" s="86">
        <v>42928</v>
      </c>
      <c r="C129" s="82">
        <v>1000</v>
      </c>
    </row>
    <row r="130" spans="1:3" x14ac:dyDescent="0.2">
      <c r="A130">
        <v>129</v>
      </c>
      <c r="B130" s="86">
        <v>42928</v>
      </c>
      <c r="C130" s="82">
        <v>1000</v>
      </c>
    </row>
    <row r="131" spans="1:3" x14ac:dyDescent="0.2">
      <c r="A131">
        <v>130</v>
      </c>
      <c r="B131" s="86">
        <v>42928</v>
      </c>
      <c r="C131" s="82">
        <v>1000</v>
      </c>
    </row>
    <row r="132" spans="1:3" x14ac:dyDescent="0.2">
      <c r="A132">
        <v>131</v>
      </c>
      <c r="B132" s="86">
        <v>42928</v>
      </c>
      <c r="C132" s="82">
        <v>1000</v>
      </c>
    </row>
    <row r="133" spans="1:3" x14ac:dyDescent="0.2">
      <c r="A133">
        <v>132</v>
      </c>
      <c r="B133" s="86">
        <v>42928</v>
      </c>
      <c r="C133" s="82">
        <v>1000</v>
      </c>
    </row>
    <row r="134" spans="1:3" x14ac:dyDescent="0.2">
      <c r="A134">
        <v>133</v>
      </c>
      <c r="B134" s="86">
        <v>42928</v>
      </c>
      <c r="C134" s="82">
        <v>1000</v>
      </c>
    </row>
    <row r="135" spans="1:3" x14ac:dyDescent="0.2">
      <c r="A135" t="s">
        <v>87</v>
      </c>
      <c r="C135" s="227">
        <f>SUBTOTAL(109,IncentiveTable[Incentive])</f>
        <v>569376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2.75" x14ac:dyDescent="0.2"/>
  <cols>
    <col min="5" max="5" width="53.140625" bestFit="1" customWidth="1"/>
    <col min="9" max="9" width="12.28515625" customWidth="1"/>
    <col min="11" max="11" width="13.140625" customWidth="1"/>
    <col min="13" max="13" width="10.140625" bestFit="1" customWidth="1"/>
    <col min="14" max="14" width="2.85546875" customWidth="1"/>
    <col min="16" max="16" width="1.5703125" customWidth="1"/>
    <col min="17" max="17" width="12.7109375" customWidth="1"/>
    <col min="18" max="18" width="1.7109375" customWidth="1"/>
    <col min="25" max="25" width="12.42578125" bestFit="1" customWidth="1"/>
  </cols>
  <sheetData>
    <row r="2" spans="1:25" ht="18.75" x14ac:dyDescent="0.2">
      <c r="E2" s="66" t="s">
        <v>36</v>
      </c>
      <c r="F2" s="66" t="s">
        <v>91</v>
      </c>
      <c r="H2" s="68" t="s">
        <v>100</v>
      </c>
      <c r="I2" s="68"/>
      <c r="J2" s="68" t="s">
        <v>101</v>
      </c>
      <c r="K2" s="68"/>
      <c r="M2" s="72" t="s">
        <v>95</v>
      </c>
      <c r="O2" s="72" t="s">
        <v>172</v>
      </c>
      <c r="Q2" s="72" t="s">
        <v>94</v>
      </c>
      <c r="S2" s="72" t="s">
        <v>174</v>
      </c>
      <c r="U2" s="49" t="s">
        <v>39</v>
      </c>
      <c r="W2" s="79">
        <v>42675</v>
      </c>
      <c r="Y2" s="49" t="s">
        <v>201</v>
      </c>
    </row>
    <row r="3" spans="1:25" ht="18.75" x14ac:dyDescent="0.2">
      <c r="A3" s="47" t="s">
        <v>39</v>
      </c>
      <c r="E3" s="65" t="str">
        <f>IF(' Accting USE Data Entry Form'!B10&gt;0,' Accting USE Data Entry Form'!B10,"")</f>
        <v>Proof of equipment order furnace uprade</v>
      </c>
      <c r="F3" s="65">
        <f>' Accting USE Data Entry Form'!A10</f>
        <v>1</v>
      </c>
      <c r="H3" s="69" t="s">
        <v>102</v>
      </c>
      <c r="I3" s="68" t="s">
        <v>103</v>
      </c>
      <c r="J3" s="69" t="s">
        <v>102</v>
      </c>
      <c r="K3" s="68" t="s">
        <v>104</v>
      </c>
      <c r="M3" s="71">
        <f ca="1">TODAY()-7</f>
        <v>43095</v>
      </c>
      <c r="O3" s="73" t="s">
        <v>98</v>
      </c>
      <c r="Q3" s="74" t="s">
        <v>97</v>
      </c>
      <c r="S3" s="73" t="s">
        <v>175</v>
      </c>
      <c r="U3" s="76">
        <v>0</v>
      </c>
      <c r="W3" s="79">
        <v>42705</v>
      </c>
      <c r="Y3" s="82">
        <f>160750/4</f>
        <v>40187.5</v>
      </c>
    </row>
    <row r="4" spans="1:25" ht="18.75" x14ac:dyDescent="0.2">
      <c r="A4" s="48">
        <v>1</v>
      </c>
      <c r="E4" s="65" t="str">
        <f>IF(' Accting USE Data Entry Form'!B11&gt;0,' Accting USE Data Entry Form'!B11,"")</f>
        <v>Proof of completed furnace uprade</v>
      </c>
      <c r="F4" s="65">
        <f>' Accting USE Data Entry Form'!A11</f>
        <v>2</v>
      </c>
      <c r="H4" s="68" t="s">
        <v>105</v>
      </c>
      <c r="I4" s="68" t="s">
        <v>106</v>
      </c>
      <c r="J4" s="68" t="s">
        <v>105</v>
      </c>
      <c r="K4" s="68" t="s">
        <v>104</v>
      </c>
      <c r="M4" s="71">
        <f ca="1">WORKDAY(M3,1)</f>
        <v>43096</v>
      </c>
      <c r="O4" s="73" t="s">
        <v>99</v>
      </c>
      <c r="Q4" s="74" t="s">
        <v>171</v>
      </c>
      <c r="S4" s="73" t="s">
        <v>176</v>
      </c>
      <c r="U4" s="76">
        <v>2.5000000000000001E-2</v>
      </c>
      <c r="W4" s="79">
        <v>42736</v>
      </c>
    </row>
    <row r="5" spans="1:25" ht="18.75" x14ac:dyDescent="0.2">
      <c r="A5" s="48">
        <v>0.95</v>
      </c>
      <c r="E5" s="65" t="str">
        <f>IF(' Accting USE Data Entry Form'!B12&gt;0,' Accting USE Data Entry Form'!B12,"")</f>
        <v>Acceptance of Ni doping process - Cav 1 (of 2)</v>
      </c>
      <c r="F5" s="65">
        <f>' Accting USE Data Entry Form'!A12</f>
        <v>3</v>
      </c>
      <c r="H5" s="68" t="s">
        <v>107</v>
      </c>
      <c r="I5" s="68" t="s">
        <v>106</v>
      </c>
      <c r="J5" s="68" t="s">
        <v>107</v>
      </c>
      <c r="K5" s="68" t="s">
        <v>108</v>
      </c>
      <c r="M5" s="71">
        <f t="shared" ref="M5:M23" ca="1" si="0">WORKDAY(M4,1)</f>
        <v>43097</v>
      </c>
      <c r="S5" s="73" t="s">
        <v>177</v>
      </c>
      <c r="U5" s="76">
        <f t="shared" ref="U5:U43" si="1">U4+0.025</f>
        <v>0.05</v>
      </c>
      <c r="W5" s="79">
        <v>42767</v>
      </c>
    </row>
    <row r="6" spans="1:25" ht="18.75" x14ac:dyDescent="0.2">
      <c r="A6" s="48">
        <v>0.89999999999999991</v>
      </c>
      <c r="E6" s="65" t="str">
        <f>IF(' Accting USE Data Entry Form'!B13&gt;0,' Accting USE Data Entry Form'!B13,"")</f>
        <v>Acceptance of Ni doping process - Cav 2 (of 2)</v>
      </c>
      <c r="F6" s="65">
        <f>' Accting USE Data Entry Form'!A13</f>
        <v>4</v>
      </c>
      <c r="H6" s="68" t="s">
        <v>109</v>
      </c>
      <c r="I6" s="68" t="s">
        <v>103</v>
      </c>
      <c r="J6" s="68" t="s">
        <v>109</v>
      </c>
      <c r="K6" s="68" t="s">
        <v>108</v>
      </c>
      <c r="M6" s="71">
        <f t="shared" ca="1" si="0"/>
        <v>43098</v>
      </c>
      <c r="S6" s="73" t="s">
        <v>178</v>
      </c>
      <c r="U6" s="76">
        <f t="shared" si="1"/>
        <v>7.5000000000000011E-2</v>
      </c>
      <c r="W6" s="79">
        <v>42795</v>
      </c>
    </row>
    <row r="7" spans="1:25" ht="18.75" x14ac:dyDescent="0.2">
      <c r="A7" s="48">
        <v>0.84999999999999987</v>
      </c>
      <c r="E7" s="65" t="str">
        <f>IF(' Accting USE Data Entry Form'!B14&gt;0,' Accting USE Data Entry Form'!B14,"")</f>
        <v>PH II: Mfg Drawings Accepted by JLab</v>
      </c>
      <c r="F7" s="65">
        <f>' Accting USE Data Entry Form'!A14</f>
        <v>5</v>
      </c>
      <c r="H7" s="68" t="s">
        <v>110</v>
      </c>
      <c r="I7" s="68" t="s">
        <v>111</v>
      </c>
      <c r="J7" s="68" t="s">
        <v>110</v>
      </c>
      <c r="K7" s="68" t="s">
        <v>112</v>
      </c>
      <c r="M7" s="71">
        <f t="shared" ca="1" si="0"/>
        <v>43101</v>
      </c>
      <c r="S7" s="73" t="s">
        <v>179</v>
      </c>
      <c r="U7" s="76">
        <f t="shared" si="1"/>
        <v>0.1</v>
      </c>
      <c r="W7" s="79">
        <v>42826</v>
      </c>
    </row>
    <row r="8" spans="1:25" ht="18.75" x14ac:dyDescent="0.2">
      <c r="A8" s="48">
        <v>0.79999999999999982</v>
      </c>
      <c r="E8" s="65" t="str">
        <f>IF(' Accting USE Data Entry Form'!B15&gt;0,' Accting USE Data Entry Form'!B15,"")</f>
        <v>PH II: FAs Mech Pre-fab (Deep Draw)</v>
      </c>
      <c r="F8" s="65">
        <f>' Accting USE Data Entry Form'!A15</f>
        <v>6</v>
      </c>
      <c r="H8" s="68" t="s">
        <v>113</v>
      </c>
      <c r="I8" s="68" t="s">
        <v>111</v>
      </c>
      <c r="J8" s="68" t="s">
        <v>113</v>
      </c>
      <c r="K8" s="68" t="s">
        <v>112</v>
      </c>
      <c r="M8" s="71">
        <f t="shared" ca="1" si="0"/>
        <v>43102</v>
      </c>
      <c r="S8" s="73" t="s">
        <v>180</v>
      </c>
      <c r="U8" s="76">
        <f t="shared" si="1"/>
        <v>0.125</v>
      </c>
      <c r="W8" s="79">
        <v>42856</v>
      </c>
    </row>
    <row r="9" spans="1:25" ht="18.75" x14ac:dyDescent="0.2">
      <c r="A9" s="48">
        <v>0.74999999999999978</v>
      </c>
      <c r="E9" s="65" t="str">
        <f>IF(' Accting USE Data Entry Form'!B16&gt;0,' Accting USE Data Entry Form'!B16,"")</f>
        <v xml:space="preserve">PH III: Mech Pre-Fab Cavities (9-72) </v>
      </c>
      <c r="F9" s="65">
        <f>' Accting USE Data Entry Form'!A16</f>
        <v>7</v>
      </c>
      <c r="H9" s="68" t="s">
        <v>114</v>
      </c>
      <c r="I9" s="68" t="s">
        <v>115</v>
      </c>
      <c r="J9" s="68" t="s">
        <v>114</v>
      </c>
      <c r="K9" s="68" t="s">
        <v>116</v>
      </c>
      <c r="M9" s="71">
        <f t="shared" ca="1" si="0"/>
        <v>43103</v>
      </c>
      <c r="S9" s="73" t="s">
        <v>181</v>
      </c>
      <c r="U9" s="76">
        <f t="shared" si="1"/>
        <v>0.15</v>
      </c>
      <c r="W9" s="79">
        <v>42887</v>
      </c>
    </row>
    <row r="10" spans="1:25" ht="18.75" x14ac:dyDescent="0.2">
      <c r="A10" s="48">
        <v>0.69999999999999973</v>
      </c>
      <c r="E10" s="65" t="str">
        <f>IF(' Accting USE Data Entry Form'!B17&gt;0,' Accting USE Data Entry Form'!B17,"")</f>
        <v xml:space="preserve">PH III: Mech Pre-Fab Cavities (73-133) </v>
      </c>
      <c r="F10" s="65">
        <f>' Accting USE Data Entry Form'!A17</f>
        <v>8</v>
      </c>
      <c r="H10" s="68" t="s">
        <v>117</v>
      </c>
      <c r="I10" s="68" t="s">
        <v>115</v>
      </c>
      <c r="J10" s="68" t="s">
        <v>117</v>
      </c>
      <c r="K10" s="68" t="s">
        <v>116</v>
      </c>
      <c r="M10" s="71">
        <f t="shared" ca="1" si="0"/>
        <v>43104</v>
      </c>
      <c r="S10" s="73" t="s">
        <v>182</v>
      </c>
      <c r="U10" s="76">
        <f t="shared" si="1"/>
        <v>0.17499999999999999</v>
      </c>
      <c r="W10" s="79">
        <v>42917</v>
      </c>
    </row>
    <row r="11" spans="1:25" ht="18.75" x14ac:dyDescent="0.2">
      <c r="A11" s="48">
        <v>0.64999999999999969</v>
      </c>
      <c r="E11" s="65" t="str">
        <f>IF(' Accting USE Data Entry Form'!B18&gt;0,' Accting USE Data Entry Form'!B18,"")</f>
        <v xml:space="preserve">PH II: First Articles Deliver &amp; Accept (1-8) </v>
      </c>
      <c r="F11" s="65">
        <f>' Accting USE Data Entry Form'!A18</f>
        <v>9</v>
      </c>
      <c r="H11" s="68" t="s">
        <v>118</v>
      </c>
      <c r="I11" s="68" t="s">
        <v>119</v>
      </c>
      <c r="J11" s="68" t="s">
        <v>118</v>
      </c>
      <c r="K11" s="68" t="s">
        <v>120</v>
      </c>
      <c r="M11" s="71">
        <f t="shared" ca="1" si="0"/>
        <v>43105</v>
      </c>
      <c r="U11" s="76">
        <f t="shared" si="1"/>
        <v>0.19999999999999998</v>
      </c>
      <c r="W11" s="79">
        <v>42948</v>
      </c>
    </row>
    <row r="12" spans="1:25" ht="18.75" x14ac:dyDescent="0.2">
      <c r="A12" s="48">
        <v>0.59999999999999964</v>
      </c>
      <c r="E12" s="65" t="str">
        <f>IF(' Accting USE Data Entry Form'!B19&gt;0,' Accting USE Data Entry Form'!B19,"")</f>
        <v>PH III:  Deliver &amp; Accept  Cavities (9-12)</v>
      </c>
      <c r="F12" s="65">
        <f>' Accting USE Data Entry Form'!A19</f>
        <v>10</v>
      </c>
      <c r="H12" s="68" t="s">
        <v>121</v>
      </c>
      <c r="I12" s="68" t="s">
        <v>119</v>
      </c>
      <c r="J12" s="68" t="s">
        <v>121</v>
      </c>
      <c r="K12" s="68" t="s">
        <v>120</v>
      </c>
      <c r="M12" s="71">
        <f t="shared" ca="1" si="0"/>
        <v>43108</v>
      </c>
      <c r="U12" s="76">
        <f t="shared" si="1"/>
        <v>0.22499999999999998</v>
      </c>
      <c r="W12" s="79">
        <v>42979</v>
      </c>
    </row>
    <row r="13" spans="1:25" ht="18.75" x14ac:dyDescent="0.2">
      <c r="A13" s="48">
        <v>0.5499999999999996</v>
      </c>
      <c r="E13" s="65" t="str">
        <f>IF(' Accting USE Data Entry Form'!B20&gt;0,' Accting USE Data Entry Form'!B20,"")</f>
        <v>PH III:  Deliver &amp; Accept  Cavities (13-16)</v>
      </c>
      <c r="F13" s="65">
        <f>' Accting USE Data Entry Form'!A20</f>
        <v>11</v>
      </c>
      <c r="H13" s="68" t="s">
        <v>122</v>
      </c>
      <c r="I13" s="68" t="s">
        <v>123</v>
      </c>
      <c r="J13" s="68" t="s">
        <v>122</v>
      </c>
      <c r="K13" s="68" t="s">
        <v>124</v>
      </c>
      <c r="M13" s="71">
        <f t="shared" ca="1" si="0"/>
        <v>43109</v>
      </c>
      <c r="U13" s="76">
        <f t="shared" si="1"/>
        <v>0.24999999999999997</v>
      </c>
      <c r="W13" s="79">
        <v>43009</v>
      </c>
    </row>
    <row r="14" spans="1:25" ht="18.75" x14ac:dyDescent="0.2">
      <c r="A14" s="48">
        <v>0.49999999999999961</v>
      </c>
      <c r="E14" s="65" t="str">
        <f>IF(' Accting USE Data Entry Form'!B21&gt;0,' Accting USE Data Entry Form'!B21,"")</f>
        <v>PH III:  Deliver &amp; Accept  Cavities (17-20)</v>
      </c>
      <c r="F14" s="65">
        <f>' Accting USE Data Entry Form'!A21</f>
        <v>12</v>
      </c>
      <c r="H14" s="68" t="s">
        <v>125</v>
      </c>
      <c r="I14" s="68" t="s">
        <v>123</v>
      </c>
      <c r="J14" s="68" t="s">
        <v>125</v>
      </c>
      <c r="K14" s="68" t="s">
        <v>124</v>
      </c>
      <c r="M14" s="71">
        <f t="shared" ca="1" si="0"/>
        <v>43110</v>
      </c>
      <c r="U14" s="76">
        <f t="shared" si="1"/>
        <v>0.27499999999999997</v>
      </c>
      <c r="W14" s="79">
        <v>43040</v>
      </c>
    </row>
    <row r="15" spans="1:25" ht="18.75" x14ac:dyDescent="0.2">
      <c r="A15" s="48">
        <v>0.44999999999999962</v>
      </c>
      <c r="E15" s="65" t="str">
        <f>IF(' Accting USE Data Entry Form'!B22&gt;0,' Accting USE Data Entry Form'!B22,"")</f>
        <v>PH III:  Deliver &amp; Accept  Cavities (21-24)</v>
      </c>
      <c r="F15" s="65">
        <f>' Accting USE Data Entry Form'!A22</f>
        <v>13</v>
      </c>
      <c r="H15" s="68" t="s">
        <v>126</v>
      </c>
      <c r="I15" s="68" t="s">
        <v>127</v>
      </c>
      <c r="J15" s="68" t="s">
        <v>126</v>
      </c>
      <c r="K15" s="68" t="s">
        <v>128</v>
      </c>
      <c r="M15" s="71">
        <f t="shared" ca="1" si="0"/>
        <v>43111</v>
      </c>
      <c r="U15" s="76">
        <f t="shared" si="1"/>
        <v>0.3</v>
      </c>
      <c r="W15" s="79">
        <v>43070</v>
      </c>
    </row>
    <row r="16" spans="1:25" ht="18.75" x14ac:dyDescent="0.2">
      <c r="A16" s="48">
        <v>0.39999999999999963</v>
      </c>
      <c r="E16" s="65" t="str">
        <f>IF(' Accting USE Data Entry Form'!B23&gt;0,' Accting USE Data Entry Form'!B23,"")</f>
        <v>PH III:  Deliver &amp; Accept  Cavities (25-28)</v>
      </c>
      <c r="F16" s="65">
        <f>' Accting USE Data Entry Form'!A23</f>
        <v>14</v>
      </c>
      <c r="H16" s="68" t="s">
        <v>129</v>
      </c>
      <c r="I16" s="68" t="s">
        <v>127</v>
      </c>
      <c r="J16" s="68" t="s">
        <v>129</v>
      </c>
      <c r="K16" s="68" t="s">
        <v>128</v>
      </c>
      <c r="M16" s="71">
        <f t="shared" ca="1" si="0"/>
        <v>43112</v>
      </c>
      <c r="U16" s="76">
        <f t="shared" si="1"/>
        <v>0.32500000000000001</v>
      </c>
      <c r="W16" s="79">
        <v>43101</v>
      </c>
    </row>
    <row r="17" spans="1:23" ht="18.75" x14ac:dyDescent="0.2">
      <c r="A17" s="48">
        <v>0.34999999999999964</v>
      </c>
      <c r="E17" s="65" t="str">
        <f>IF(' Accting USE Data Entry Form'!B24&gt;0,' Accting USE Data Entry Form'!B24,"")</f>
        <v>PH III:  Deliver &amp; Accept  Cavities (29-32)</v>
      </c>
      <c r="F17" s="65">
        <f>' Accting USE Data Entry Form'!A24</f>
        <v>15</v>
      </c>
      <c r="H17" s="68" t="s">
        <v>130</v>
      </c>
      <c r="I17" s="68" t="s">
        <v>131</v>
      </c>
      <c r="J17" s="68" t="s">
        <v>130</v>
      </c>
      <c r="K17" s="68" t="s">
        <v>132</v>
      </c>
      <c r="M17" s="71">
        <f t="shared" ca="1" si="0"/>
        <v>43115</v>
      </c>
      <c r="U17" s="76">
        <f t="shared" si="1"/>
        <v>0.35000000000000003</v>
      </c>
      <c r="W17" s="79">
        <v>43132</v>
      </c>
    </row>
    <row r="18" spans="1:23" ht="18.75" x14ac:dyDescent="0.2">
      <c r="A18" s="48">
        <v>0.29999999999999966</v>
      </c>
      <c r="E18" s="65" t="str">
        <f>IF(' Accting USE Data Entry Form'!B25&gt;0,' Accting USE Data Entry Form'!B25,"")</f>
        <v>PH III:  Deliver &amp; Accept  Cavities (33-36)</v>
      </c>
      <c r="F18" s="65">
        <f>' Accting USE Data Entry Form'!A25</f>
        <v>16</v>
      </c>
      <c r="H18" s="68" t="s">
        <v>133</v>
      </c>
      <c r="I18" s="68" t="s">
        <v>131</v>
      </c>
      <c r="J18" s="68" t="s">
        <v>133</v>
      </c>
      <c r="K18" s="68" t="s">
        <v>132</v>
      </c>
      <c r="M18" s="71">
        <f t="shared" ca="1" si="0"/>
        <v>43116</v>
      </c>
      <c r="U18" s="76">
        <f t="shared" si="1"/>
        <v>0.37500000000000006</v>
      </c>
      <c r="W18" s="79">
        <v>43160</v>
      </c>
    </row>
    <row r="19" spans="1:23" ht="18.75" x14ac:dyDescent="0.2">
      <c r="A19" s="48">
        <v>0.24999999999999967</v>
      </c>
      <c r="E19" s="65" t="str">
        <f>IF(' Accting USE Data Entry Form'!B26&gt;0,' Accting USE Data Entry Form'!B26,"")</f>
        <v>PH III:  Deliver &amp; Accept  Cavities (37-40)</v>
      </c>
      <c r="F19" s="65">
        <f>' Accting USE Data Entry Form'!A26</f>
        <v>17</v>
      </c>
      <c r="H19" s="68" t="s">
        <v>134</v>
      </c>
      <c r="I19" s="68" t="s">
        <v>135</v>
      </c>
      <c r="J19" s="68" t="s">
        <v>134</v>
      </c>
      <c r="K19" s="68" t="s">
        <v>136</v>
      </c>
      <c r="M19" s="71">
        <f t="shared" ca="1" si="0"/>
        <v>43117</v>
      </c>
      <c r="U19" s="76">
        <f t="shared" si="1"/>
        <v>0.40000000000000008</v>
      </c>
      <c r="W19" s="79">
        <v>43191</v>
      </c>
    </row>
    <row r="20" spans="1:23" ht="18.75" x14ac:dyDescent="0.2">
      <c r="A20" s="48">
        <v>0.19999999999999968</v>
      </c>
      <c r="E20" s="65" t="str">
        <f>IF(' Accting USE Data Entry Form'!B27&gt;0,' Accting USE Data Entry Form'!B27,"")</f>
        <v>PH III:  Deliver &amp; Accept  Cavities (41-44)</v>
      </c>
      <c r="F20" s="65">
        <f>' Accting USE Data Entry Form'!A27</f>
        <v>18</v>
      </c>
      <c r="H20" s="68" t="s">
        <v>137</v>
      </c>
      <c r="I20" s="68" t="s">
        <v>135</v>
      </c>
      <c r="J20" s="68" t="s">
        <v>137</v>
      </c>
      <c r="K20" s="68" t="s">
        <v>136</v>
      </c>
      <c r="M20" s="71">
        <f t="shared" ca="1" si="0"/>
        <v>43118</v>
      </c>
      <c r="U20" s="76">
        <f t="shared" si="1"/>
        <v>0.4250000000000001</v>
      </c>
      <c r="W20" s="79">
        <v>43221</v>
      </c>
    </row>
    <row r="21" spans="1:23" ht="18.75" x14ac:dyDescent="0.2">
      <c r="A21" s="48">
        <v>0.14999999999999969</v>
      </c>
      <c r="E21" s="65" t="str">
        <f>IF(' Accting USE Data Entry Form'!B28&gt;0,' Accting USE Data Entry Form'!B28,"")</f>
        <v>PH III:  Deliver &amp; Accept  Cavities (45-48)</v>
      </c>
      <c r="F21" s="65">
        <f>' Accting USE Data Entry Form'!A28</f>
        <v>19</v>
      </c>
      <c r="H21" s="68" t="s">
        <v>138</v>
      </c>
      <c r="I21" s="68" t="s">
        <v>139</v>
      </c>
      <c r="J21" s="68" t="s">
        <v>138</v>
      </c>
      <c r="K21" s="68" t="s">
        <v>140</v>
      </c>
      <c r="M21" s="71">
        <f t="shared" ca="1" si="0"/>
        <v>43119</v>
      </c>
      <c r="U21" s="76">
        <f t="shared" si="1"/>
        <v>0.45000000000000012</v>
      </c>
      <c r="W21" s="79">
        <v>43252</v>
      </c>
    </row>
    <row r="22" spans="1:23" ht="18.75" x14ac:dyDescent="0.2">
      <c r="A22" s="48">
        <v>9.9999999999999686E-2</v>
      </c>
      <c r="E22" s="65" t="str">
        <f>IF(' Accting USE Data Entry Form'!B29&gt;0,' Accting USE Data Entry Form'!B29,"")</f>
        <v>PH III:  Deliver &amp; Accept  Cavities (49-52)</v>
      </c>
      <c r="F22" s="65">
        <f>' Accting USE Data Entry Form'!A29</f>
        <v>20</v>
      </c>
      <c r="H22" s="68" t="s">
        <v>141</v>
      </c>
      <c r="I22" s="68" t="s">
        <v>139</v>
      </c>
      <c r="J22" s="68" t="s">
        <v>141</v>
      </c>
      <c r="K22" s="68" t="s">
        <v>142</v>
      </c>
      <c r="M22" s="71">
        <f t="shared" ca="1" si="0"/>
        <v>43122</v>
      </c>
      <c r="U22" s="76">
        <f t="shared" si="1"/>
        <v>0.47500000000000014</v>
      </c>
      <c r="W22" s="79">
        <v>43282</v>
      </c>
    </row>
    <row r="23" spans="1:23" ht="18.75" x14ac:dyDescent="0.2">
      <c r="A23" s="48">
        <v>4.9999999999999684E-2</v>
      </c>
      <c r="E23" s="65" t="str">
        <f>IF(' Accting USE Data Entry Form'!B30&gt;0,' Accting USE Data Entry Form'!B30,"")</f>
        <v>MOD 002: DESY Equip Refurbishment</v>
      </c>
      <c r="F23" s="65">
        <f>' Accting USE Data Entry Form'!A30</f>
        <v>21</v>
      </c>
      <c r="H23" s="68" t="s">
        <v>143</v>
      </c>
      <c r="I23" s="68" t="s">
        <v>144</v>
      </c>
      <c r="J23" s="68" t="s">
        <v>143</v>
      </c>
      <c r="K23" s="68" t="s">
        <v>145</v>
      </c>
      <c r="M23" s="71">
        <f t="shared" ca="1" si="0"/>
        <v>43123</v>
      </c>
      <c r="U23" s="76">
        <f t="shared" si="1"/>
        <v>0.50000000000000011</v>
      </c>
      <c r="W23" s="79">
        <v>43313</v>
      </c>
    </row>
    <row r="24" spans="1:23" ht="18.75" x14ac:dyDescent="0.2">
      <c r="A24" s="48">
        <v>-3.1918911957973251E-16</v>
      </c>
      <c r="E24" s="65" t="str">
        <f>IF(' Accting USE Data Entry Form'!B31&gt;0,' Accting USE Data Entry Form'!B31,"")</f>
        <v xml:space="preserve">MOD 002: DESY Equip Service &amp; Support Costs  </v>
      </c>
      <c r="F24" s="65">
        <f>' Accting USE Data Entry Form'!A31</f>
        <v>22</v>
      </c>
      <c r="H24" s="68" t="s">
        <v>146</v>
      </c>
      <c r="I24" s="68" t="s">
        <v>144</v>
      </c>
      <c r="J24" s="68" t="s">
        <v>146</v>
      </c>
      <c r="K24" s="68" t="s">
        <v>145</v>
      </c>
      <c r="U24" s="76">
        <f t="shared" si="1"/>
        <v>0.52500000000000013</v>
      </c>
      <c r="W24" s="79">
        <v>43344</v>
      </c>
    </row>
    <row r="25" spans="1:23" ht="18.75" x14ac:dyDescent="0.2">
      <c r="E25" s="65" t="str">
        <f>IF(' Accting USE Data Entry Form'!B32&gt;0,' Accting USE Data Entry Form'!B32,"")</f>
        <v>MOD 003: Accel Shipment (1-16) Incentives (Max of $323,136)</v>
      </c>
      <c r="F25" s="65">
        <f>' Accting USE Data Entry Form'!A32</f>
        <v>23</v>
      </c>
      <c r="H25" s="68" t="s">
        <v>147</v>
      </c>
      <c r="I25" s="68" t="s">
        <v>148</v>
      </c>
      <c r="J25" s="68" t="s">
        <v>147</v>
      </c>
      <c r="K25" s="68" t="s">
        <v>149</v>
      </c>
      <c r="U25" s="76">
        <f t="shared" si="1"/>
        <v>0.55000000000000016</v>
      </c>
    </row>
    <row r="26" spans="1:23" ht="18.75" x14ac:dyDescent="0.2">
      <c r="E26" s="65" t="str">
        <f>IF(' Accting USE Data Entry Form'!B33&gt;0,' Accting USE Data Entry Form'!B33,"")</f>
        <v>MOD 004: Incentives for Accelerated Production Deliveries</v>
      </c>
      <c r="F26" s="65">
        <f>' Accting USE Data Entry Form'!A33</f>
        <v>24</v>
      </c>
      <c r="H26" s="68" t="s">
        <v>150</v>
      </c>
      <c r="I26" s="68" t="s">
        <v>148</v>
      </c>
      <c r="J26" s="68" t="s">
        <v>150</v>
      </c>
      <c r="K26" s="68" t="s">
        <v>149</v>
      </c>
      <c r="U26" s="76">
        <f t="shared" si="1"/>
        <v>0.57500000000000018</v>
      </c>
    </row>
    <row r="27" spans="1:23" ht="18.75" x14ac:dyDescent="0.2">
      <c r="E27" s="65" t="str">
        <f>IF(' Accting USE Data Entry Form'!B34&gt;0,' Accting USE Data Entry Form'!B34,"")</f>
        <v>MOD 005: DESY Equipment Lease ($9,200/ month)</v>
      </c>
      <c r="F27" s="65">
        <f>' Accting USE Data Entry Form'!A34</f>
        <v>25</v>
      </c>
      <c r="H27" s="68" t="s">
        <v>151</v>
      </c>
      <c r="I27" s="68" t="s">
        <v>152</v>
      </c>
      <c r="J27" s="68" t="s">
        <v>151</v>
      </c>
      <c r="K27" s="68" t="s">
        <v>153</v>
      </c>
      <c r="U27" s="76">
        <f t="shared" si="1"/>
        <v>0.6000000000000002</v>
      </c>
    </row>
    <row r="28" spans="1:23" ht="18.75" x14ac:dyDescent="0.2">
      <c r="E28" s="65" t="str">
        <f>IF(' Accting USE Data Entry Form'!B35&gt;0,' Accting USE Data Entry Form'!B35,"")</f>
        <v>PH III:  Deliver &amp; Accept  Cavities (53-56)</v>
      </c>
      <c r="F28" s="65">
        <f>' Accting USE Data Entry Form'!A35</f>
        <v>26</v>
      </c>
      <c r="H28" s="68" t="s">
        <v>154</v>
      </c>
      <c r="I28" s="68" t="s">
        <v>152</v>
      </c>
      <c r="J28" s="68" t="s">
        <v>154</v>
      </c>
      <c r="K28" s="68" t="s">
        <v>153</v>
      </c>
      <c r="U28" s="76">
        <f t="shared" si="1"/>
        <v>0.62500000000000022</v>
      </c>
    </row>
    <row r="29" spans="1:23" ht="18.75" x14ac:dyDescent="0.2">
      <c r="E29" s="65" t="str">
        <f>IF(' Accting USE Data Entry Form'!B36&gt;0,' Accting USE Data Entry Form'!B36,"")</f>
        <v>PH III:  Deliver &amp; Accept  Cavities (57-60)</v>
      </c>
      <c r="F29" s="65">
        <f>' Accting USE Data Entry Form'!A36</f>
        <v>27</v>
      </c>
      <c r="H29" s="68" t="s">
        <v>155</v>
      </c>
      <c r="I29" s="68" t="s">
        <v>156</v>
      </c>
      <c r="J29" s="68" t="s">
        <v>155</v>
      </c>
      <c r="K29" s="68" t="s">
        <v>157</v>
      </c>
      <c r="U29" s="76">
        <f t="shared" si="1"/>
        <v>0.65000000000000024</v>
      </c>
    </row>
    <row r="30" spans="1:23" ht="18.75" x14ac:dyDescent="0.2">
      <c r="E30" s="65" t="str">
        <f>IF(' Accting USE Data Entry Form'!B37&gt;0,' Accting USE Data Entry Form'!B37,"")</f>
        <v>PH III:  Deliver &amp; Accept  Cavities (61-64)</v>
      </c>
      <c r="F30" s="65">
        <f>' Accting USE Data Entry Form'!A37</f>
        <v>28</v>
      </c>
      <c r="H30" s="68" t="s">
        <v>158</v>
      </c>
      <c r="I30" s="68" t="s">
        <v>156</v>
      </c>
      <c r="J30" s="68" t="s">
        <v>158</v>
      </c>
      <c r="K30" s="68" t="s">
        <v>157</v>
      </c>
      <c r="U30" s="76">
        <f t="shared" si="1"/>
        <v>0.67500000000000027</v>
      </c>
    </row>
    <row r="31" spans="1:23" ht="18.75" x14ac:dyDescent="0.2">
      <c r="E31" s="65" t="str">
        <f>IF(' Accting USE Data Entry Form'!B38&gt;0,' Accting USE Data Entry Form'!B38,"")</f>
        <v>PH III:  Deliver &amp; Accept  Cavities (65-68)</v>
      </c>
      <c r="F31" s="65">
        <f>' Accting USE Data Entry Form'!A38</f>
        <v>29</v>
      </c>
      <c r="H31" s="68" t="s">
        <v>159</v>
      </c>
      <c r="I31" s="68" t="s">
        <v>160</v>
      </c>
      <c r="J31" s="68" t="s">
        <v>159</v>
      </c>
      <c r="K31" s="68" t="s">
        <v>161</v>
      </c>
      <c r="U31" s="76">
        <f t="shared" si="1"/>
        <v>0.70000000000000029</v>
      </c>
    </row>
    <row r="32" spans="1:23" ht="18.75" x14ac:dyDescent="0.2">
      <c r="E32" s="65" t="str">
        <f>IF(' Accting USE Data Entry Form'!B39&gt;0,' Accting USE Data Entry Form'!B39,"")</f>
        <v>PH III:  Deliver &amp; Accept  Cavities (69-72)</v>
      </c>
      <c r="F32" s="65">
        <f>' Accting USE Data Entry Form'!A39</f>
        <v>30</v>
      </c>
      <c r="H32" s="68" t="s">
        <v>162</v>
      </c>
      <c r="I32" s="68" t="s">
        <v>160</v>
      </c>
      <c r="J32" s="68" t="s">
        <v>162</v>
      </c>
      <c r="K32" s="68" t="s">
        <v>161</v>
      </c>
      <c r="U32" s="76">
        <f t="shared" si="1"/>
        <v>0.72500000000000031</v>
      </c>
    </row>
    <row r="33" spans="5:21" ht="18.75" x14ac:dyDescent="0.2">
      <c r="E33" s="65" t="str">
        <f>IF(' Accting USE Data Entry Form'!B40&gt;0,' Accting USE Data Entry Form'!B40,"")</f>
        <v>PH III:  Deliver &amp; Accept  Cavities (73-76)</v>
      </c>
      <c r="F33" s="65">
        <f>' Accting USE Data Entry Form'!A40</f>
        <v>31</v>
      </c>
      <c r="H33" s="68" t="s">
        <v>163</v>
      </c>
      <c r="I33" s="68" t="s">
        <v>164</v>
      </c>
      <c r="J33" s="68" t="s">
        <v>163</v>
      </c>
      <c r="K33" s="68" t="s">
        <v>165</v>
      </c>
      <c r="U33" s="76">
        <f t="shared" si="1"/>
        <v>0.75000000000000033</v>
      </c>
    </row>
    <row r="34" spans="5:21" ht="18.75" x14ac:dyDescent="0.2">
      <c r="E34" s="65" t="str">
        <f>IF(' Accting USE Data Entry Form'!B41&gt;0,' Accting USE Data Entry Form'!B41,"")</f>
        <v>PH III:  Deliver &amp; Accept  Cavities (77-80)</v>
      </c>
      <c r="F34" s="65">
        <f>' Accting USE Data Entry Form'!A41</f>
        <v>32</v>
      </c>
      <c r="H34" s="68" t="s">
        <v>166</v>
      </c>
      <c r="I34" s="68" t="s">
        <v>164</v>
      </c>
      <c r="J34" s="68" t="s">
        <v>166</v>
      </c>
      <c r="K34" s="68" t="s">
        <v>165</v>
      </c>
      <c r="U34" s="76">
        <f t="shared" si="1"/>
        <v>0.77500000000000036</v>
      </c>
    </row>
    <row r="35" spans="5:21" ht="18.75" x14ac:dyDescent="0.2">
      <c r="E35" s="65" t="str">
        <f>IF(' Accting USE Data Entry Form'!B42&gt;0,' Accting USE Data Entry Form'!B42,"")</f>
        <v>PH III:  Deliver &amp; Accept  Cavities (81-84)</v>
      </c>
      <c r="F35" s="65">
        <f>' Accting USE Data Entry Form'!A42</f>
        <v>33</v>
      </c>
      <c r="H35" s="68" t="s">
        <v>167</v>
      </c>
      <c r="I35" s="68" t="s">
        <v>168</v>
      </c>
      <c r="J35" s="68" t="s">
        <v>169</v>
      </c>
      <c r="K35" s="68" t="s">
        <v>168</v>
      </c>
      <c r="U35" s="76">
        <f t="shared" si="1"/>
        <v>0.80000000000000038</v>
      </c>
    </row>
    <row r="36" spans="5:21" ht="18.75" x14ac:dyDescent="0.2">
      <c r="E36" s="65" t="str">
        <f>IF(' Accting USE Data Entry Form'!B43&gt;0,' Accting USE Data Entry Form'!B43,"")</f>
        <v>PH III:  Deliver &amp; Accept  Cavities (85-88)</v>
      </c>
      <c r="F36" s="65">
        <f>' Accting USE Data Entry Form'!A43</f>
        <v>34</v>
      </c>
      <c r="H36" s="68" t="s">
        <v>170</v>
      </c>
      <c r="I36" s="68" t="s">
        <v>168</v>
      </c>
      <c r="J36" s="68"/>
      <c r="K36" s="68"/>
      <c r="U36" s="76">
        <f t="shared" si="1"/>
        <v>0.8250000000000004</v>
      </c>
    </row>
    <row r="37" spans="5:21" x14ac:dyDescent="0.2">
      <c r="E37" s="65" t="str">
        <f>IF(' Accting USE Data Entry Form'!B44&gt;0,' Accting USE Data Entry Form'!B44,"")</f>
        <v>PH III:  Deliver &amp; Accept  Cavities (89-92)</v>
      </c>
      <c r="F37" s="65">
        <f>' Accting USE Data Entry Form'!A44</f>
        <v>35</v>
      </c>
      <c r="U37" s="76">
        <f t="shared" si="1"/>
        <v>0.85000000000000042</v>
      </c>
    </row>
    <row r="38" spans="5:21" x14ac:dyDescent="0.2">
      <c r="E38" s="65" t="str">
        <f>IF(' Accting USE Data Entry Form'!B45&gt;0,' Accting USE Data Entry Form'!B45,"")</f>
        <v>PH III:  Deliver &amp; Accept  Cavities (93-96)</v>
      </c>
      <c r="F38" s="65">
        <f>' Accting USE Data Entry Form'!A45</f>
        <v>36</v>
      </c>
      <c r="U38" s="76">
        <f t="shared" si="1"/>
        <v>0.87500000000000044</v>
      </c>
    </row>
    <row r="39" spans="5:21" x14ac:dyDescent="0.2">
      <c r="E39" s="65" t="str">
        <f>IF(' Accting USE Data Entry Form'!B46&gt;0,' Accting USE Data Entry Form'!B46,"")</f>
        <v>PH III:  Deliver &amp; Accept  Cavities (97-100)</v>
      </c>
      <c r="F39" s="65">
        <f>' Accting USE Data Entry Form'!A46</f>
        <v>37</v>
      </c>
      <c r="U39" s="76">
        <f t="shared" si="1"/>
        <v>0.90000000000000047</v>
      </c>
    </row>
    <row r="40" spans="5:21" x14ac:dyDescent="0.2">
      <c r="E40" s="65" t="str">
        <f>IF(' Accting USE Data Entry Form'!B47&gt;0,' Accting USE Data Entry Form'!B47,"")</f>
        <v>PH III:  Deliver &amp; Accept  Cavities (101-104)</v>
      </c>
      <c r="F40" s="65">
        <f>' Accting USE Data Entry Form'!A47</f>
        <v>38</v>
      </c>
      <c r="U40" s="76">
        <f t="shared" si="1"/>
        <v>0.92500000000000049</v>
      </c>
    </row>
    <row r="41" spans="5:21" x14ac:dyDescent="0.2">
      <c r="E41" s="65" t="str">
        <f>IF(' Accting USE Data Entry Form'!B48&gt;0,' Accting USE Data Entry Form'!B48,"")</f>
        <v>PH III:  Deliver &amp; Accept  Cavities (105-108)</v>
      </c>
      <c r="F41" s="65">
        <f>' Accting USE Data Entry Form'!A48</f>
        <v>39</v>
      </c>
      <c r="U41" s="76">
        <f t="shared" si="1"/>
        <v>0.95000000000000051</v>
      </c>
    </row>
    <row r="42" spans="5:21" x14ac:dyDescent="0.2">
      <c r="E42" s="65" t="str">
        <f>IF(' Accting USE Data Entry Form'!B49&gt;0,' Accting USE Data Entry Form'!B49,"")</f>
        <v>PH III:  Deliver &amp; Accept  Cavities (109-112)</v>
      </c>
      <c r="F42" s="65">
        <f>' Accting USE Data Entry Form'!A49</f>
        <v>40</v>
      </c>
      <c r="U42" s="76">
        <f t="shared" si="1"/>
        <v>0.97500000000000053</v>
      </c>
    </row>
    <row r="43" spans="5:21" x14ac:dyDescent="0.2">
      <c r="E43" s="65" t="str">
        <f>IF(' Accting USE Data Entry Form'!B50&gt;0,' Accting USE Data Entry Form'!B50,"")</f>
        <v>PH III:  Deliver &amp; Accept  Cavities (113-116)</v>
      </c>
      <c r="F43" s="65">
        <f>' Accting USE Data Entry Form'!A50</f>
        <v>41</v>
      </c>
      <c r="U43" s="76">
        <f t="shared" si="1"/>
        <v>1.0000000000000004</v>
      </c>
    </row>
    <row r="44" spans="5:21" x14ac:dyDescent="0.2">
      <c r="E44" s="65" t="str">
        <f>IF(' Accting USE Data Entry Form'!B51&gt;0,' Accting USE Data Entry Form'!B51,"")</f>
        <v>PH III:  Deliver &amp; Accept  Cavities (117-120)</v>
      </c>
      <c r="F44" s="65">
        <f>' Accting USE Data Entry Form'!A51</f>
        <v>42</v>
      </c>
    </row>
    <row r="45" spans="5:21" x14ac:dyDescent="0.2">
      <c r="E45" s="65" t="str">
        <f>IF(' Accting USE Data Entry Form'!B52&gt;0,' Accting USE Data Entry Form'!B52,"")</f>
        <v>PH III:  Deliver &amp; Accept  Cavities (121-124)</v>
      </c>
      <c r="F45" s="65">
        <f>' Accting USE Data Entry Form'!A52</f>
        <v>43</v>
      </c>
    </row>
    <row r="46" spans="5:21" x14ac:dyDescent="0.2">
      <c r="E46" s="65" t="str">
        <f>IF(' Accting USE Data Entry Form'!B53&gt;0,' Accting USE Data Entry Form'!B53,"")</f>
        <v>PH III:  Deliver &amp; Accept  Cavities (125-128)</v>
      </c>
      <c r="F46" s="65">
        <f>' Accting USE Data Entry Form'!A53</f>
        <v>44</v>
      </c>
    </row>
    <row r="47" spans="5:21" x14ac:dyDescent="0.2">
      <c r="E47" s="65" t="str">
        <f>IF(' Accting USE Data Entry Form'!B54&gt;0,' Accting USE Data Entry Form'!B54,"")</f>
        <v>PH III:  Deliver &amp; Accept  Cavities (129-133)</v>
      </c>
      <c r="F47" s="65">
        <f>' Accting USE Data Entry Form'!A54</f>
        <v>45</v>
      </c>
    </row>
    <row r="48" spans="5:21" x14ac:dyDescent="0.2">
      <c r="E48" s="65" t="str">
        <f>IF(' Accting USE Data Entry Form'!B55&gt;0,' Accting USE Data Entry Form'!B55,"")</f>
        <v>MOD 007: LCLS-II R&amp;D Cavities (4)</v>
      </c>
      <c r="F48" s="65">
        <f>' Accting USE Data Entry Form'!A55</f>
        <v>46</v>
      </c>
    </row>
    <row r="49" spans="5:6" x14ac:dyDescent="0.2">
      <c r="E49" s="65" t="str">
        <f>IF(' Accting USE Data Entry Form'!B56&gt;0,' Accting USE Data Entry Form'!B56,"")</f>
        <v>MOD 008: CTM Spare Parts</v>
      </c>
      <c r="F49" s="65" t="e">
        <f>' Accting USE Data Entry Form'!#REF!</f>
        <v>#REF!</v>
      </c>
    </row>
    <row r="50" spans="5:6" x14ac:dyDescent="0.2">
      <c r="E50" s="65" t="str">
        <f>IF(' Accting USE Data Entry Form'!B57&gt;0,' Accting USE Data Entry Form'!B57,"")</f>
        <v>MOD 009: Recipe Modification (21-133) ($4283.18/cavity)</v>
      </c>
      <c r="F50" s="65" t="e">
        <f>' Accting USE Data Entry Form'!#REF!</f>
        <v>#REF!</v>
      </c>
    </row>
    <row r="51" spans="5:6" x14ac:dyDescent="0.2">
      <c r="E51" s="65" t="str">
        <f>IF(' Accting USE Data Entry Form'!B58&gt;0,' Accting USE Data Entry Form'!B58,"")</f>
        <v xml:space="preserve">MOD 010: Niobium Caps $490.00/ea (Cavs 17-133)  </v>
      </c>
      <c r="F51" s="65" t="e">
        <f>' Accting USE Data Entry Form'!#REF!</f>
        <v>#REF!</v>
      </c>
    </row>
    <row r="52" spans="5:6" x14ac:dyDescent="0.2">
      <c r="E52" s="65" t="e">
        <f>IF(' Accting USE Data Entry Form'!#REF!&gt;0,' Accting USE Data Entry Form'!#REF!,"")</f>
        <v>#REF!</v>
      </c>
      <c r="F52" s="65" t="e">
        <f>' Accting USE Data Entry Form'!#REF!</f>
        <v>#REF!</v>
      </c>
    </row>
    <row r="53" spans="5:6" x14ac:dyDescent="0.2">
      <c r="E53" s="65" t="e">
        <f>IF(' Accting USE Data Entry Form'!#REF!&gt;0,' Accting USE Data Entry Form'!#REF!,"")</f>
        <v>#REF!</v>
      </c>
      <c r="F53" s="65" t="e">
        <f>' Accting USE Data Entry Form'!#REF!</f>
        <v>#REF!</v>
      </c>
    </row>
    <row r="54" spans="5:6" x14ac:dyDescent="0.2">
      <c r="E54" s="65" t="e">
        <f>IF(' Accting USE Data Entry Form'!#REF!&gt;0,' Accting USE Data Entry Form'!#REF!,"")</f>
        <v>#REF!</v>
      </c>
      <c r="F54" s="65" t="e">
        <f>' Accting USE Data Entry Form'!#REF!</f>
        <v>#REF!</v>
      </c>
    </row>
    <row r="55" spans="5:6" x14ac:dyDescent="0.2">
      <c r="E55" s="65" t="e">
        <f>IF(' Accting USE Data Entry Form'!#REF!&gt;0,' Accting USE Data Entry Form'!#REF!,"")</f>
        <v>#REF!</v>
      </c>
      <c r="F55" s="65" t="e">
        <f>' Accting USE Data Entry Form'!#REF!</f>
        <v>#REF!</v>
      </c>
    </row>
    <row r="56" spans="5:6" x14ac:dyDescent="0.2">
      <c r="E56" s="65" t="e">
        <f>IF(' Accting USE Data Entry Form'!#REF!&gt;0,' Accting USE Data Entry Form'!#REF!,"")</f>
        <v>#REF!</v>
      </c>
      <c r="F56" s="65" t="e">
        <f>' Accting USE Data Entry Form'!#REF!</f>
        <v>#REF!</v>
      </c>
    </row>
    <row r="57" spans="5:6" x14ac:dyDescent="0.2">
      <c r="E57" s="65" t="e">
        <f>IF(' Accting USE Data Entry Form'!#REF!&gt;0,' Accting USE Data Entry Form'!#REF!,"")</f>
        <v>#REF!</v>
      </c>
      <c r="F57" s="65" t="e">
        <f>' Accting USE Data Entry Form'!#REF!</f>
        <v>#REF!</v>
      </c>
    </row>
    <row r="58" spans="5:6" x14ac:dyDescent="0.2">
      <c r="E58" s="65" t="e">
        <f>IF(' Accting USE Data Entry Form'!#REF!&gt;0,' Accting USE Data Entry Form'!#REF!,"")</f>
        <v>#REF!</v>
      </c>
      <c r="F58" s="65" t="e">
        <f>' Accting USE Data Entry Form'!#REF!</f>
        <v>#REF!</v>
      </c>
    </row>
    <row r="59" spans="5:6" x14ac:dyDescent="0.2">
      <c r="E59" s="65" t="e">
        <f>IF(' Accting USE Data Entry Form'!#REF!&gt;0,' Accting USE Data Entry Form'!#REF!,"")</f>
        <v>#REF!</v>
      </c>
      <c r="F59" s="65" t="e">
        <f>' Accting USE Data Entry Form'!#REF!</f>
        <v>#REF!</v>
      </c>
    </row>
    <row r="60" spans="5:6" x14ac:dyDescent="0.2">
      <c r="E60" s="65" t="e">
        <f>IF(' Accting USE Data Entry Form'!#REF!&gt;0,' Accting USE Data Entry Form'!#REF!,"")</f>
        <v>#REF!</v>
      </c>
      <c r="F60" s="65" t="e">
        <f>' Accting USE Data Entry Form'!#REF!</f>
        <v>#REF!</v>
      </c>
    </row>
    <row r="61" spans="5:6" x14ac:dyDescent="0.2">
      <c r="E61" s="65" t="e">
        <f>IF(' Accting USE Data Entry Form'!#REF!&gt;0,' Accting USE Data Entry Form'!#REF!,"")</f>
        <v>#REF!</v>
      </c>
      <c r="F61" s="65" t="e">
        <f>' Accting USE Data Entry Form'!#REF!</f>
        <v>#REF!</v>
      </c>
    </row>
    <row r="62" spans="5:6" x14ac:dyDescent="0.2">
      <c r="E62" s="65" t="e">
        <f>IF(' Accting USE Data Entry Form'!#REF!&gt;0,' Accting USE Data Entry Form'!#REF!,"")</f>
        <v>#REF!</v>
      </c>
      <c r="F62" s="65" t="e">
        <f>' Accting USE Data Entry Form'!#REF!</f>
        <v>#REF!</v>
      </c>
    </row>
    <row r="63" spans="5:6" x14ac:dyDescent="0.2">
      <c r="F63" s="65" t="e">
        <f>' Accting USE Data Entry Form'!#REF!</f>
        <v>#REF!</v>
      </c>
    </row>
  </sheetData>
  <autoFilter ref="E2:F62">
    <sortState ref="E3:F62">
      <sortCondition ref="F2:F62"/>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10.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11.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S a n d b o x N o n E m p t y " > < C u s t o m C o n t e n t > < ! [ C D A T A [ 1 ] ] > < / C u s t o m C o n t e n t > < / G e m i n i > 
</file>

<file path=customXml/item13.xml>��< ? x m l   v e r s i o n = " 1 . 0 "   e n c o d i n g = " U T F - 1 6 " ? > < G e m i n i   x m l n s = " h t t p : / / g e m i n i / p i v o t c u s t o m i z a t i o n / P o w e r P i v o t V e r s i o n " > < C u s t o m C o n t e n t > < ! [ C D A T A [ 1 1 . 0 . 9 1 6 6 . 1 5 8 ] ] > < / 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5.xml>��< ? x m l   v e r s i o n = " 1 . 0 "   e n c o d i n g = " U T F - 1 6 " ? > < G e m i n i   x m l n s = " h t t p : / / g e m i n i / p i v o t c u s t o m i z a t i o n / C l i e n t W i n d o w X M L " > < C u s t o m C o n t e n t > < ! [ C D A T A [ C a v i t y S t a t u s ] ] > < / 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18.xml>��< ? x m l   v e r s i o n = " 1 . 0 "   e n c o d i n g = " U T F - 1 6 " ? > < G e m i n i   x m l n s = " h t t p : / / g e m i n i / p i v o t c u s t o m i z a t i o n / S h o w H i d d e n " > < C u s t o m C o n t e n t > < ! [ C D A T A [ T r u e ] ] > < / C u s t o m C o n t e n t > < / G e m i n i > 
</file>

<file path=customXml/item19.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2.xml>��< ? x m l   v e r s i o n = " 1 . 0 "   e n c o d i n g = " U T F - 1 6 " ? > < G e m i n i   x m l n s = " h t t p : / / g e m i n i / p i v o t c u s t o m i z a t i o n / T a b l e C o u n t I n S a n d b o x " > < C u s t o m C o n t e n t > 2 < / C u s t o m C o n t e n t > < / G e m i n i > 
</file>

<file path=customXml/item3.xml>��< ? x m l   v e r s i o n = " 1 . 0 "   e n c o d i n g = " U T F - 1 6 " ? > < G e m i n i   x m l n s = " h t t p : / / g e m i n i / p i v o t c u s t o m i z a t i o n / T a b l e O r d e r " > < C u s t o m C o n t e n t > C a v i t y S t a t u s , A c c r u a l s < / C u s t o m C o n t e n t > < / G e m i n i > 
</file>

<file path=customXml/item4.xml>��< ? x m l   v e r s i o n = " 1 . 0 "   e n c o d i n g = " U T F - 1 6 " ? > < G e m i n i   x m l n s = " h t t p : / / g e m i n i / p i v o t c u s t o m i z a t i o n / L i n k e d T a b l e U p d a t e M o d e " > < C u s t o m C o n t e n t > < ! [ C D A T A [ T r u e ] ] > < / C u s t o m C o n t e n t > < / G e m i n i > 
</file>

<file path=customXml/item5.xml>��< ? x m l   v e r s i o n = " 1 . 0 "   e n c o d i n g = " U T F - 1 6 " ? > < G e m i n i   x m l n s = " h t t p : / / g e m i n i / p i v o t c u s t o m i z a t i o n / S h o w I m p l i c i t M e a s u r e s " > < C u s t o m C o n t e n t > < ! [ C D A T A [ F a l s e ] ] > < / 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7.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8.xml>��< ? x m l   v e r s i o n = " 1 . 0 "   e n c o d i n g = " U T F - 1 6 " ? > < G e m i n i   x m l n s = " h t t p : / / g e m i n i / p i v o t c u s t o m i z a t i o n / M a n u a l C a l c M o d e " > < C u s t o m C o n t e n t > < ! [ C D A T A [ F a l s e ] ] > < / 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9464F929-709F-4BEC-90E6-AD65C2A93FB5}">
  <ds:schemaRefs/>
</ds:datastoreItem>
</file>

<file path=customXml/itemProps10.xml><?xml version="1.0" encoding="utf-8"?>
<ds:datastoreItem xmlns:ds="http://schemas.openxmlformats.org/officeDocument/2006/customXml" ds:itemID="{308A2BEA-A1CA-4113-BF8D-9CF8E3F0DC55}">
  <ds:schemaRefs/>
</ds:datastoreItem>
</file>

<file path=customXml/itemProps11.xml><?xml version="1.0" encoding="utf-8"?>
<ds:datastoreItem xmlns:ds="http://schemas.openxmlformats.org/officeDocument/2006/customXml" ds:itemID="{1F0BAA02-7DB9-49E5-B473-C751C6AB17FC}">
  <ds:schemaRefs/>
</ds:datastoreItem>
</file>

<file path=customXml/itemProps12.xml><?xml version="1.0" encoding="utf-8"?>
<ds:datastoreItem xmlns:ds="http://schemas.openxmlformats.org/officeDocument/2006/customXml" ds:itemID="{0621F163-4643-42E6-8C97-D89F8447F949}">
  <ds:schemaRefs/>
</ds:datastoreItem>
</file>

<file path=customXml/itemProps13.xml><?xml version="1.0" encoding="utf-8"?>
<ds:datastoreItem xmlns:ds="http://schemas.openxmlformats.org/officeDocument/2006/customXml" ds:itemID="{23AE241C-8312-418E-8DE9-9099AA39A41B}">
  <ds:schemaRefs/>
</ds:datastoreItem>
</file>

<file path=customXml/itemProps14.xml><?xml version="1.0" encoding="utf-8"?>
<ds:datastoreItem xmlns:ds="http://schemas.openxmlformats.org/officeDocument/2006/customXml" ds:itemID="{DBC45318-2BCA-4ECE-BAE9-467F599FA01B}">
  <ds:schemaRefs/>
</ds:datastoreItem>
</file>

<file path=customXml/itemProps15.xml><?xml version="1.0" encoding="utf-8"?>
<ds:datastoreItem xmlns:ds="http://schemas.openxmlformats.org/officeDocument/2006/customXml" ds:itemID="{835FD945-A2A3-4603-B7F9-7EC55525F852}">
  <ds:schemaRefs/>
</ds:datastoreItem>
</file>

<file path=customXml/itemProps16.xml><?xml version="1.0" encoding="utf-8"?>
<ds:datastoreItem xmlns:ds="http://schemas.openxmlformats.org/officeDocument/2006/customXml" ds:itemID="{1A201BD1-D404-4F2D-AA95-68479F95CA28}">
  <ds:schemaRefs/>
</ds:datastoreItem>
</file>

<file path=customXml/itemProps17.xml><?xml version="1.0" encoding="utf-8"?>
<ds:datastoreItem xmlns:ds="http://schemas.openxmlformats.org/officeDocument/2006/customXml" ds:itemID="{31B9F0FA-471B-4456-A149-D1D4A29096E7}">
  <ds:schemaRefs/>
</ds:datastoreItem>
</file>

<file path=customXml/itemProps18.xml><?xml version="1.0" encoding="utf-8"?>
<ds:datastoreItem xmlns:ds="http://schemas.openxmlformats.org/officeDocument/2006/customXml" ds:itemID="{77AEADC9-0304-4847-ADB2-7BE3685E21C1}">
  <ds:schemaRefs/>
</ds:datastoreItem>
</file>

<file path=customXml/itemProps19.xml><?xml version="1.0" encoding="utf-8"?>
<ds:datastoreItem xmlns:ds="http://schemas.openxmlformats.org/officeDocument/2006/customXml" ds:itemID="{104FE832-A27E-4430-BDF8-9BE65D16A4FE}">
  <ds:schemaRefs/>
</ds:datastoreItem>
</file>

<file path=customXml/itemProps2.xml><?xml version="1.0" encoding="utf-8"?>
<ds:datastoreItem xmlns:ds="http://schemas.openxmlformats.org/officeDocument/2006/customXml" ds:itemID="{5D4B0DCA-5934-43E5-8FFD-72EE27B27756}">
  <ds:schemaRefs/>
</ds:datastoreItem>
</file>

<file path=customXml/itemProps3.xml><?xml version="1.0" encoding="utf-8"?>
<ds:datastoreItem xmlns:ds="http://schemas.openxmlformats.org/officeDocument/2006/customXml" ds:itemID="{C5759F49-E357-47D8-A33E-84DEB770A91D}">
  <ds:schemaRefs/>
</ds:datastoreItem>
</file>

<file path=customXml/itemProps4.xml><?xml version="1.0" encoding="utf-8"?>
<ds:datastoreItem xmlns:ds="http://schemas.openxmlformats.org/officeDocument/2006/customXml" ds:itemID="{829E1F48-5437-4FA0-9BC7-6C671ED32989}">
  <ds:schemaRefs/>
</ds:datastoreItem>
</file>

<file path=customXml/itemProps5.xml><?xml version="1.0" encoding="utf-8"?>
<ds:datastoreItem xmlns:ds="http://schemas.openxmlformats.org/officeDocument/2006/customXml" ds:itemID="{383A9B03-2599-4D31-A54B-D58421C3CE62}">
  <ds:schemaRefs/>
</ds:datastoreItem>
</file>

<file path=customXml/itemProps6.xml><?xml version="1.0" encoding="utf-8"?>
<ds:datastoreItem xmlns:ds="http://schemas.openxmlformats.org/officeDocument/2006/customXml" ds:itemID="{F21940E7-EC6A-465F-BA37-A3CAA07719CD}">
  <ds:schemaRefs/>
</ds:datastoreItem>
</file>

<file path=customXml/itemProps7.xml><?xml version="1.0" encoding="utf-8"?>
<ds:datastoreItem xmlns:ds="http://schemas.openxmlformats.org/officeDocument/2006/customXml" ds:itemID="{F3ADA0BA-8286-4D01-89AB-937806D58052}">
  <ds:schemaRefs/>
</ds:datastoreItem>
</file>

<file path=customXml/itemProps8.xml><?xml version="1.0" encoding="utf-8"?>
<ds:datastoreItem xmlns:ds="http://schemas.openxmlformats.org/officeDocument/2006/customXml" ds:itemID="{C40B6D35-CBFC-4081-98C4-51444092CA67}">
  <ds:schemaRefs/>
</ds:datastoreItem>
</file>

<file path=customXml/itemProps9.xml><?xml version="1.0" encoding="utf-8"?>
<ds:datastoreItem xmlns:ds="http://schemas.openxmlformats.org/officeDocument/2006/customXml" ds:itemID="{1ED25CF4-D4EC-47BA-A3D0-1EA8F36EE2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Sheet1</vt:lpstr>
      <vt:lpstr>Cavity Status</vt:lpstr>
      <vt:lpstr>Accept</vt:lpstr>
      <vt:lpstr>Incentivized Schedule</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2016-02-03T19:47:28Z</cp:lastPrinted>
  <dcterms:created xsi:type="dcterms:W3CDTF">2007-10-19T12:34:40Z</dcterms:created>
  <dcterms:modified xsi:type="dcterms:W3CDTF">2018-01-02T18:33:30Z</dcterms:modified>
</cp:coreProperties>
</file>