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1196 - Pesh - 4K Cold Box\H. PERFORM &amp; PMTS\H.2 Invoices, Payment Vouchers\Accruals\"/>
    </mc:Choice>
  </mc:AlternateContent>
  <bookViews>
    <workbookView xWindow="0" yWindow="0" windowWidth="15228" windowHeight="8940"/>
  </bookViews>
  <sheets>
    <sheet name="Form" sheetId="1" r:id="rId1"/>
    <sheet name="Process" sheetId="4" r:id="rId2"/>
    <sheet name="Sheet1" sheetId="11" r:id="rId3"/>
    <sheet name=" Accting USE Data Entry Form" sheetId="3" r:id="rId4"/>
    <sheet name="Invoices" sheetId="6" r:id="rId5"/>
    <sheet name="Mods" sheetId="7" r:id="rId6"/>
    <sheet name="Change Request" sheetId="10" r:id="rId7"/>
    <sheet name="Milestone" sheetId="8" r:id="rId8"/>
    <sheet name="Calendar" sheetId="12" r:id="rId9"/>
    <sheet name="List" sheetId="5" r:id="rId10"/>
  </sheets>
  <externalReferences>
    <externalReference r:id="rId11"/>
  </externalReferences>
  <definedNames>
    <definedName name="_xlnm._FilterDatabase" localSheetId="7" hidden="1">Milestone!$A$1:$F$25</definedName>
    <definedName name="FNALDESPH3">[1]Details!$F$6</definedName>
    <definedName name="_xlnm.Print_Area" localSheetId="3">' Accting USE Data Entry Form'!$A:$Y</definedName>
    <definedName name="TabTable">#REF!</definedName>
  </definedNames>
  <calcPr calcId="162913"/>
  <pivotCaches>
    <pivotCache cacheId="0" r:id="rId12"/>
  </pivotCaches>
</workbook>
</file>

<file path=xl/calcChain.xml><?xml version="1.0" encoding="utf-8"?>
<calcChain xmlns="http://schemas.openxmlformats.org/spreadsheetml/2006/main">
  <c r="T28" i="3" l="1"/>
  <c r="AA9" i="3"/>
  <c r="AA6" i="3" l="1"/>
  <c r="V34" i="3" l="1"/>
  <c r="T34" i="3" s="1"/>
  <c r="AB34" i="3"/>
  <c r="AB33" i="3"/>
  <c r="AC33" i="3" s="1"/>
  <c r="AC34" i="3" l="1"/>
  <c r="AC27" i="3"/>
  <c r="T26" i="3"/>
  <c r="T33" i="3" l="1"/>
  <c r="AA16" i="3"/>
  <c r="T16" i="3"/>
  <c r="AA27" i="3"/>
  <c r="T27" i="3"/>
  <c r="V19" i="3"/>
  <c r="Z19" i="3" s="1"/>
  <c r="V20" i="3"/>
  <c r="V21" i="3"/>
  <c r="W21" i="3" s="1"/>
  <c r="V22" i="3"/>
  <c r="V24" i="3"/>
  <c r="Z24" i="3" s="1"/>
  <c r="V25" i="3"/>
  <c r="X26" i="3"/>
  <c r="W27" i="3"/>
  <c r="X28" i="3"/>
  <c r="X29" i="3"/>
  <c r="V30" i="3"/>
  <c r="X31" i="3"/>
  <c r="X32" i="3"/>
  <c r="W33" i="3"/>
  <c r="Z33" i="3"/>
  <c r="AA33" i="3"/>
  <c r="W25" i="3" l="1"/>
  <c r="Y25" i="3" s="1"/>
  <c r="AA19" i="3"/>
  <c r="AA24" i="3"/>
  <c r="Z20" i="3"/>
  <c r="AA21" i="3"/>
  <c r="W24" i="3"/>
  <c r="Y24" i="3" s="1"/>
  <c r="W19" i="3"/>
  <c r="Z21" i="3"/>
  <c r="W22" i="3"/>
  <c r="AA25" i="3"/>
  <c r="Z25" i="3"/>
  <c r="AA22" i="3"/>
  <c r="Z22" i="3"/>
  <c r="Z27" i="3"/>
  <c r="W34" i="3"/>
  <c r="Y34" i="3" s="1"/>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A37" i="1"/>
  <c r="G37" i="1"/>
  <c r="A38" i="1"/>
  <c r="G38" i="1"/>
  <c r="A39" i="1"/>
  <c r="G39" i="1"/>
  <c r="A40" i="1"/>
  <c r="G40" i="1"/>
  <c r="A41" i="1"/>
  <c r="G41" i="1"/>
  <c r="A42" i="1"/>
  <c r="G42" i="1"/>
  <c r="A43" i="1"/>
  <c r="C43" i="1"/>
  <c r="G43" i="1"/>
  <c r="A44" i="1"/>
  <c r="C44" i="1"/>
  <c r="G44" i="1"/>
  <c r="A45" i="1"/>
  <c r="C45" i="1"/>
  <c r="G45" i="1"/>
  <c r="V41" i="3"/>
  <c r="V42" i="3"/>
  <c r="V43" i="3"/>
  <c r="T29" i="3"/>
  <c r="V29" i="3" s="1"/>
  <c r="T31" i="3"/>
  <c r="V31" i="3" s="1"/>
  <c r="T32" i="3"/>
  <c r="V32" i="3" s="1"/>
  <c r="T35" i="3"/>
  <c r="V35" i="3" s="1"/>
  <c r="T36" i="3"/>
  <c r="V36" i="3" s="1"/>
  <c r="T37" i="3"/>
  <c r="V37" i="3" s="1"/>
  <c r="T38" i="3"/>
  <c r="V38" i="3" s="1"/>
  <c r="T39" i="3"/>
  <c r="V39" i="3" s="1"/>
  <c r="T40" i="3"/>
  <c r="V40" i="3" s="1"/>
  <c r="T41" i="3"/>
  <c r="C40" i="1" s="1"/>
  <c r="T42" i="3"/>
  <c r="C41" i="1" s="1"/>
  <c r="T43" i="3"/>
  <c r="C42" i="1" s="1"/>
  <c r="X37" i="3"/>
  <c r="X36" i="3"/>
  <c r="X35" i="3"/>
  <c r="C39" i="1" l="1"/>
  <c r="Z37" i="3"/>
  <c r="Z42" i="3"/>
  <c r="Z41" i="3"/>
  <c r="Z43" i="3"/>
  <c r="C35" i="1"/>
  <c r="C31" i="1"/>
  <c r="C28" i="1"/>
  <c r="C34" i="1"/>
  <c r="C27" i="1"/>
  <c r="W26" i="3"/>
  <c r="Y26" i="3" s="1"/>
  <c r="Z26" i="3"/>
  <c r="AA26" i="3"/>
  <c r="W32" i="3"/>
  <c r="Y32" i="3" s="1"/>
  <c r="Z32" i="3"/>
  <c r="AA32" i="3"/>
  <c r="C36" i="1"/>
  <c r="AA31" i="3"/>
  <c r="W31" i="3"/>
  <c r="Y31" i="3" s="1"/>
  <c r="Z31" i="3"/>
  <c r="C25" i="1"/>
  <c r="W28" i="3"/>
  <c r="Y28" i="3" s="1"/>
  <c r="Z28" i="3"/>
  <c r="AA28" i="3"/>
  <c r="C37" i="1"/>
  <c r="W29" i="3"/>
  <c r="Y29" i="3" s="1"/>
  <c r="Z29" i="3"/>
  <c r="AA29" i="3"/>
  <c r="C38" i="1"/>
  <c r="C30" i="1"/>
  <c r="Z38" i="3"/>
  <c r="Z40" i="3"/>
  <c r="Z39" i="3"/>
  <c r="W35" i="3"/>
  <c r="Y35" i="3" s="1"/>
  <c r="Z35" i="3"/>
  <c r="W36" i="3"/>
  <c r="Y36" i="3" s="1"/>
  <c r="Z36" i="3"/>
  <c r="W37" i="3"/>
  <c r="Y37" i="3" s="1"/>
  <c r="E14" i="3"/>
  <c r="U44" i="3" l="1"/>
  <c r="H24" i="7"/>
  <c r="H17" i="7"/>
  <c r="H18" i="7"/>
  <c r="H19" i="7"/>
  <c r="H20" i="7"/>
  <c r="H21" i="7"/>
  <c r="H22" i="7"/>
  <c r="H23" i="7"/>
  <c r="H8" i="7"/>
  <c r="H9" i="7"/>
  <c r="H10" i="7"/>
  <c r="H11" i="7"/>
  <c r="H12" i="7"/>
  <c r="H13" i="7"/>
  <c r="H14" i="7"/>
  <c r="H15" i="7"/>
  <c r="H16" i="7"/>
  <c r="A21" i="1" l="1"/>
  <c r="C21" i="1"/>
  <c r="G21" i="1"/>
  <c r="A22" i="1"/>
  <c r="G22" i="1"/>
  <c r="A23" i="1"/>
  <c r="G23" i="1"/>
  <c r="A24" i="1"/>
  <c r="C24" i="1"/>
  <c r="G24" i="1"/>
  <c r="X41" i="3"/>
  <c r="W41" i="3" s="1"/>
  <c r="Y41" i="3" s="1"/>
  <c r="X42" i="3"/>
  <c r="W42" i="3" s="1"/>
  <c r="Y42" i="3" s="1"/>
  <c r="X43" i="3"/>
  <c r="W43" i="3" s="1"/>
  <c r="Y43" i="3" s="1"/>
  <c r="X40" i="3"/>
  <c r="W40" i="3" s="1"/>
  <c r="Y40" i="3" s="1"/>
  <c r="X39" i="3"/>
  <c r="W39" i="3" s="1"/>
  <c r="Y39" i="3" s="1"/>
  <c r="X38" i="3"/>
  <c r="W38" i="3" s="1"/>
  <c r="Y38" i="3" s="1"/>
  <c r="X15" i="3"/>
  <c r="X14" i="3"/>
  <c r="X12" i="3"/>
  <c r="X11" i="3"/>
  <c r="A20" i="1"/>
  <c r="C20" i="1"/>
  <c r="G20" i="1"/>
  <c r="X44" i="3" l="1"/>
  <c r="C53" i="12" l="1"/>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E14" i="6"/>
  <c r="X47" i="3"/>
  <c r="N23" i="3"/>
  <c r="T23" i="3" s="1"/>
  <c r="T18" i="3"/>
  <c r="V18" i="3" s="1"/>
  <c r="T17" i="3"/>
  <c r="C15" i="1"/>
  <c r="T15" i="3"/>
  <c r="V15" i="3" s="1"/>
  <c r="T14" i="3"/>
  <c r="V14" i="3" s="1"/>
  <c r="T13" i="3"/>
  <c r="T12" i="3"/>
  <c r="V12" i="3" s="1"/>
  <c r="T11" i="3"/>
  <c r="V11" i="3" s="1"/>
  <c r="J23" i="11"/>
  <c r="G19" i="1"/>
  <c r="C19" i="1"/>
  <c r="A19" i="1"/>
  <c r="G18" i="1"/>
  <c r="C18" i="1"/>
  <c r="A18" i="1"/>
  <c r="G17" i="1"/>
  <c r="A17" i="1"/>
  <c r="G16" i="1"/>
  <c r="A16" i="1"/>
  <c r="G15" i="1"/>
  <c r="A15" i="1"/>
  <c r="G14" i="1"/>
  <c r="A14" i="1"/>
  <c r="G13" i="1"/>
  <c r="A13" i="1"/>
  <c r="G12" i="1"/>
  <c r="A12" i="1"/>
  <c r="G11" i="1"/>
  <c r="A11" i="1"/>
  <c r="G10" i="1"/>
  <c r="A10" i="1"/>
  <c r="K7" i="1"/>
  <c r="L49" i="1" s="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W16" i="3"/>
  <c r="W17" i="3"/>
  <c r="Y17" i="3" s="1"/>
  <c r="Y11" i="3"/>
  <c r="V44" i="3" l="1"/>
  <c r="Y44" i="3"/>
  <c r="AA44" i="3" l="1"/>
  <c r="AA46" i="3" s="1"/>
  <c r="W44" i="3"/>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 ref="D26" authorId="0" shapeId="0">
      <text>
        <r>
          <rPr>
            <b/>
            <sz val="9"/>
            <color indexed="81"/>
            <rFont val="Tahoma"/>
            <family val="2"/>
          </rPr>
          <t>Ted Peshehonoff:</t>
        </r>
        <r>
          <rPr>
            <sz val="9"/>
            <color indexed="81"/>
            <rFont val="Tahoma"/>
            <family val="2"/>
          </rPr>
          <t xml:space="preserve">
Need to confirm date this is expected due</t>
        </r>
      </text>
    </comment>
  </commentList>
</comments>
</file>

<file path=xl/sharedStrings.xml><?xml version="1.0" encoding="utf-8"?>
<sst xmlns="http://schemas.openxmlformats.org/spreadsheetml/2006/main" count="368" uniqueCount="225">
  <si>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</si>
  <si>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</si>
  <si>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</si>
  <si>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</si>
  <si>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</si>
  <si>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</si>
  <si>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</si>
  <si>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</si>
  <si>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</si>
  <si>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</si>
  <si>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</si>
  <si>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</si>
  <si>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</si>
  <si>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</si>
  <si>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</si>
  <si>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</si>
  <si>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</si>
  <si>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</si>
  <si>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</si>
  <si>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</si>
  <si>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</si>
  <si>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</si>
  <si>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</si>
  <si>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</si>
  <si>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</si>
  <si>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</si>
  <si>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</si>
  <si>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</si>
  <si>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</si>
  <si>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</si>
  <si>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</si>
  <si>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</si>
  <si>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</si>
  <si>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</si>
  <si>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</si>
  <si>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</si>
  <si>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</si>
  <si>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</si>
  <si>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</si>
  <si>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</si>
  <si>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</si>
  <si>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</si>
  <si>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</si>
  <si>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Cold Box 1 Received at SLAC</t>
  </si>
  <si>
    <t>Cold Box 1 Assembled at SLAC</t>
  </si>
  <si>
    <t>Cold Box 2 Manufacturing Complete</t>
  </si>
  <si>
    <t>Cold Box 2 Received at SLAC</t>
  </si>
  <si>
    <t>Cold Box 2 Assembled at SLAC</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</si>
  <si>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</si>
  <si>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</si>
  <si>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</si>
  <si>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</si>
  <si>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</si>
  <si>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</si>
  <si>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</si>
  <si>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</si>
  <si>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</si>
  <si>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</si>
  <si>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</si>
  <si>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</si>
  <si>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</si>
  <si>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</si>
  <si>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</si>
  <si>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</si>
  <si>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</si>
  <si>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</si>
  <si>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</si>
  <si>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</si>
  <si>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</si>
  <si>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</si>
  <si>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</si>
  <si>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</si>
  <si>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</si>
  <si>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</si>
  <si>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</si>
  <si>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</si>
  <si>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</si>
  <si>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</si>
  <si>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</si>
  <si>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</si>
  <si>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</si>
  <si>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</si>
  <si>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</si>
  <si>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</si>
  <si>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</si>
  <si>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</si>
  <si>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</si>
  <si>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</si>
  <si>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</si>
  <si>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</si>
  <si>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</si>
  <si>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</si>
  <si>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</si>
  <si>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</si>
  <si>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</si>
  <si>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</si>
  <si>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</si>
  <si>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</si>
  <si>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</si>
  <si>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</si>
  <si>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</si>
  <si>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</si>
  <si>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</si>
  <si>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</si>
  <si>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</si>
  <si>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</si>
  <si>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</si>
  <si>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</si>
  <si>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</si>
  <si>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</si>
  <si>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</si>
  <si>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</si>
  <si>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</si>
  <si>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</si>
  <si>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</si>
  <si>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</si>
  <si>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</si>
  <si>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</si>
  <si>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</si>
  <si>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</si>
  <si>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</si>
  <si>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</si>
  <si>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</si>
  <si>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</si>
  <si>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</si>
  <si>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</si>
  <si>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</si>
  <si>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</si>
  <si>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</si>
  <si>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</si>
  <si>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</si>
  <si>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</si>
  <si>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</si>
  <si>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</si>
  <si>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</si>
  <si>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</si>
  <si>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</si>
  <si>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</si>
  <si>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</si>
  <si>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</si>
  <si>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</si>
  <si>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</si>
  <si>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</si>
  <si>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</si>
  <si>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</si>
  <si>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</si>
  <si>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</si>
  <si>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</si>
  <si>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</si>
  <si>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</si>
  <si>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</si>
  <si>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</si>
  <si>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Grand Total</t>
  </si>
  <si>
    <t>Sum of PO Line Total</t>
  </si>
  <si>
    <t>Sum of % Complete</t>
  </si>
  <si>
    <t>Amt Paid</t>
  </si>
  <si>
    <t>Amt Accrued</t>
  </si>
  <si>
    <t>MOD 010: GN2 Vent/ LN2 Drain, Process Mode Calcs</t>
  </si>
  <si>
    <t>Milestones</t>
  </si>
  <si>
    <t>MOD 007: Bayonet Relocation</t>
  </si>
  <si>
    <t>MOD 007: Stair Arrangement Relocation</t>
  </si>
  <si>
    <t>MOD 008: Cold Box 1 Anchor Design Change</t>
  </si>
  <si>
    <t>MOD 008: Cold Box 2 Anchor Design Change</t>
  </si>
  <si>
    <t>MOD 010: Process Mode Calculations</t>
  </si>
  <si>
    <t>MOD 004: Cold Box 1 Manufacturing Complete</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</si>
  <si>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</si>
  <si>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</si>
  <si>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</si>
  <si>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</si>
  <si>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</si>
  <si>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</si>
  <si>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</si>
  <si>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</si>
  <si>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</si>
  <si>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</si>
  <si>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</si>
  <si>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</si>
  <si>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</si>
  <si>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</si>
  <si>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</si>
  <si>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</si>
  <si>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</si>
  <si>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</si>
  <si>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</si>
  <si>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</si>
  <si>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</si>
  <si>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</si>
  <si>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</si>
  <si>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</si>
  <si>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</si>
  <si>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</si>
  <si>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</si>
  <si>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</si>
  <si>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</si>
  <si>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</si>
  <si>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</si>
  <si>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</si>
  <si>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</si>
  <si>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</si>
  <si>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</si>
  <si>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</si>
  <si>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</si>
  <si>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</si>
  <si>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</si>
  <si>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</si>
  <si>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</si>
  <si>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</si>
  <si>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</si>
  <si>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</si>
  <si>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</si>
  <si>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</si>
  <si>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</si>
  <si>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</si>
  <si>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</si>
  <si>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C2 UCB Delivered to SLAC</t>
  </si>
  <si>
    <t>C2 LCB Delivered to SLAC</t>
  </si>
  <si>
    <t>C2 CB Assembled @ SLAC</t>
  </si>
  <si>
    <t>Mod 011: C1 CB Assembled @ SLAC</t>
  </si>
  <si>
    <t>Remaining Unfunded (or note)</t>
  </si>
  <si>
    <t>No</t>
  </si>
  <si>
    <t>Column2</t>
  </si>
  <si>
    <t>Pd milestone 7 in Jan</t>
  </si>
  <si>
    <t>Milestone 7 to get to 91%</t>
  </si>
  <si>
    <t>David Clark</t>
  </si>
  <si>
    <t>John Hogan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</si>
</sst>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4" formatCode="0.00000%"/>
    <numFmt numFmtId="175" formatCode="0.000000%"/>
    <numFmt numFmtId="176" formatCode="#,##0.0"/>
  </numFmts>
  <fonts count="36"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sz val="12"/>
      <name val="Times New Roman"/>
      <family val="1"/>
    </font>
    <font>
      <b/>
      <sz val="10"/>
      <name val="Arial"/>
      <family val="2"/>
    </font>
    <font>
      <sz val="12"/>
      <name val="Times New Roman"/>
    </font>
    <font>
      <b/>
      <sz val="10"/>
      <name val="Arial"/>
    </font>
  </fonts>
  <fills count="16">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293">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10" fontId="0" fillId="0" borderId="1" xfId="1" applyNumberFormat="1" applyFont="1" applyBorder="1" applyAlignment="1" applyProtection="1">
      <alignment horizontal="center"/>
      <protection locked="0"/>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0" fontId="0" fillId="0" borderId="2" xfId="0" applyBorder="1" applyAlignment="1">
      <alignment horizontal="left" wrapText="1"/>
    </xf>
    <xf numFmtId="3" fontId="0" fillId="2" borderId="1" xfId="0" applyNumberFormat="1" applyFill="1" applyBorder="1" applyAlignment="1">
      <alignment wrapText="1"/>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0" fontId="0" fillId="0" borderId="1" xfId="1" applyNumberFormat="1" applyFont="1" applyBorder="1" applyAlignment="1" applyProtection="1">
      <alignment horizontal="center"/>
    </xf>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0" fontId="0" fillId="0" borderId="0" xfId="0" applyAlignment="1">
      <alignment horizontal="center"/>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9" fontId="0" fillId="0" borderId="0" xfId="0" applyNumberFormat="1"/>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3" fontId="0" fillId="0" borderId="1" xfId="0" applyNumberFormat="1" applyBorder="1" applyProtection="1">
      <protection locked="0"/>
    </xf>
    <xf numFmtId="0" fontId="0" fillId="0" borderId="0" xfId="0" pivotButton="1"/>
    <xf numFmtId="168" fontId="0" fillId="0" borderId="0" xfId="0" applyNumberFormat="1"/>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3" fontId="0" fillId="2" borderId="0" xfId="0" applyNumberFormat="1" applyFill="1" applyBorder="1" applyAlignment="1">
      <alignment wrapText="1"/>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0" fillId="0" borderId="0" xfId="0" applyAlignment="1">
      <alignment wrapText="1"/>
    </xf>
    <xf numFmtId="0" fontId="5" fillId="0" borderId="2" xfId="0" applyFont="1"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165" fontId="32" fillId="0" borderId="4" xfId="2" applyNumberFormat="1" applyFont="1" applyFill="1" applyBorder="1" applyAlignment="1">
      <alignment horizontal="center" vertical="center" wrapText="1"/>
    </xf>
    <xf numFmtId="0" fontId="0" fillId="0" borderId="29" xfId="0" applyFill="1" applyBorder="1" applyAlignment="1">
      <alignment horizontal="center"/>
    </xf>
    <xf numFmtId="0" fontId="5" fillId="0" borderId="2" xfId="0" applyFont="1" applyFill="1" applyBorder="1" applyAlignment="1">
      <alignment wrapText="1"/>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3" fillId="0" borderId="0" xfId="0" applyFont="1" applyFill="1" applyAlignment="1">
      <alignment horizontal="center" vertical="center" wrapText="1"/>
    </xf>
    <xf numFmtId="0" fontId="0" fillId="0" borderId="29" xfId="0" applyBorder="1" applyAlignment="1">
      <alignment wrapText="1"/>
    </xf>
    <xf numFmtId="0" fontId="0" fillId="0" borderId="1" xfId="0" applyBorder="1" applyAlignment="1" applyProtection="1">
      <alignment horizontal="center"/>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0" fontId="5" fillId="0" borderId="29" xfId="0" applyFont="1" applyBorder="1" applyAlignment="1">
      <alignment horizontal="left" wrapText="1"/>
    </xf>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174" fontId="0" fillId="0" borderId="4" xfId="1" applyNumberFormat="1" applyFont="1" applyBorder="1" applyAlignment="1" applyProtection="1">
      <alignment horizontal="center"/>
      <protection locked="0"/>
    </xf>
    <xf numFmtId="174" fontId="0" fillId="0" borderId="0" xfId="1" applyNumberFormat="1" applyFont="1"/>
    <xf numFmtId="175" fontId="0" fillId="0" borderId="0" xfId="1" applyNumberFormat="1" applyFont="1"/>
    <xf numFmtId="176" fontId="0" fillId="0" borderId="4" xfId="0" applyNumberFormat="1" applyFill="1" applyBorder="1" applyAlignment="1" applyProtection="1">
      <alignment wrapText="1"/>
      <protection locked="0"/>
    </xf>
    <xf numFmtId="4" fontId="0" fillId="0" borderId="4" xfId="0" applyNumberFormat="1" applyFill="1" applyBorder="1" applyAlignment="1" applyProtection="1">
      <alignment wrapText="1"/>
      <protection locked="0"/>
    </xf>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5" fillId="14" borderId="4" xfId="0" applyNumberFormat="1" applyFont="1" applyFill="1" applyBorder="1" applyProtection="1">
      <protection locked="0"/>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0" fontId="8" fillId="0" borderId="1" xfId="0" applyFont="1" applyBorder="1" applyAlignment="1" applyProtection="1">
      <alignment horizontal="center"/>
    </xf>
    <xf numFmtId="0" fontId="8" fillId="0" borderId="0" xfId="0" applyFont="1" applyProtection="1"/>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12" borderId="2" xfId="1" applyNumberFormat="1" applyFont="1" applyFill="1" applyBorder="1" applyAlignment="1" applyProtection="1">
      <alignment horizontal="center"/>
    </xf>
    <xf numFmtId="166" fontId="8" fillId="0" borderId="2" xfId="8" applyFont="1" applyBorder="1" applyAlignment="1" applyProtection="1"/>
    <xf numFmtId="9" fontId="8" fillId="0" borderId="4" xfId="1" applyNumberFormat="1" applyFont="1" applyBorder="1" applyAlignment="1" applyProtection="1">
      <alignment horizontal="center"/>
      <protection locked="0"/>
    </xf>
    <xf numFmtId="3" fontId="8" fillId="0" borderId="0" xfId="0" applyNumberFormat="1" applyFont="1" applyBorder="1" applyProtection="1">
      <protection locked="0"/>
    </xf>
    <xf numFmtId="3" fontId="8" fillId="0" borderId="0" xfId="0" applyNumberFormat="1" applyFont="1" applyFill="1" applyBorder="1" applyAlignment="1" applyProtection="1">
      <alignment wrapText="1"/>
      <protection locked="0"/>
    </xf>
    <xf numFmtId="174" fontId="8" fillId="0" borderId="1" xfId="1" applyNumberFormat="1" applyFont="1" applyBorder="1" applyAlignment="1" applyProtection="1">
      <alignment horizontal="center"/>
    </xf>
    <xf numFmtId="174" fontId="0" fillId="0" borderId="4" xfId="1" applyNumberFormat="1" applyFont="1" applyBorder="1"/>
    <xf numFmtId="165" fontId="34" fillId="0" borderId="31" xfId="0" applyNumberFormat="1" applyFont="1" applyFill="1" applyBorder="1" applyAlignment="1" applyProtection="1">
      <alignment horizontal="center" vertical="center" wrapText="1"/>
    </xf>
    <xf numFmtId="10" fontId="0" fillId="0" borderId="0" xfId="0" applyNumberFormat="1" applyFont="1" applyBorder="1" applyAlignment="1" applyProtection="1">
      <alignment horizontal="center"/>
      <protection locked="0"/>
    </xf>
    <xf numFmtId="168" fontId="0" fillId="0" borderId="0" xfId="0" applyNumberFormat="1" applyFont="1" applyBorder="1" applyAlignment="1" applyProtection="1">
      <alignment horizontal="center"/>
      <protection locked="0"/>
    </xf>
    <xf numFmtId="9" fontId="0" fillId="0" borderId="32" xfId="0" applyNumberFormat="1" applyFont="1" applyBorder="1" applyAlignment="1" applyProtection="1">
      <alignment horizontal="center"/>
      <protection locked="0"/>
    </xf>
    <xf numFmtId="44" fontId="0" fillId="0" borderId="0" xfId="0" applyNumberFormat="1" applyFont="1" applyBorder="1" applyProtection="1">
      <protection locked="0"/>
    </xf>
    <xf numFmtId="44" fontId="35" fillId="0" borderId="0" xfId="0" applyNumberFormat="1" applyFont="1" applyFill="1"/>
    <xf numFmtId="0" fontId="35" fillId="0" borderId="0" xfId="0" applyFont="1" applyFill="1"/>
    <xf numFmtId="0" fontId="5" fillId="15" borderId="0" xfId="0" applyFont="1" applyFill="1" applyAlignment="1">
      <alignment horizontal="right"/>
    </xf>
    <xf numFmtId="0" fontId="0" fillId="15" borderId="0" xfId="0" applyFill="1"/>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xf numFmtId="14" fontId="0" fillId="0" borderId="1" xfId="0" applyNumberFormat="1" applyBorder="1" applyProtection="1"/>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94">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border>
    </dxf>
    <dxf>
      <numFmt numFmtId="3" formatCode="#,##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top style="thin">
          <color indexed="64"/>
        </top>
        <bottom/>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alignment wrapText="1" readingOrder="0"/>
    </dxf>
    <dxf>
      <numFmt numFmtId="168" formatCode="_(&quot;$&quot;* #,##0_);_(&quot;$&quot;* \(#,##0\);_(&quot;$&quot;* &quot;-&quot;??_);_(@_)"/>
    </dxf>
    <dxf>
      <numFmt numFmtId="168" formatCode="_(&quot;$&quot;* #,##0_);_(&quot;$&quot;* \(#,##0\);_(&quot;$&quot;* &quot;-&quot;??_);_(@_)"/>
    </dxf>
    <dxf>
      <numFmt numFmtId="177" formatCode="_(&quot;$&quot;* #,##0.0_);_(&quot;$&quot;* \(#,##0.0\);_(&quot;$&quot;* &quot;-&quot;??_);_(@_)"/>
    </dxf>
    <dxf>
      <numFmt numFmtId="177" formatCode="_(&quot;$&quot;* #,##0.0_);_(&quot;$&quot;* \(#,##0.0\);_(&quot;$&quot;* &quot;-&quot;??_);_(@_)"/>
    </dxf>
    <dxf>
      <numFmt numFmtId="34" formatCode="_(&quot;$&quot;* #,##0.00_);_(&quot;$&quot;* \(#,##0.00\);_(&quot;$&quot;* &quot;-&quot;??_);_(@_)"/>
    </dxf>
    <dxf>
      <numFmt numFmtId="34" formatCode="_(&quot;$&quot;* #,##0.00_);_(&quot;$&quot;* \(#,##0.00\);_(&quot;$&quot;* &quot;-&quot;??_);_(@_)"/>
    </dxf>
    <dxf>
      <alignment wrapText="1" readingOrder="0"/>
    </dxf>
    <dxf>
      <alignment wrapText="1" readingOrder="0"/>
    </dxf>
    <dxf>
      <numFmt numFmtId="13" formatCode="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rrod Fitzpatrick" refreshedDate="42956.620537268522" createdVersion="6" refreshedVersion="6" minRefreshableVersion="3" recordCount="23">
  <cacheSource type="worksheet">
    <worksheetSource name="Table4"/>
  </cacheSource>
  <cacheFields count="27">
    <cacheField name="Milestone #" numFmtId="0">
      <sharedItems containsSemiMixedTypes="0" containsString="0" containsNumber="1" containsInteger="1" minValue="1" maxValue="15"/>
    </cacheField>
    <cacheField name="PO Line #" numFmtId="0">
      <sharedItems containsMixedTypes="1" containsNumber="1" containsInteger="1" minValue="1" maxValue="15"/>
    </cacheField>
    <cacheField name="Description" numFmtId="0">
      <sharedItems count="27">
        <s v="Completion of Kick Off Meeting (KOM)"/>
        <s v="Preliminary Design Review (PDR)"/>
        <s v="MOD 002: Issue order for Long Lead Items,  add engineering*"/>
        <s v="MOD 003: Complete final design review (FDR)"/>
        <s v="MOD 004: Delivery of main material to start CB manufacturing at factory"/>
        <s v="MOD 004: Cold Box 1 Manufacturing Complete"/>
        <s v="MOD 005: Customs &amp; Duties for Line 5"/>
        <s v="MOD 005: UL Stamp for ELE Boxes"/>
        <s v="MOD 007: Bayonet Relocation"/>
        <s v="MOD 007: Stair Arrangement Relocation"/>
        <s v="MOD 008: Cold Box 1 Anchor Design Change"/>
        <s v="MOD 008: Cold Box 2 Anchor Design Change"/>
        <s v="MOD 009: Factory acceptance of completed turbines - CP1"/>
        <s v="MOD 010: Process Mode Calculations"/>
        <s v="MOD 010: GN2 Vent/ LN2 Drain, Process Mode Calcs"/>
        <s v="Cold Box 1 Received at SLAC"/>
        <s v="Cold Box 1 Assembled at SLAC"/>
        <s v="Cold Box 2 Manufacturing Complete"/>
        <s v="Cold Box 2 Received at SLAC"/>
        <s v="Cold Box 2 Assembled at SLAC"/>
        <s v="Commissioning, Training, &amp; Acceptance - CB1"/>
        <s v="Delivery of operating and maintenance manuals"/>
        <s v="Commissioning, Training, &amp; Acceptance - CB2"/>
        <s v="Factory acceptance of completed turbines" u="1"/>
        <s v="Delivery of main material to start CB manufacturing at factory" u="1"/>
        <s v="Complete final design review (FDR)" u="1"/>
        <s v="Cold Box 1 Manufacturing Complete" u="1"/>
      </sharedItems>
    </cacheField>
    <cacheField name="Est Date" numFmtId="0">
      <sharedItems containsSemiMixedTypes="0" containsNonDate="0" containsDate="1" containsString="0" minDate="2015-10-08T00:00:00" maxDate="2019-02-12T00:00:00" count="15">
        <d v="2015-10-08T00:00:00"/>
        <d v="2016-03-10T00:00:00"/>
        <d v="2016-04-08T00:00:00"/>
        <d v="2016-07-11T00:00:00"/>
        <d v="2016-11-11T00:00:00"/>
        <d v="2017-08-11T00:00:00"/>
        <d v="2019-02-11T00:00:00"/>
        <d v="2017-08-25T00:00:00"/>
        <d v="2017-09-11T00:00:00"/>
        <d v="2017-12-11T00:00:00"/>
        <d v="2018-02-12T00:00:00"/>
        <d v="2018-03-12T00:00:00"/>
        <d v="2018-06-11T00:00:00"/>
        <d v="2018-10-11T00:00:00"/>
        <d v="2019-01-11T00:00:00"/>
      </sharedItems>
      <fieldGroup par="26" base="3">
        <rangePr groupBy="months" startDate="2015-10-08T00:00:00" endDate="2019-02-12T00:00:00"/>
        <groupItems count="14">
          <s v="&lt;10/8/2015"/>
          <s v="Jan"/>
          <s v="Feb"/>
          <s v="Mar"/>
          <s v="Apr"/>
          <s v="May"/>
          <s v="Jun"/>
          <s v="Jul"/>
          <s v="Aug"/>
          <s v="Sep"/>
          <s v="Oct"/>
          <s v="Nov"/>
          <s v="Dec"/>
          <s v="&gt;2/12/2019"/>
        </groupItems>
      </fieldGroup>
    </cacheField>
    <cacheField name="Beg % Complete" numFmtId="10">
      <sharedItems containsString="0" containsBlank="1" containsNumber="1" minValue="0" maxValue="1"/>
    </cacheField>
    <cacheField name="Nov-16" numFmtId="0">
      <sharedItems containsNonDate="0" containsString="0" containsBlank="1"/>
    </cacheField>
    <cacheField name="Dec-16" numFmtId="10">
      <sharedItems containsNonDate="0" containsString="0" containsBlank="1"/>
    </cacheField>
    <cacheField name="Jan-17" numFmtId="168">
      <sharedItems containsString="0" containsBlank="1" containsNumber="1" minValue="910806.01803750009" maxValue="936680"/>
    </cacheField>
    <cacheField name="Feb-17" numFmtId="0">
      <sharedItems containsString="0" containsBlank="1" containsNumber="1" minValue="1515207.9819624999" maxValue="1515207.9819624999"/>
    </cacheField>
    <cacheField name="Mar-17" numFmtId="10">
      <sharedItems containsNonDate="0" containsString="0" containsBlank="1"/>
    </cacheField>
    <cacheField name="Apr-17" numFmtId="10">
      <sharedItems containsNonDate="0" containsString="0" containsBlank="1"/>
    </cacheField>
    <cacheField name="May-17" numFmtId="10">
      <sharedItems containsNonDate="0" containsString="0" containsBlank="1"/>
    </cacheField>
    <cacheField name="Jun-17" numFmtId="0">
      <sharedItems containsString="0" containsBlank="1" containsNumber="1" minValue="184143.9560439561" maxValue="184143.9560439561"/>
    </cacheField>
    <cacheField name="Jul-17" numFmtId="0">
      <sharedItems containsString="0" containsBlank="1" containsNumber="1" containsInteger="1" minValue="465475" maxValue="465475"/>
    </cacheField>
    <cacheField name="Aug-17" numFmtId="0">
      <sharedItems containsNonDate="0" containsString="0" containsBlank="1"/>
    </cacheField>
    <cacheField name="Sep-17" numFmtId="0">
      <sharedItems containsNonDate="0" containsString="0" containsBlank="1"/>
    </cacheField>
    <cacheField name="Oct-17" numFmtId="0">
      <sharedItems containsNonDate="0" containsString="0" containsBlank="1"/>
    </cacheField>
    <cacheField name="Nov-17" numFmtId="0">
      <sharedItems containsNonDate="0" containsString="0" containsBlank="1"/>
    </cacheField>
    <cacheField name="Dec-17" numFmtId="0">
      <sharedItems containsNonDate="0" containsString="0" containsBlank="1"/>
    </cacheField>
    <cacheField name="% Complete" numFmtId="9">
      <sharedItems containsSemiMixedTypes="0" containsString="0" containsNumber="1" minValue="0" maxValue="1"/>
    </cacheField>
    <cacheField name="PO Line Total" numFmtId="3">
      <sharedItems containsSemiMixedTypes="0" containsString="0" containsNumber="1" minValue="5544" maxValue="5277520"/>
    </cacheField>
    <cacheField name="Work Complete" numFmtId="3">
      <sharedItems containsSemiMixedTypes="0" containsString="0" containsNumber="1" minValue="0" maxValue="5277519.9095233381"/>
    </cacheField>
    <cacheField name="Eligible for Voucher Amt" numFmtId="0">
      <sharedItems containsString="0" containsBlank="1" containsNumber="1" minValue="-9.0476661920547485E-2" maxValue="2426014"/>
    </cacheField>
    <cacheField name="Total Paid" numFmtId="3">
      <sharedItems containsSemiMixedTypes="0" containsString="0" containsNumber="1" containsInteger="1" minValue="0" maxValue="5277520"/>
    </cacheField>
    <cacheField name="Completed  Work Retention Amt" numFmtId="3">
      <sharedItems containsString="0" containsBlank="1" containsNumber="1" containsInteger="1" minValue="0" maxValue="0"/>
    </cacheField>
    <cacheField name="Quarters" numFmtId="0" databaseField="0">
      <fieldGroup base="3">
        <rangePr groupBy="quarters" startDate="2015-10-08T00:00:00" endDate="2019-02-12T00:00:00"/>
        <groupItems count="6">
          <s v="&lt;10/8/2015"/>
          <s v="Qtr1"/>
          <s v="Qtr2"/>
          <s v="Qtr3"/>
          <s v="Qtr4"/>
          <s v="&gt;2/12/2019"/>
        </groupItems>
      </fieldGroup>
    </cacheField>
    <cacheField name="Years" numFmtId="0" databaseField="0">
      <fieldGroup base="3">
        <rangePr groupBy="years" startDate="2015-10-08T00:00:00" endDate="2019-02-12T00:00:00"/>
        <groupItems count="7">
          <s v="&lt;10/8/2015"/>
          <s v="2015"/>
          <s v="2016"/>
          <s v="2017"/>
          <s v="2018"/>
          <s v="2019"/>
          <s v="&gt;2/12/2019"/>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
  <r>
    <n v="1"/>
    <n v="1"/>
    <x v="0"/>
    <x v="0"/>
    <n v="1"/>
    <m/>
    <m/>
    <m/>
    <m/>
    <m/>
    <m/>
    <m/>
    <m/>
    <m/>
    <m/>
    <m/>
    <m/>
    <m/>
    <m/>
    <n v="1"/>
    <n v="502100"/>
    <n v="502100"/>
    <n v="0"/>
    <n v="502100"/>
    <n v="0"/>
  </r>
  <r>
    <n v="2"/>
    <n v="2"/>
    <x v="1"/>
    <x v="1"/>
    <n v="1"/>
    <m/>
    <m/>
    <m/>
    <m/>
    <m/>
    <m/>
    <m/>
    <m/>
    <m/>
    <m/>
    <m/>
    <m/>
    <m/>
    <m/>
    <n v="1"/>
    <n v="502100"/>
    <n v="502100"/>
    <n v="0"/>
    <n v="502100"/>
    <n v="0"/>
  </r>
  <r>
    <n v="3"/>
    <n v="3"/>
    <x v="2"/>
    <x v="2"/>
    <n v="0.82251510359474489"/>
    <m/>
    <m/>
    <n v="936680"/>
    <m/>
    <m/>
    <m/>
    <m/>
    <m/>
    <m/>
    <m/>
    <m/>
    <m/>
    <m/>
    <m/>
    <n v="0.99999998285621616"/>
    <n v="5277520"/>
    <n v="5277519.9095233381"/>
    <n v="-9.0476661920547485E-2"/>
    <n v="5277520"/>
    <n v="0"/>
  </r>
  <r>
    <n v="4"/>
    <n v="4"/>
    <x v="3"/>
    <x v="3"/>
    <n v="0.90109890109890112"/>
    <m/>
    <m/>
    <m/>
    <m/>
    <m/>
    <m/>
    <m/>
    <n v="184143.9560439561"/>
    <m/>
    <m/>
    <m/>
    <m/>
    <m/>
    <m/>
    <n v="1"/>
    <n v="1861900"/>
    <n v="1861900"/>
    <n v="1861900"/>
    <n v="0"/>
    <n v="0"/>
  </r>
  <r>
    <n v="5"/>
    <n v="5"/>
    <x v="4"/>
    <x v="4"/>
    <n v="0"/>
    <m/>
    <m/>
    <n v="910806.01803750009"/>
    <n v="1515207.9819624999"/>
    <m/>
    <m/>
    <m/>
    <m/>
    <m/>
    <m/>
    <m/>
    <m/>
    <m/>
    <m/>
    <n v="1"/>
    <n v="2426014"/>
    <n v="2426014"/>
    <n v="2426014"/>
    <n v="0"/>
    <n v="0"/>
  </r>
  <r>
    <n v="6"/>
    <n v="6"/>
    <x v="5"/>
    <x v="5"/>
    <n v="0"/>
    <m/>
    <m/>
    <m/>
    <m/>
    <m/>
    <m/>
    <m/>
    <m/>
    <m/>
    <m/>
    <m/>
    <m/>
    <m/>
    <m/>
    <n v="0"/>
    <n v="1483976"/>
    <n v="0"/>
    <n v="0"/>
    <n v="0"/>
    <n v="0"/>
  </r>
  <r>
    <n v="5"/>
    <n v="7"/>
    <x v="6"/>
    <x v="6"/>
    <n v="0"/>
    <m/>
    <m/>
    <m/>
    <m/>
    <m/>
    <m/>
    <m/>
    <m/>
    <m/>
    <m/>
    <m/>
    <m/>
    <m/>
    <m/>
    <n v="0"/>
    <n v="278066"/>
    <n v="0"/>
    <n v="0"/>
    <n v="0"/>
    <n v="0"/>
  </r>
  <r>
    <n v="5"/>
    <n v="8"/>
    <x v="7"/>
    <x v="6"/>
    <n v="0"/>
    <m/>
    <m/>
    <m/>
    <m/>
    <m/>
    <m/>
    <m/>
    <m/>
    <m/>
    <m/>
    <m/>
    <m/>
    <m/>
    <m/>
    <n v="0"/>
    <n v="5544"/>
    <n v="0"/>
    <n v="0"/>
    <n v="0"/>
    <n v="0"/>
  </r>
  <r>
    <n v="6"/>
    <n v="9"/>
    <x v="8"/>
    <x v="6"/>
    <m/>
    <m/>
    <m/>
    <m/>
    <m/>
    <m/>
    <m/>
    <m/>
    <m/>
    <m/>
    <m/>
    <m/>
    <m/>
    <m/>
    <m/>
    <n v="0"/>
    <n v="8572"/>
    <n v="0"/>
    <m/>
    <n v="0"/>
    <m/>
  </r>
  <r>
    <n v="6"/>
    <n v="10"/>
    <x v="9"/>
    <x v="6"/>
    <m/>
    <m/>
    <m/>
    <m/>
    <m/>
    <m/>
    <m/>
    <m/>
    <m/>
    <m/>
    <m/>
    <m/>
    <m/>
    <m/>
    <m/>
    <n v="0"/>
    <n v="11962"/>
    <n v="0"/>
    <m/>
    <n v="0"/>
    <m/>
  </r>
  <r>
    <n v="6"/>
    <n v="11"/>
    <x v="10"/>
    <x v="6"/>
    <m/>
    <m/>
    <m/>
    <m/>
    <m/>
    <m/>
    <m/>
    <m/>
    <m/>
    <m/>
    <m/>
    <m/>
    <m/>
    <m/>
    <m/>
    <n v="0"/>
    <n v="57670"/>
    <n v="0"/>
    <m/>
    <n v="0"/>
    <m/>
  </r>
  <r>
    <n v="6"/>
    <n v="12"/>
    <x v="11"/>
    <x v="6"/>
    <m/>
    <m/>
    <m/>
    <m/>
    <m/>
    <m/>
    <m/>
    <m/>
    <m/>
    <m/>
    <m/>
    <m/>
    <m/>
    <m/>
    <m/>
    <n v="0"/>
    <n v="57670"/>
    <n v="0"/>
    <m/>
    <n v="0"/>
    <m/>
  </r>
  <r>
    <n v="7"/>
    <n v="13"/>
    <x v="12"/>
    <x v="7"/>
    <n v="0"/>
    <m/>
    <m/>
    <m/>
    <m/>
    <m/>
    <m/>
    <m/>
    <m/>
    <n v="465475"/>
    <m/>
    <m/>
    <m/>
    <m/>
    <m/>
    <n v="0.5"/>
    <n v="930950"/>
    <n v="465475"/>
    <n v="465475"/>
    <n v="0"/>
    <n v="0"/>
  </r>
  <r>
    <n v="6"/>
    <n v="14"/>
    <x v="13"/>
    <x v="6"/>
    <m/>
    <m/>
    <m/>
    <m/>
    <m/>
    <m/>
    <m/>
    <m/>
    <m/>
    <m/>
    <m/>
    <m/>
    <m/>
    <m/>
    <m/>
    <n v="0"/>
    <n v="33433"/>
    <n v="0"/>
    <m/>
    <n v="0"/>
    <m/>
  </r>
  <r>
    <n v="6"/>
    <n v="15"/>
    <x v="14"/>
    <x v="6"/>
    <n v="0"/>
    <m/>
    <m/>
    <m/>
    <m/>
    <m/>
    <m/>
    <m/>
    <m/>
    <m/>
    <m/>
    <m/>
    <m/>
    <m/>
    <m/>
    <n v="0"/>
    <n v="14935"/>
    <n v="0"/>
    <m/>
    <n v="0"/>
    <m/>
  </r>
  <r>
    <n v="8"/>
    <s v="N/A"/>
    <x v="15"/>
    <x v="8"/>
    <n v="0"/>
    <m/>
    <m/>
    <m/>
    <m/>
    <m/>
    <m/>
    <m/>
    <m/>
    <m/>
    <m/>
    <m/>
    <m/>
    <m/>
    <m/>
    <n v="0"/>
    <n v="465475"/>
    <n v="0"/>
    <n v="0"/>
    <n v="0"/>
    <n v="0"/>
  </r>
  <r>
    <n v="9"/>
    <s v="N/A"/>
    <x v="16"/>
    <x v="9"/>
    <n v="0"/>
    <m/>
    <m/>
    <m/>
    <m/>
    <m/>
    <m/>
    <m/>
    <m/>
    <m/>
    <m/>
    <m/>
    <m/>
    <m/>
    <m/>
    <n v="0"/>
    <n v="465475"/>
    <n v="0"/>
    <n v="0"/>
    <n v="0"/>
    <n v="0"/>
  </r>
  <r>
    <n v="10"/>
    <s v="N/A"/>
    <x v="17"/>
    <x v="10"/>
    <n v="0"/>
    <m/>
    <m/>
    <m/>
    <m/>
    <m/>
    <m/>
    <m/>
    <m/>
    <m/>
    <m/>
    <m/>
    <m/>
    <m/>
    <m/>
    <n v="0"/>
    <n v="1489519.9883199998"/>
    <n v="0"/>
    <n v="0"/>
    <n v="0"/>
    <n v="0"/>
  </r>
  <r>
    <n v="11"/>
    <s v="N/A"/>
    <x v="18"/>
    <x v="11"/>
    <n v="0"/>
    <m/>
    <m/>
    <m/>
    <m/>
    <m/>
    <m/>
    <m/>
    <m/>
    <m/>
    <m/>
    <m/>
    <m/>
    <m/>
    <m/>
    <n v="0"/>
    <n v="465475"/>
    <n v="0"/>
    <n v="0"/>
    <n v="0"/>
    <n v="0"/>
  </r>
  <r>
    <n v="12"/>
    <s v="N/A"/>
    <x v="19"/>
    <x v="12"/>
    <n v="0"/>
    <m/>
    <m/>
    <m/>
    <m/>
    <m/>
    <m/>
    <m/>
    <m/>
    <m/>
    <m/>
    <m/>
    <m/>
    <m/>
    <m/>
    <n v="0"/>
    <n v="465475"/>
    <n v="0"/>
    <n v="0"/>
    <n v="0"/>
    <n v="0"/>
  </r>
  <r>
    <n v="13"/>
    <s v="N/A"/>
    <x v="20"/>
    <x v="13"/>
    <n v="0"/>
    <m/>
    <m/>
    <m/>
    <m/>
    <m/>
    <m/>
    <m/>
    <m/>
    <m/>
    <m/>
    <m/>
    <m/>
    <m/>
    <m/>
    <n v="0"/>
    <n v="930950.4"/>
    <n v="0"/>
    <n v="0"/>
    <n v="0"/>
    <n v="0"/>
  </r>
  <r>
    <n v="14"/>
    <s v="N/A"/>
    <x v="21"/>
    <x v="14"/>
    <n v="0"/>
    <m/>
    <m/>
    <m/>
    <m/>
    <m/>
    <m/>
    <m/>
    <m/>
    <m/>
    <m/>
    <m/>
    <m/>
    <m/>
    <m/>
    <n v="0"/>
    <n v="485319.2"/>
    <n v="0"/>
    <n v="0"/>
    <n v="0"/>
    <n v="0"/>
  </r>
  <r>
    <n v="15"/>
    <s v="N/A"/>
    <x v="22"/>
    <x v="6"/>
    <n v="0"/>
    <m/>
    <m/>
    <m/>
    <m/>
    <m/>
    <m/>
    <m/>
    <m/>
    <m/>
    <m/>
    <m/>
    <m/>
    <m/>
    <m/>
    <n v="0"/>
    <n v="930950.4"/>
    <n v="0"/>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Milestones">
  <location ref="A3:E27" firstHeaderRow="0" firstDataRow="1" firstDataCol="1"/>
  <pivotFields count="27">
    <pivotField showAll="0"/>
    <pivotField showAll="0"/>
    <pivotField axis="axisRow" showAll="0">
      <items count="28">
        <item x="16"/>
        <item m="1" x="26"/>
        <item x="15"/>
        <item x="19"/>
        <item x="17"/>
        <item x="18"/>
        <item x="20"/>
        <item x="22"/>
        <item m="1" x="25"/>
        <item x="0"/>
        <item m="1" x="24"/>
        <item x="21"/>
        <item m="1" x="23"/>
        <item x="2"/>
        <item x="6"/>
        <item x="7"/>
        <item x="1"/>
        <item x="14"/>
        <item x="3"/>
        <item x="4"/>
        <item x="5"/>
        <item x="8"/>
        <item x="9"/>
        <item x="10"/>
        <item x="11"/>
        <item x="12"/>
        <item x="13"/>
        <item t="default"/>
      </items>
    </pivotField>
    <pivotField showAll="0">
      <items count="15">
        <item x="0"/>
        <item x="1"/>
        <item x="2"/>
        <item x="3"/>
        <item x="4"/>
        <item x="5"/>
        <item x="6"/>
        <item x="7"/>
        <item x="8"/>
        <item x="9"/>
        <item x="10"/>
        <item x="11"/>
        <item x="12"/>
        <item x="13"/>
        <item t="default"/>
      </items>
    </pivotField>
    <pivotField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9" showAll="0"/>
    <pivotField dataField="1" numFmtId="3" showAll="0"/>
    <pivotField dataField="1" numFmtId="3" showAll="0"/>
    <pivotField numFmtId="3" showAll="0"/>
    <pivotField dataField="1" numFmtId="3" showAll="0"/>
    <pivotField numFmtId="3" showAll="0"/>
    <pivotField showAll="0" defaultSubtotal="0">
      <items count="6">
        <item sd="0" x="0"/>
        <item sd="0" x="1"/>
        <item sd="0" x="2"/>
        <item sd="0" x="3"/>
        <item sd="0" x="4"/>
        <item sd="0" x="5"/>
      </items>
    </pivotField>
    <pivotField showAll="0" defaultSubtotal="0">
      <items count="7">
        <item sd="0" x="0"/>
        <item sd="0" x="1"/>
        <item sd="0" x="2"/>
        <item sd="0" x="3"/>
        <item sd="0" x="4"/>
        <item sd="0" x="5"/>
        <item sd="0" x="6"/>
      </items>
    </pivotField>
  </pivotFields>
  <rowFields count="1">
    <field x="2"/>
  </rowFields>
  <rowItems count="24">
    <i>
      <x/>
    </i>
    <i>
      <x v="2"/>
    </i>
    <i>
      <x v="3"/>
    </i>
    <i>
      <x v="4"/>
    </i>
    <i>
      <x v="5"/>
    </i>
    <i>
      <x v="6"/>
    </i>
    <i>
      <x v="7"/>
    </i>
    <i>
      <x v="9"/>
    </i>
    <i>
      <x v="11"/>
    </i>
    <i>
      <x v="13"/>
    </i>
    <i>
      <x v="14"/>
    </i>
    <i>
      <x v="15"/>
    </i>
    <i>
      <x v="16"/>
    </i>
    <i>
      <x v="17"/>
    </i>
    <i>
      <x v="18"/>
    </i>
    <i>
      <x v="19"/>
    </i>
    <i>
      <x v="20"/>
    </i>
    <i>
      <x v="21"/>
    </i>
    <i>
      <x v="22"/>
    </i>
    <i>
      <x v="23"/>
    </i>
    <i>
      <x v="24"/>
    </i>
    <i>
      <x v="25"/>
    </i>
    <i>
      <x v="26"/>
    </i>
    <i t="grand">
      <x/>
    </i>
  </rowItems>
  <colFields count="1">
    <field x="-2"/>
  </colFields>
  <colItems count="4">
    <i>
      <x/>
    </i>
    <i i="1">
      <x v="1"/>
    </i>
    <i i="2">
      <x v="2"/>
    </i>
    <i i="3">
      <x v="3"/>
    </i>
  </colItems>
  <dataFields count="4">
    <dataField name="Sum of PO Line Total" fld="20" baseField="0" baseItem="0" numFmtId="168"/>
    <dataField name="Sum of % Complete" fld="19" baseField="0" baseItem="0" numFmtId="9"/>
    <dataField name="Amt Accrued" fld="21" baseField="0" baseItem="0" numFmtId="168"/>
    <dataField name="Amt Paid" fld="23" baseField="0" baseItem="0" numFmtId="168"/>
  </dataFields>
  <formats count="10">
    <format dxfId="91">
      <pivotArea outline="0" collapsedLevelsAreSubtotals="1" fieldPosition="0">
        <references count="1">
          <reference field="4294967294" count="1" selected="0">
            <x v="1"/>
          </reference>
        </references>
      </pivotArea>
    </format>
    <format dxfId="90">
      <pivotArea dataOnly="0" labelOnly="1" outline="0" fieldPosition="0">
        <references count="1">
          <reference field="4294967294" count="1">
            <x v="1"/>
          </reference>
        </references>
      </pivotArea>
    </format>
    <format dxfId="89">
      <pivotArea dataOnly="0" labelOnly="1" outline="0" fieldPosition="0">
        <references count="1">
          <reference field="4294967294" count="1">
            <x v="0"/>
          </reference>
        </references>
      </pivotArea>
    </format>
    <format dxfId="88">
      <pivotArea outline="0" collapsedLevelsAreSubtotals="1" fieldPosition="0">
        <references count="1">
          <reference field="4294967294" count="2" selected="0">
            <x v="2"/>
            <x v="3"/>
          </reference>
        </references>
      </pivotArea>
    </format>
    <format dxfId="87">
      <pivotArea outline="0" collapsedLevelsAreSubtotals="1" fieldPosition="0">
        <references count="1">
          <reference field="4294967294" count="1" selected="0">
            <x v="0"/>
          </reference>
        </references>
      </pivotArea>
    </format>
    <format dxfId="86">
      <pivotArea outline="0" collapsedLevelsAreSubtotals="1" fieldPosition="0">
        <references count="1">
          <reference field="4294967294" count="2" selected="0">
            <x v="2"/>
            <x v="3"/>
          </reference>
        </references>
      </pivotArea>
    </format>
    <format dxfId="85">
      <pivotArea outline="0" collapsedLevelsAreSubtotals="1" fieldPosition="0">
        <references count="1">
          <reference field="4294967294" count="1" selected="0">
            <x v="0"/>
          </reference>
        </references>
      </pivotArea>
    </format>
    <format dxfId="84">
      <pivotArea outline="0" collapsedLevelsAreSubtotals="1" fieldPosition="0">
        <references count="1">
          <reference field="4294967294" count="2" selected="0">
            <x v="2"/>
            <x v="3"/>
          </reference>
        </references>
      </pivotArea>
    </format>
    <format dxfId="83">
      <pivotArea outline="0" collapsedLevelsAreSubtotals="1" fieldPosition="0">
        <references count="1">
          <reference field="4294967294" count="1" selected="0">
            <x v="0"/>
          </reference>
        </references>
      </pivotArea>
    </format>
    <format dxfId="82">
      <pivotArea dataOnly="0" labelOnly="1" outline="0" fieldPosition="0">
        <references count="1">
          <reference field="4294967294"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4" name="Table4" displayName="Table4" ref="A10:AC44" totalsRowCount="1" headerRowDxfId="81" totalsRowDxfId="80">
  <autoFilter ref="A10:AC43"/>
  <tableColumns count="29">
    <tableColumn id="2" name="Milestone #" dataDxfId="79" totalsRowDxfId="78"/>
    <tableColumn id="21" name="PO Line #" dataDxfId="77" totalsRowDxfId="76"/>
    <tableColumn id="3" name="Description" dataDxfId="75" totalsRowDxfId="74"/>
    <tableColumn id="4" name="Est Date" dataDxfId="73" totalsRowDxfId="72" dataCellStyle="Normal 4"/>
    <tableColumn id="5" name="Beg % Complete" dataDxfId="71" totalsRowDxfId="70" dataCellStyle="Percent"/>
    <tableColumn id="6" name="Nov-16" dataDxfId="69" totalsRowDxfId="68" dataCellStyle="Percent"/>
    <tableColumn id="7" name="Dec-16" dataDxfId="67" totalsRowDxfId="66" dataCellStyle="Percent"/>
    <tableColumn id="8" name="Jan-17" dataDxfId="65" totalsRowDxfId="64" dataCellStyle="Currency"/>
    <tableColumn id="9" name="Feb-17" dataDxfId="63" totalsRowDxfId="62" dataCellStyle="Percent"/>
    <tableColumn id="10" name="Mar-17" dataDxfId="61" totalsRowDxfId="60" dataCellStyle="Percent"/>
    <tableColumn id="11" name="Apr-17" dataDxfId="59" totalsRowDxfId="58" dataCellStyle="Percent"/>
    <tableColumn id="12" name="May-17" dataDxfId="57" totalsRowDxfId="56" dataCellStyle="Percent"/>
    <tableColumn id="13" name="Jun-17" dataDxfId="55" totalsRowDxfId="54" dataCellStyle="Percent"/>
    <tableColumn id="14" name="Jul-17" dataDxfId="53" totalsRowDxfId="52" dataCellStyle="Percent"/>
    <tableColumn id="15" name="Aug-17" dataDxfId="51" totalsRowDxfId="50" dataCellStyle="Percent"/>
    <tableColumn id="16" name="Sep-17" dataDxfId="49" totalsRowDxfId="48" dataCellStyle="Percent"/>
    <tableColumn id="17" name="Oct-17" dataDxfId="47" totalsRowDxfId="46" dataCellStyle="Percent"/>
    <tableColumn id="18" name="Nov-17" dataDxfId="45" totalsRowDxfId="44" dataCellStyle="Percent"/>
    <tableColumn id="19" name="Dec-17" dataDxfId="43" totalsRowDxfId="42" dataCellStyle="Percent"/>
    <tableColumn id="20" name="% Complete" dataDxfId="41" totalsRowDxfId="40" dataCellStyle="Percent">
      <calculatedColumnFormula>IF(D11&gt;0,SUM(F11:K11)/U11+E11,0)</calculatedColumnFormula>
    </tableColumn>
    <tableColumn id="22" name="PO Line Total" totalsRowFunction="custom" dataDxfId="39" totalsRowDxfId="38" dataCellStyle="Currency">
      <totalsRowFormula>SUM(U11:U43)</totalsRowFormula>
    </tableColumn>
    <tableColumn id="26" name="Work Complete" totalsRowFunction="sum" dataDxfId="37" totalsRowDxfId="36"/>
    <tableColumn id="28" name="Eligible for Voucher Amt" totalsRowFunction="sum" dataDxfId="35" totalsRowDxfId="34"/>
    <tableColumn id="30" name="Total Paid" totalsRowFunction="sum" dataDxfId="33" totalsRowDxfId="32">
      <calculatedColumnFormula>SUMIF(Invoices!$C$2:$C$1048576,' Accting USE Data Entry Form'!$C$11:$C$43,Invoices!$E$2:$E$1048576)</calculatedColumnFormula>
    </tableColumn>
    <tableColumn id="32" name="Completed  Work Retention Amt" totalsRowFunction="sum" dataDxfId="31" totalsRowDxfId="30"/>
    <tableColumn id="1" name="Work Remaining" dataDxfId="29" totalsRowDxfId="28"/>
    <tableColumn id="23" name="Remaining Unfunded (or note)" totalsRowFunction="sum" totalsRowDxfId="27" dataCellStyle="Currency"/>
    <tableColumn id="24" name="Column1" dataDxfId="26" totalsRowDxfId="25"/>
    <tableColumn id="25" name="Column2" dataDxfId="24" totalsRowDxfId="23"/>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1:G14" totalsRowCount="1" headerRowDxfId="22">
  <autoFilter ref="A1:G13"/>
  <sortState ref="A2:H13">
    <sortCondition ref="A2:A13"/>
  </sortState>
  <tableColumns count="7">
    <tableColumn id="1" name="Invoice #" totalsRowLabel="Total"/>
    <tableColumn id="2" name="Invoice Date" dataDxfId="21"/>
    <tableColumn id="3" name="Description"/>
    <tableColumn id="7" name="Invoice Amount" dataCellStyle="Currency"/>
    <tableColumn id="4" name="Approved Amount" totalsRowFunction="sum" totalsRowDxfId="20" dataCellStyle="Currency"/>
    <tableColumn id="5" name="Approval Date" dataDxfId="19" totalsRowDxfId="18"/>
    <tableColumn id="6" name="PO line" dataDxfId="17"/>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16">
  <autoFilter ref="A1:H24"/>
  <sortState ref="A2:G15">
    <sortCondition ref="B1:B15"/>
  </sortState>
  <tableColumns count="8">
    <tableColumn id="1" name="C" totalsRowLabel="Total" dataDxfId="15"/>
    <tableColumn id="2" name="Mod#" dataDxfId="14"/>
    <tableColumn id="3" name="New Award Sched Line" dataDxfId="13" totalsRowDxfId="12"/>
    <tableColumn id="8" name="Cost Point PO Line Item" dataDxfId="11" totalsRowDxfId="10"/>
    <tableColumn id="4" name="Description"/>
    <tableColumn id="5" name="Unit" dataDxfId="9" totalsRowDxfId="8"/>
    <tableColumn id="6" name="Unit Amount" totalsRowDxfId="7" dataCellStyle="Currency"/>
    <tableColumn id="7" name="Total" totalsRowFunction="sum" totalsRowDxfId="6"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5"/>
    <tableColumn id="4" name="Issued By" dataDxfId="4"/>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2" totalsRowDxfId="1">
      <calculatedColumnFormula>A3+7</calculatedColumnFormula>
    </tableColumn>
    <tableColumn id="5" name="Time" dataDxfId="0"/>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B1" zoomScaleNormal="100" workbookViewId="0">
      <selection activeCell="O48" sqref="O48"/>
    </sheetView>
  </sheetViews>
  <sheetFormatPr defaultColWidth="9.109375" defaultRowHeight="13.2" x14ac:dyDescent="0.25"/>
  <cols>
    <col min="1" max="1" width="8.6640625" style="10" customWidth="1"/>
    <col min="2" max="2" width="3.6640625" style="10" customWidth="1"/>
    <col min="3" max="3" width="12.664062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1" width="10.109375" style="10" bestFit="1" customWidth="1"/>
    <col min="12" max="16384" width="9.109375" style="10"/>
  </cols>
  <sheetData>
    <row r="1" spans="1:12" ht="15.6" x14ac:dyDescent="0.3">
      <c r="A1" s="274" t="s">
        <v>4</v>
      </c>
      <c r="B1" s="274"/>
      <c r="C1" s="274"/>
      <c r="D1" s="274"/>
      <c r="E1" s="274"/>
      <c r="F1" s="274"/>
      <c r="G1" s="274"/>
      <c r="H1" s="274"/>
      <c r="I1" s="274"/>
      <c r="J1" s="274"/>
      <c r="K1" s="274"/>
      <c r="L1" s="274"/>
    </row>
    <row r="2" spans="1:12" ht="15.6" x14ac:dyDescent="0.3">
      <c r="A2" s="274" t="s">
        <v>25</v>
      </c>
      <c r="B2" s="274"/>
      <c r="C2" s="274"/>
      <c r="D2" s="274"/>
      <c r="E2" s="274"/>
      <c r="F2" s="274"/>
      <c r="G2" s="274"/>
      <c r="H2" s="274"/>
      <c r="I2" s="274"/>
      <c r="J2" s="274"/>
      <c r="K2" s="274"/>
      <c r="L2" s="274"/>
    </row>
    <row r="3" spans="1:12" ht="15.6" x14ac:dyDescent="0.3">
      <c r="A3" s="274" t="s">
        <v>12</v>
      </c>
      <c r="B3" s="274"/>
      <c r="C3" s="274"/>
      <c r="D3" s="274"/>
      <c r="E3" s="274"/>
      <c r="F3" s="274"/>
      <c r="G3" s="274"/>
      <c r="H3" s="274"/>
      <c r="I3" s="274"/>
      <c r="J3" s="274"/>
      <c r="K3" s="274"/>
      <c r="L3" s="274"/>
    </row>
    <row r="4" spans="1:12" ht="27.75" customHeight="1" x14ac:dyDescent="0.3">
      <c r="A4" s="274"/>
      <c r="B4" s="274"/>
      <c r="C4" s="274"/>
      <c r="D4" s="274"/>
      <c r="E4" s="274"/>
      <c r="F4" s="274"/>
      <c r="G4" s="274"/>
      <c r="H4" s="274"/>
      <c r="I4" s="274"/>
      <c r="J4" s="274"/>
    </row>
    <row r="5" spans="1:12" ht="23.25" customHeight="1" x14ac:dyDescent="0.25">
      <c r="A5" s="9" t="s">
        <v>0</v>
      </c>
      <c r="B5" s="11"/>
      <c r="C5" s="63" t="str">
        <f>' Accting USE Data Entry Form'!$C$4</f>
        <v>Air Liquide Advanced Technologies, US Inc. (ALATUS)</v>
      </c>
      <c r="D5" s="21"/>
      <c r="E5" s="70"/>
      <c r="F5" s="21"/>
      <c r="G5" s="21"/>
      <c r="H5" s="35"/>
      <c r="I5" s="11"/>
      <c r="J5" s="12"/>
      <c r="K5" s="13" t="s">
        <v>19</v>
      </c>
      <c r="L5" s="71" t="s">
        <v>219</v>
      </c>
    </row>
    <row r="6" spans="1:12" ht="24.75" customHeight="1" x14ac:dyDescent="0.25">
      <c r="G6" s="11"/>
      <c r="H6" s="11"/>
    </row>
    <row r="7" spans="1:12" x14ac:dyDescent="0.25">
      <c r="A7" s="10" t="s">
        <v>2</v>
      </c>
      <c r="B7" s="11"/>
      <c r="C7" s="70" t="str">
        <f>' Accting USE Data Entry Form'!$C$6</f>
        <v>15-C1196</v>
      </c>
      <c r="D7" s="21"/>
      <c r="E7" s="70"/>
      <c r="F7" s="21"/>
      <c r="G7" s="72" t="s">
        <v>32</v>
      </c>
      <c r="H7" s="35" t="str">
        <f>' Accting USE Data Entry Form'!$C$8</f>
        <v>Peshehonoff</v>
      </c>
      <c r="I7" s="35"/>
      <c r="J7" s="14" t="s">
        <v>36</v>
      </c>
      <c r="K7" s="73">
        <f>' Accting USE Data Entry Form'!$X$4</f>
        <v>43159</v>
      </c>
      <c r="L7" s="21"/>
    </row>
    <row r="8" spans="1:12" x14ac:dyDescent="0.25">
      <c r="K8" s="15" t="s">
        <v>14</v>
      </c>
    </row>
    <row r="9" spans="1:12" s="16" customFormat="1" ht="34.5" customHeight="1" x14ac:dyDescent="0.25">
      <c r="A9" s="64" t="s">
        <v>1</v>
      </c>
      <c r="C9" s="64" t="s">
        <v>5</v>
      </c>
      <c r="D9" s="36"/>
      <c r="E9" s="65" t="s">
        <v>33</v>
      </c>
      <c r="G9" s="63" t="s">
        <v>24</v>
      </c>
      <c r="H9" s="17"/>
      <c r="I9" s="18"/>
      <c r="J9" s="18"/>
      <c r="K9" s="18"/>
      <c r="L9" s="18"/>
    </row>
    <row r="10" spans="1:12" ht="13.2" customHeight="1" x14ac:dyDescent="0.25">
      <c r="A10" s="223">
        <f>IF(' Accting USE Data Entry Form'!B11&gt;0,' Accting USE Data Entry Form'!B11,"")</f>
        <v>1</v>
      </c>
      <c r="B10" s="28"/>
      <c r="C10" s="224">
        <f>' Accting USE Data Entry Form'!T11</f>
        <v>1</v>
      </c>
      <c r="D10" s="225"/>
      <c r="E10" s="106"/>
      <c r="F10" s="28"/>
      <c r="G10" s="226" t="str">
        <f>IF(' Accting USE Data Entry Form'!$C11&gt;0,' Accting USE Data Entry Form'!$C11,"")</f>
        <v>Completion of Kick Off Meeting (KOM)</v>
      </c>
      <c r="H10" s="226"/>
      <c r="I10" s="226"/>
      <c r="J10" s="226"/>
      <c r="K10" s="226"/>
      <c r="L10" s="226"/>
    </row>
    <row r="11" spans="1:12" ht="13.2" customHeight="1" x14ac:dyDescent="0.25">
      <c r="A11" s="223">
        <f>IF(' Accting USE Data Entry Form'!B12&gt;0,' Accting USE Data Entry Form'!B12,"")</f>
        <v>2</v>
      </c>
      <c r="B11" s="28"/>
      <c r="C11" s="224">
        <f>' Accting USE Data Entry Form'!T12</f>
        <v>1</v>
      </c>
      <c r="D11" s="227"/>
      <c r="E11" s="106"/>
      <c r="F11" s="28"/>
      <c r="G11" s="226" t="str">
        <f>IF(' Accting USE Data Entry Form'!$C12&gt;0,' Accting USE Data Entry Form'!$C12,"")</f>
        <v>Preliminary Design Review (PDR)</v>
      </c>
      <c r="H11" s="226"/>
      <c r="I11" s="226"/>
      <c r="J11" s="226"/>
      <c r="K11" s="226"/>
      <c r="L11" s="226"/>
    </row>
    <row r="12" spans="1:12" ht="13.2" customHeight="1" x14ac:dyDescent="0.25">
      <c r="A12" s="223">
        <f>IF(' Accting USE Data Entry Form'!B13&gt;0,' Accting USE Data Entry Form'!B13,"")</f>
        <v>3</v>
      </c>
      <c r="B12" s="28"/>
      <c r="C12" s="224">
        <f>' Accting USE Data Entry Form'!T13</f>
        <v>0.99999998285621616</v>
      </c>
      <c r="D12" s="227"/>
      <c r="E12" s="106"/>
      <c r="F12" s="28"/>
      <c r="G12" s="226" t="str">
        <f>IF(' Accting USE Data Entry Form'!$C13&gt;0,' Accting USE Data Entry Form'!$C13,"")</f>
        <v>MOD 002: Issue order for Long Lead Items,  add engineering*</v>
      </c>
      <c r="H12" s="226"/>
      <c r="I12" s="226"/>
      <c r="J12" s="226"/>
      <c r="K12" s="226"/>
      <c r="L12" s="226"/>
    </row>
    <row r="13" spans="1:12" ht="13.2" customHeight="1" x14ac:dyDescent="0.25">
      <c r="A13" s="223">
        <f>IF(' Accting USE Data Entry Form'!B14&gt;0,' Accting USE Data Entry Form'!B14,"")</f>
        <v>4</v>
      </c>
      <c r="B13" s="28"/>
      <c r="C13" s="224">
        <f>' Accting USE Data Entry Form'!T14</f>
        <v>1</v>
      </c>
      <c r="D13" s="227"/>
      <c r="E13" s="106"/>
      <c r="F13" s="28"/>
      <c r="G13" s="226" t="str">
        <f>IF(' Accting USE Data Entry Form'!$C14&gt;0,' Accting USE Data Entry Form'!$C14,"")</f>
        <v>MOD 003: Complete final design review (FDR)</v>
      </c>
      <c r="H13" s="226"/>
      <c r="I13" s="226"/>
      <c r="J13" s="226"/>
      <c r="K13" s="226"/>
      <c r="L13" s="226"/>
    </row>
    <row r="14" spans="1:12" ht="13.2" customHeight="1" x14ac:dyDescent="0.25">
      <c r="A14" s="223">
        <f>IF(' Accting USE Data Entry Form'!B15&gt;0,' Accting USE Data Entry Form'!B15,"")</f>
        <v>5</v>
      </c>
      <c r="B14" s="28"/>
      <c r="C14" s="224">
        <f>' Accting USE Data Entry Form'!T15</f>
        <v>1</v>
      </c>
      <c r="D14" s="227"/>
      <c r="E14" s="106"/>
      <c r="F14" s="28"/>
      <c r="G14" s="226" t="str">
        <f>IF(' Accting USE Data Entry Form'!$C15&gt;0,' Accting USE Data Entry Form'!$C15,"")</f>
        <v>MOD 004: Delivery of main material to start CB manufacturing at factory</v>
      </c>
      <c r="H14" s="226"/>
      <c r="I14" s="226"/>
      <c r="J14" s="226"/>
      <c r="K14" s="226"/>
      <c r="L14" s="226"/>
    </row>
    <row r="15" spans="1:12" ht="13.2" customHeight="1" x14ac:dyDescent="0.25">
      <c r="A15" s="252">
        <f>IF(' Accting USE Data Entry Form'!B16&gt;0,' Accting USE Data Entry Form'!B16,"")</f>
        <v>6</v>
      </c>
      <c r="B15" s="253"/>
      <c r="C15" s="254">
        <f>' Accting USE Data Entry Form'!T16</f>
        <v>1</v>
      </c>
      <c r="D15" s="255"/>
      <c r="E15" s="256"/>
      <c r="F15" s="253"/>
      <c r="G15" s="257" t="str">
        <f>IF(' Accting USE Data Entry Form'!$C16&gt;0,' Accting USE Data Entry Form'!$C16,"")</f>
        <v>MOD 004: CB1 UCB Fabrication</v>
      </c>
      <c r="H15" s="257"/>
      <c r="I15" s="257"/>
      <c r="J15" s="257"/>
      <c r="K15" s="257"/>
      <c r="L15" s="257"/>
    </row>
    <row r="16" spans="1:12" ht="13.2" customHeight="1" x14ac:dyDescent="0.25">
      <c r="A16" s="228">
        <f>IF(' Accting USE Data Entry Form'!B17&gt;0,' Accting USE Data Entry Form'!B17,"")</f>
        <v>7</v>
      </c>
      <c r="B16" s="229"/>
      <c r="C16" s="230">
        <f>' Accting USE Data Entry Form'!T17</f>
        <v>1</v>
      </c>
      <c r="D16" s="231"/>
      <c r="E16" s="106"/>
      <c r="F16" s="229"/>
      <c r="G16" s="226" t="str">
        <f>IF(' Accting USE Data Entry Form'!$C17&gt;0,' Accting USE Data Entry Form'!$C17,"")</f>
        <v>MOD 005: Customs &amp; Duties for Line 5</v>
      </c>
      <c r="H16" s="226"/>
      <c r="I16" s="226"/>
      <c r="J16" s="226"/>
      <c r="K16" s="226"/>
      <c r="L16" s="226"/>
    </row>
    <row r="17" spans="1:12" ht="13.2" customHeight="1" x14ac:dyDescent="0.25">
      <c r="A17" s="228">
        <f>IF(' Accting USE Data Entry Form'!B18&gt;0,' Accting USE Data Entry Form'!B18,"")</f>
        <v>8</v>
      </c>
      <c r="B17" s="229"/>
      <c r="C17" s="230">
        <f>' Accting USE Data Entry Form'!T18</f>
        <v>1</v>
      </c>
      <c r="D17" s="231"/>
      <c r="E17" s="106"/>
      <c r="F17" s="229"/>
      <c r="G17" s="226" t="str">
        <f>IF(' Accting USE Data Entry Form'!$C18&gt;0,' Accting USE Data Entry Form'!$C18,"")</f>
        <v>MOD 005: UL Stamp for ELE Boxes</v>
      </c>
      <c r="H17" s="226"/>
      <c r="I17" s="226"/>
      <c r="J17" s="226"/>
      <c r="K17" s="226"/>
      <c r="L17" s="226"/>
    </row>
    <row r="18" spans="1:12" ht="13.2" customHeight="1" x14ac:dyDescent="0.25">
      <c r="A18" s="228">
        <f>IF(' Accting USE Data Entry Form'!B19&gt;0,' Accting USE Data Entry Form'!B19,"")</f>
        <v>9</v>
      </c>
      <c r="B18" s="229"/>
      <c r="C18" s="230">
        <f>' Accting USE Data Entry Form'!T19</f>
        <v>1</v>
      </c>
      <c r="D18" s="231"/>
      <c r="E18" s="238"/>
      <c r="F18" s="229"/>
      <c r="G18" s="226" t="str">
        <f>IF(' Accting USE Data Entry Form'!$C19&gt;0,' Accting USE Data Entry Form'!$C19,"")</f>
        <v>MOD 007: Bayonet Relocation</v>
      </c>
      <c r="H18" s="226"/>
      <c r="I18" s="226"/>
      <c r="J18" s="226"/>
      <c r="K18" s="226"/>
      <c r="L18" s="226"/>
    </row>
    <row r="19" spans="1:12" ht="13.2" customHeight="1" x14ac:dyDescent="0.25">
      <c r="A19" s="228">
        <f>IF(' Accting USE Data Entry Form'!B20&gt;0,' Accting USE Data Entry Form'!B20,"")</f>
        <v>10</v>
      </c>
      <c r="B19" s="229"/>
      <c r="C19" s="230">
        <f>' Accting USE Data Entry Form'!T20</f>
        <v>1</v>
      </c>
      <c r="D19" s="231"/>
      <c r="E19" s="238"/>
      <c r="F19" s="229"/>
      <c r="G19" s="226" t="str">
        <f>IF(' Accting USE Data Entry Form'!$C20&gt;0,' Accting USE Data Entry Form'!$C20,"")</f>
        <v>MOD 007: Stair Arrangement Relocation</v>
      </c>
      <c r="H19" s="226"/>
      <c r="I19" s="226"/>
      <c r="J19" s="226"/>
      <c r="K19" s="226"/>
      <c r="L19" s="226"/>
    </row>
    <row r="20" spans="1:12" ht="13.2" customHeight="1" x14ac:dyDescent="0.25">
      <c r="A20" s="228">
        <f>IF(' Accting USE Data Entry Form'!B21&gt;0,' Accting USE Data Entry Form'!B21,"")</f>
        <v>11</v>
      </c>
      <c r="B20" s="229"/>
      <c r="C20" s="230">
        <f>' Accting USE Data Entry Form'!T21</f>
        <v>1</v>
      </c>
      <c r="D20" s="231"/>
      <c r="E20" s="238"/>
      <c r="F20" s="229"/>
      <c r="G20" s="226" t="str">
        <f>IF(' Accting USE Data Entry Form'!$C21&gt;0,' Accting USE Data Entry Form'!$C21,"")</f>
        <v>MOD 008: Cold Box 1 Anchor Design Change</v>
      </c>
      <c r="H20" s="226"/>
      <c r="I20" s="226"/>
      <c r="J20" s="226"/>
      <c r="K20" s="226"/>
      <c r="L20" s="226"/>
    </row>
    <row r="21" spans="1:12" ht="13.2" customHeight="1" x14ac:dyDescent="0.25">
      <c r="A21" s="228">
        <f>IF(' Accting USE Data Entry Form'!B22&gt;0,' Accting USE Data Entry Form'!B22,"")</f>
        <v>12</v>
      </c>
      <c r="B21" s="229"/>
      <c r="C21" s="230">
        <f>' Accting USE Data Entry Form'!T22</f>
        <v>1</v>
      </c>
      <c r="D21" s="231"/>
      <c r="E21" s="238"/>
      <c r="F21" s="229"/>
      <c r="G21" s="226" t="str">
        <f>IF(' Accting USE Data Entry Form'!$C22&gt;0,' Accting USE Data Entry Form'!$C22,"")</f>
        <v>MOD 008: Cold Box 2 Anchor Design Change</v>
      </c>
      <c r="H21" s="226"/>
      <c r="I21" s="226"/>
      <c r="J21" s="226"/>
      <c r="K21" s="226"/>
      <c r="L21" s="226"/>
    </row>
    <row r="22" spans="1:12" ht="13.2" customHeight="1" x14ac:dyDescent="0.25">
      <c r="A22" s="228">
        <f>IF(' Accting USE Data Entry Form'!B23&gt;0,' Accting USE Data Entry Form'!B23,"")</f>
        <v>13</v>
      </c>
      <c r="B22" s="229"/>
      <c r="C22" s="230">
        <f>' Accting USE Data Entry Form'!T23</f>
        <v>1</v>
      </c>
      <c r="D22" s="231"/>
      <c r="E22" s="238"/>
      <c r="F22" s="229"/>
      <c r="G22" s="226" t="str">
        <f>IF(' Accting USE Data Entry Form'!$C23&gt;0,' Accting USE Data Entry Form'!$C23,"")</f>
        <v>MOD 009: Factory acceptance of completed turbines - CP1</v>
      </c>
      <c r="H22" s="226"/>
      <c r="I22" s="226"/>
      <c r="J22" s="226"/>
      <c r="K22" s="226"/>
      <c r="L22" s="226"/>
    </row>
    <row r="23" spans="1:12" ht="13.2" customHeight="1" x14ac:dyDescent="0.25">
      <c r="A23" s="223">
        <f>IF(' Accting USE Data Entry Form'!B24&gt;0,' Accting USE Data Entry Form'!B24,"")</f>
        <v>14</v>
      </c>
      <c r="B23" s="28"/>
      <c r="C23" s="224">
        <f>' Accting USE Data Entry Form'!T24</f>
        <v>1</v>
      </c>
      <c r="D23" s="227"/>
      <c r="E23" s="238"/>
      <c r="F23" s="28"/>
      <c r="G23" s="226" t="str">
        <f>IF(' Accting USE Data Entry Form'!$C24&gt;0,' Accting USE Data Entry Form'!$C24,"")</f>
        <v>MOD 010: Process Mode Calculations</v>
      </c>
      <c r="H23" s="226"/>
      <c r="I23" s="226"/>
      <c r="J23" s="226"/>
      <c r="K23" s="226"/>
      <c r="L23" s="226"/>
    </row>
    <row r="24" spans="1:12" ht="13.2" customHeight="1" x14ac:dyDescent="0.25">
      <c r="A24" s="223">
        <f>IF(' Accting USE Data Entry Form'!B25&gt;0,' Accting USE Data Entry Form'!B25,"")</f>
        <v>15</v>
      </c>
      <c r="B24" s="28"/>
      <c r="C24" s="224">
        <f>' Accting USE Data Entry Form'!T25</f>
        <v>1</v>
      </c>
      <c r="D24" s="227"/>
      <c r="E24" s="238"/>
      <c r="F24" s="28"/>
      <c r="G24" s="226" t="str">
        <f>IF(' Accting USE Data Entry Form'!$C25&gt;0,' Accting USE Data Entry Form'!$C25,"")</f>
        <v>MOD 010: GN2 Vent/ LN2 Drain, Process Mode Calcs</v>
      </c>
      <c r="H24" s="226"/>
      <c r="I24" s="226"/>
      <c r="J24" s="226"/>
      <c r="K24" s="226"/>
      <c r="L24" s="226"/>
    </row>
    <row r="25" spans="1:12" ht="13.2" customHeight="1" x14ac:dyDescent="0.25">
      <c r="A25" s="252">
        <f>IF(' Accting USE Data Entry Form'!B26&gt;0,' Accting USE Data Entry Form'!B26,"")</f>
        <v>16</v>
      </c>
      <c r="B25" s="253"/>
      <c r="C25" s="254">
        <f>' Accting USE Data Entry Form'!T26</f>
        <v>1</v>
      </c>
      <c r="D25" s="255"/>
      <c r="E25" s="256"/>
      <c r="F25" s="253"/>
      <c r="G25" s="257" t="str">
        <f>IF(' Accting USE Data Entry Form'!$C26&gt;0,' Accting USE Data Entry Form'!$C26,"")</f>
        <v>MOD 009: Factory acceptance of completed turbines - CP2</v>
      </c>
      <c r="H25" s="257"/>
      <c r="I25" s="257"/>
      <c r="J25" s="257"/>
      <c r="K25" s="257"/>
      <c r="L25" s="75"/>
    </row>
    <row r="26" spans="1:12" ht="13.2" customHeight="1" x14ac:dyDescent="0.25">
      <c r="A26" s="252">
        <f>IF(' Accting USE Data Entry Form'!B27&gt;0,' Accting USE Data Entry Form'!B27,"")</f>
        <v>17</v>
      </c>
      <c r="B26" s="253"/>
      <c r="C26" s="261">
        <f>' Accting USE Data Entry Form'!T27</f>
        <v>0.70999935308926831</v>
      </c>
      <c r="D26" s="255"/>
      <c r="E26" s="256"/>
      <c r="F26" s="253"/>
      <c r="G26" s="257" t="str">
        <f>IF(' Accting USE Data Entry Form'!$C27&gt;0,' Accting USE Data Entry Form'!$C27,"")</f>
        <v>Mod 004: CB1 LCB Fabrication</v>
      </c>
      <c r="H26" s="257"/>
      <c r="I26" s="257"/>
      <c r="J26" s="257"/>
      <c r="K26" s="257"/>
      <c r="L26" s="257"/>
    </row>
    <row r="27" spans="1:12" ht="13.2" customHeight="1" x14ac:dyDescent="0.25">
      <c r="A27" s="252">
        <f>IF(' Accting USE Data Entry Form'!B28&gt;0,' Accting USE Data Entry Form'!B28,"")</f>
        <v>18</v>
      </c>
      <c r="B27" s="253"/>
      <c r="C27" s="261">
        <f>' Accting USE Data Entry Form'!T28</f>
        <v>0.2289649763486189</v>
      </c>
      <c r="D27" s="255"/>
      <c r="E27" s="256"/>
      <c r="F27" s="253"/>
      <c r="G27" s="257" t="str">
        <f>IF(' Accting USE Data Entry Form'!$C28&gt;0,' Accting USE Data Entry Form'!$C28,"")</f>
        <v>Mod 011: C1 UCB AWS Lines 23,25,26,28</v>
      </c>
      <c r="H27" s="257"/>
      <c r="I27" s="257"/>
      <c r="J27" s="257"/>
      <c r="K27" s="75"/>
      <c r="L27" s="75"/>
    </row>
    <row r="28" spans="1:12" ht="13.2" customHeight="1" x14ac:dyDescent="0.25">
      <c r="A28" s="196">
        <f>IF(' Accting USE Data Entry Form'!B29&gt;0,' Accting USE Data Entry Form'!B29,"")</f>
        <v>19</v>
      </c>
      <c r="C28" s="74">
        <f>' Accting USE Data Entry Form'!T29</f>
        <v>0</v>
      </c>
      <c r="D28" s="40"/>
      <c r="E28" s="106"/>
      <c r="G28" s="75" t="str">
        <f>IF(' Accting USE Data Entry Form'!$C29&gt;0,' Accting USE Data Entry Form'!$C29,"")</f>
        <v>Mod 011: C1 UCB Delivery to SLAC</v>
      </c>
      <c r="H28" s="75"/>
      <c r="I28" s="75"/>
      <c r="J28" s="75"/>
      <c r="K28" s="75"/>
      <c r="L28" s="75"/>
    </row>
    <row r="29" spans="1:12" ht="13.2" customHeight="1" x14ac:dyDescent="0.25">
      <c r="A29" s="223">
        <f>IF(' Accting USE Data Entry Form'!B30&gt;0,' Accting USE Data Entry Form'!B30,"")</f>
        <v>20</v>
      </c>
      <c r="B29" s="28"/>
      <c r="C29" s="224">
        <f>' Accting USE Data Entry Form'!T30</f>
        <v>1</v>
      </c>
      <c r="D29" s="227"/>
      <c r="E29" s="238"/>
      <c r="F29" s="28"/>
      <c r="G29" s="226" t="str">
        <f>IF(' Accting USE Data Entry Form'!$C30&gt;0,' Accting USE Data Entry Form'!$C30,"")</f>
        <v>Mod 011: C1 LCB AWS Line 27</v>
      </c>
      <c r="H29" s="226"/>
      <c r="I29" s="226"/>
      <c r="J29" s="226"/>
      <c r="K29" s="226"/>
      <c r="L29" s="226"/>
    </row>
    <row r="30" spans="1:12" ht="13.2" customHeight="1" x14ac:dyDescent="0.25">
      <c r="A30" s="196">
        <f>IF(' Accting USE Data Entry Form'!B31&gt;0,' Accting USE Data Entry Form'!B31,"")</f>
        <v>21</v>
      </c>
      <c r="C30" s="74">
        <f>' Accting USE Data Entry Form'!T31</f>
        <v>0</v>
      </c>
      <c r="D30" s="40"/>
      <c r="E30" s="106"/>
      <c r="G30" s="75" t="str">
        <f>IF(' Accting USE Data Entry Form'!$C31&gt;0,' Accting USE Data Entry Form'!$C31,"")</f>
        <v>Mod 011: C1 LCB Delivery to SLAC</v>
      </c>
      <c r="H30" s="75"/>
      <c r="I30" s="75"/>
      <c r="J30" s="75"/>
      <c r="K30" s="75"/>
      <c r="L30" s="75"/>
    </row>
    <row r="31" spans="1:12" ht="13.2" customHeight="1" x14ac:dyDescent="0.25">
      <c r="A31" s="196">
        <f>IF(' Accting USE Data Entry Form'!B32&gt;0,' Accting USE Data Entry Form'!B32,"")</f>
        <v>22</v>
      </c>
      <c r="C31" s="74">
        <f>' Accting USE Data Entry Form'!T32</f>
        <v>0</v>
      </c>
      <c r="D31" s="40"/>
      <c r="E31" s="106"/>
      <c r="G31" s="75" t="str">
        <f>IF(' Accting USE Data Entry Form'!$C32&gt;0,' Accting USE Data Entry Form'!$C32,"")</f>
        <v>Mod 011: C1 CB Assembled @ SLAC</v>
      </c>
      <c r="H31" s="75"/>
      <c r="I31" s="75"/>
      <c r="J31" s="75"/>
      <c r="K31" s="75"/>
      <c r="L31" s="75"/>
    </row>
    <row r="32" spans="1:12" ht="13.2" customHeight="1" x14ac:dyDescent="0.25">
      <c r="A32" s="252">
        <f>IF(' Accting USE Data Entry Form'!B33&gt;0,' Accting USE Data Entry Form'!B33,"")</f>
        <v>23</v>
      </c>
      <c r="B32" s="253"/>
      <c r="C32" s="254">
        <f>' Accting USE Data Entry Form'!T33</f>
        <v>0.27</v>
      </c>
      <c r="D32" s="255"/>
      <c r="E32" s="256"/>
      <c r="F32" s="253"/>
      <c r="G32" s="257" t="str">
        <f>IF(' Accting USE Data Entry Form'!$C33&gt;0,' Accting USE Data Entry Form'!$C33,"")</f>
        <v>Mod 011: C2 UCB Fab &amp; AWS Line 24</v>
      </c>
      <c r="H32" s="257"/>
      <c r="I32" s="257"/>
      <c r="J32" s="257"/>
      <c r="K32" s="75"/>
      <c r="L32" s="75"/>
    </row>
    <row r="33" spans="1:12" ht="13.2" customHeight="1" x14ac:dyDescent="0.25">
      <c r="A33" s="252">
        <f>IF(' Accting USE Data Entry Form'!B34&gt;0,' Accting USE Data Entry Form'!B34,"")</f>
        <v>24</v>
      </c>
      <c r="B33" s="253"/>
      <c r="C33" s="254">
        <f>' Accting USE Data Entry Form'!T34</f>
        <v>0.1</v>
      </c>
      <c r="D33" s="255"/>
      <c r="E33" s="256"/>
      <c r="F33" s="253"/>
      <c r="G33" s="257" t="str">
        <f>IF(' Accting USE Data Entry Form'!$C34&gt;0,' Accting USE Data Entry Form'!$C34,"")</f>
        <v>Mod 011: C2 LCB Fabrication</v>
      </c>
      <c r="H33" s="257"/>
      <c r="I33" s="257"/>
      <c r="J33" s="257"/>
      <c r="K33" s="75"/>
      <c r="L33" s="75"/>
    </row>
    <row r="34" spans="1:12" ht="13.2" customHeight="1" x14ac:dyDescent="0.25">
      <c r="A34" s="196" t="str">
        <f>IF(' Accting USE Data Entry Form'!B35&gt;0,' Accting USE Data Entry Form'!B35,"")</f>
        <v>N/A</v>
      </c>
      <c r="C34" s="74" t="e">
        <f>' Accting USE Data Entry Form'!T35</f>
        <v>#DIV/0!</v>
      </c>
      <c r="D34" s="40"/>
      <c r="E34" s="106"/>
      <c r="G34" s="75" t="str">
        <f>IF(' Accting USE Data Entry Form'!$C35&gt;0,' Accting USE Data Entry Form'!$C35,"")</f>
        <v>C2 UCB Delivered to SLAC</v>
      </c>
      <c r="H34" s="75"/>
      <c r="I34" s="75"/>
      <c r="J34" s="75"/>
      <c r="K34" s="75"/>
      <c r="L34" s="75"/>
    </row>
    <row r="35" spans="1:12" ht="13.2" customHeight="1" x14ac:dyDescent="0.25">
      <c r="A35" s="196" t="str">
        <f>IF(' Accting USE Data Entry Form'!B36&gt;0,' Accting USE Data Entry Form'!B36,"")</f>
        <v>N/A</v>
      </c>
      <c r="C35" s="74" t="e">
        <f>' Accting USE Data Entry Form'!T36</f>
        <v>#DIV/0!</v>
      </c>
      <c r="D35" s="40"/>
      <c r="E35" s="106"/>
      <c r="G35" s="75" t="str">
        <f>IF(' Accting USE Data Entry Form'!$C36&gt;0,' Accting USE Data Entry Form'!$C36,"")</f>
        <v>C2 LCB Delivered to SLAC</v>
      </c>
      <c r="H35" s="75"/>
      <c r="I35" s="75"/>
      <c r="J35" s="75"/>
      <c r="K35" s="75"/>
      <c r="L35" s="75"/>
    </row>
    <row r="36" spans="1:12" ht="13.2" customHeight="1" x14ac:dyDescent="0.25">
      <c r="A36" s="196" t="str">
        <f>IF(' Accting USE Data Entry Form'!B37&gt;0,' Accting USE Data Entry Form'!B37,"")</f>
        <v>N/A</v>
      </c>
      <c r="C36" s="74" t="e">
        <f>' Accting USE Data Entry Form'!T37</f>
        <v>#DIV/0!</v>
      </c>
      <c r="D36" s="40"/>
      <c r="E36" s="106"/>
      <c r="G36" s="75" t="str">
        <f>IF(' Accting USE Data Entry Form'!$C37&gt;0,' Accting USE Data Entry Form'!$C37,"")</f>
        <v>C2 CB Assembled @ SLAC</v>
      </c>
      <c r="H36" s="75"/>
      <c r="I36" s="75"/>
      <c r="J36" s="75"/>
      <c r="K36" s="75"/>
      <c r="L36" s="75"/>
    </row>
    <row r="37" spans="1:12" ht="13.2" customHeight="1" x14ac:dyDescent="0.25">
      <c r="A37" s="196" t="str">
        <f>IF(' Accting USE Data Entry Form'!B38&gt;0,' Accting USE Data Entry Form'!B38,"")</f>
        <v>N/A</v>
      </c>
      <c r="C37" s="74" t="e">
        <f>' Accting USE Data Entry Form'!T38</f>
        <v>#DIV/0!</v>
      </c>
      <c r="D37" s="40"/>
      <c r="E37" s="106"/>
      <c r="G37" s="75" t="str">
        <f>IF(' Accting USE Data Entry Form'!$C38&gt;0,' Accting USE Data Entry Form'!$C38,"")</f>
        <v>Commissioning, Training, &amp; Acceptance - CB1</v>
      </c>
      <c r="H37" s="75"/>
      <c r="I37" s="75"/>
      <c r="J37" s="75"/>
      <c r="K37" s="75"/>
      <c r="L37" s="75"/>
    </row>
    <row r="38" spans="1:12" ht="13.2" customHeight="1" x14ac:dyDescent="0.25">
      <c r="A38" s="196" t="str">
        <f>IF(' Accting USE Data Entry Form'!B39&gt;0,' Accting USE Data Entry Form'!B39,"")</f>
        <v>N/A</v>
      </c>
      <c r="C38" s="74" t="e">
        <f>' Accting USE Data Entry Form'!T39</f>
        <v>#DIV/0!</v>
      </c>
      <c r="D38" s="40"/>
      <c r="E38" s="106"/>
      <c r="G38" s="75" t="str">
        <f>IF(' Accting USE Data Entry Form'!$C39&gt;0,' Accting USE Data Entry Form'!$C39,"")</f>
        <v>Delivery of operating and maintenance manuals</v>
      </c>
      <c r="H38" s="75"/>
      <c r="I38" s="75"/>
      <c r="J38" s="75"/>
      <c r="K38" s="75"/>
      <c r="L38" s="75"/>
    </row>
    <row r="39" spans="1:12" ht="13.2" customHeight="1" x14ac:dyDescent="0.25">
      <c r="A39" s="196" t="str">
        <f>IF(' Accting USE Data Entry Form'!B40&gt;0,' Accting USE Data Entry Form'!B40,"")</f>
        <v>N/A</v>
      </c>
      <c r="C39" s="74" t="e">
        <f>' Accting USE Data Entry Form'!T40</f>
        <v>#DIV/0!</v>
      </c>
      <c r="D39" s="40"/>
      <c r="E39" s="106"/>
      <c r="G39" s="75" t="str">
        <f>IF(' Accting USE Data Entry Form'!$C40&gt;0,' Accting USE Data Entry Form'!$C40,"")</f>
        <v>Commissioning, Training, &amp; Acceptance - CB2</v>
      </c>
      <c r="H39" s="75"/>
      <c r="I39" s="75"/>
      <c r="J39" s="75"/>
      <c r="K39" s="75"/>
      <c r="L39" s="75"/>
    </row>
    <row r="40" spans="1:12" ht="13.2" customHeight="1" x14ac:dyDescent="0.25">
      <c r="A40" s="196" t="str">
        <f>IF(' Accting USE Data Entry Form'!B41&gt;0,' Accting USE Data Entry Form'!B41,"")</f>
        <v/>
      </c>
      <c r="C40" s="74">
        <f>' Accting USE Data Entry Form'!T41</f>
        <v>0</v>
      </c>
      <c r="D40" s="40"/>
      <c r="E40" s="106"/>
      <c r="G40" s="75" t="str">
        <f>IF(' Accting USE Data Entry Form'!$C41&gt;0,' Accting USE Data Entry Form'!$C41,"")</f>
        <v/>
      </c>
      <c r="H40" s="75"/>
      <c r="I40" s="75"/>
      <c r="J40" s="75"/>
      <c r="K40" s="75"/>
      <c r="L40" s="75"/>
    </row>
    <row r="41" spans="1:12" ht="13.2" customHeight="1" x14ac:dyDescent="0.25">
      <c r="A41" s="196" t="str">
        <f>IF(' Accting USE Data Entry Form'!B42&gt;0,' Accting USE Data Entry Form'!B42,"")</f>
        <v/>
      </c>
      <c r="C41" s="74">
        <f>' Accting USE Data Entry Form'!T42</f>
        <v>0</v>
      </c>
      <c r="D41" s="40"/>
      <c r="E41" s="106"/>
      <c r="G41" s="75" t="str">
        <f>IF(' Accting USE Data Entry Form'!$C42&gt;0,' Accting USE Data Entry Form'!$C42,"")</f>
        <v/>
      </c>
      <c r="H41" s="75"/>
      <c r="I41" s="75"/>
      <c r="J41" s="75"/>
      <c r="K41" s="75"/>
      <c r="L41" s="75"/>
    </row>
    <row r="42" spans="1:12" ht="13.2" customHeight="1" x14ac:dyDescent="0.25">
      <c r="A42" s="196" t="str">
        <f>IF(' Accting USE Data Entry Form'!B43&gt;0,' Accting USE Data Entry Form'!B43,"")</f>
        <v/>
      </c>
      <c r="C42" s="74">
        <f>' Accting USE Data Entry Form'!T43</f>
        <v>0</v>
      </c>
      <c r="D42" s="40"/>
      <c r="E42" s="106"/>
      <c r="G42" s="75" t="str">
        <f>IF(' Accting USE Data Entry Form'!$C43&gt;0,' Accting USE Data Entry Form'!$C43,"")</f>
        <v/>
      </c>
      <c r="H42" s="75"/>
      <c r="I42" s="75"/>
      <c r="J42" s="75"/>
      <c r="K42" s="75"/>
      <c r="L42" s="75"/>
    </row>
    <row r="43" spans="1:12" ht="13.2" customHeight="1" x14ac:dyDescent="0.25">
      <c r="A43" s="196" t="str">
        <f>IF(' Accting USE Data Entry Form'!B44&gt;0,' Accting USE Data Entry Form'!B44,"")</f>
        <v/>
      </c>
      <c r="C43" s="74">
        <f>' Accting USE Data Entry Form'!T44</f>
        <v>0</v>
      </c>
      <c r="D43" s="40"/>
      <c r="E43" s="106"/>
      <c r="G43" s="75" t="str">
        <f>IF(' Accting USE Data Entry Form'!$C44&gt;0,' Accting USE Data Entry Form'!$C44,"")</f>
        <v/>
      </c>
      <c r="H43" s="75"/>
      <c r="I43" s="75"/>
      <c r="J43" s="75"/>
      <c r="K43" s="75"/>
      <c r="L43" s="75"/>
    </row>
    <row r="44" spans="1:12" ht="13.2" customHeight="1" x14ac:dyDescent="0.25">
      <c r="A44" s="196" t="str">
        <f>IF(' Accting USE Data Entry Form'!B45&gt;0,' Accting USE Data Entry Form'!B45,"")</f>
        <v/>
      </c>
      <c r="C44" s="74">
        <f>' Accting USE Data Entry Form'!T45</f>
        <v>0</v>
      </c>
      <c r="D44" s="40"/>
      <c r="E44" s="106"/>
      <c r="G44" s="75" t="str">
        <f>IF(' Accting USE Data Entry Form'!$C45&gt;0,' Accting USE Data Entry Form'!$C45,"")</f>
        <v/>
      </c>
      <c r="H44" s="75"/>
      <c r="I44" s="75"/>
      <c r="J44" s="75"/>
      <c r="K44" s="75"/>
      <c r="L44" s="75"/>
    </row>
    <row r="45" spans="1:12" ht="13.2" customHeight="1" x14ac:dyDescent="0.25">
      <c r="A45" s="196" t="str">
        <f>IF(' Accting USE Data Entry Form'!B46&gt;0,' Accting USE Data Entry Form'!B46,"")</f>
        <v/>
      </c>
      <c r="C45" s="74">
        <f>' Accting USE Data Entry Form'!T46</f>
        <v>0</v>
      </c>
      <c r="D45" s="40"/>
      <c r="E45" s="106"/>
      <c r="G45" s="75" t="str">
        <f>IF(' Accting USE Data Entry Form'!$C46&gt;0,' Accting USE Data Entry Form'!$C46,"")</f>
        <v/>
      </c>
      <c r="H45" s="75"/>
      <c r="I45" s="75"/>
      <c r="J45" s="75"/>
      <c r="K45" s="75"/>
      <c r="L45" s="75"/>
    </row>
    <row r="46" spans="1:12" ht="25.5" customHeight="1" x14ac:dyDescent="0.25">
      <c r="G46" s="11"/>
      <c r="H46" s="11"/>
      <c r="I46" s="11"/>
    </row>
    <row r="47" spans="1:12" ht="20.25" customHeight="1" x14ac:dyDescent="0.25">
      <c r="A47" s="9" t="s">
        <v>21</v>
      </c>
      <c r="C47" s="37"/>
      <c r="D47" s="11"/>
      <c r="E47" s="37"/>
      <c r="F47" s="11"/>
      <c r="G47" s="11"/>
      <c r="H47" s="272" t="s">
        <v>223</v>
      </c>
      <c r="I47" s="272"/>
      <c r="J47" s="272"/>
      <c r="K47" s="35"/>
      <c r="L47" s="292">
        <v>43159</v>
      </c>
    </row>
    <row r="48" spans="1:12" ht="23.25" customHeight="1" x14ac:dyDescent="0.25">
      <c r="F48" s="275" t="s">
        <v>22</v>
      </c>
      <c r="G48" s="276"/>
      <c r="H48" s="276"/>
      <c r="I48" s="276"/>
      <c r="J48" s="276"/>
      <c r="K48" s="19"/>
      <c r="L48" s="19" t="s">
        <v>3</v>
      </c>
    </row>
    <row r="49" spans="1:12" x14ac:dyDescent="0.25">
      <c r="A49" s="9" t="s">
        <v>20</v>
      </c>
      <c r="F49" s="11"/>
      <c r="G49" s="11"/>
      <c r="H49" s="272" t="s">
        <v>224</v>
      </c>
      <c r="I49" s="273"/>
      <c r="J49" s="273"/>
      <c r="K49" s="35"/>
      <c r="L49" s="76">
        <f>K7</f>
        <v>43159</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7"/>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7"/>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93" priority="3">
      <formula>$L$5="no"</formula>
    </cfRule>
  </conditionalFormatting>
  <conditionalFormatting sqref="C10:C45">
    <cfRule type="expression" dxfId="92" priority="1">
      <formula>$L$5="yes"</formula>
    </cfRule>
  </conditionalFormatting>
  <dataValidations count="1">
    <dataValidation allowBlank="1" sqref="C10:C45"/>
  </dataValidations>
  <printOptions horizontalCentered="1"/>
  <pageMargins left="0.5" right="0.5" top="0.5" bottom="0.5" header="0.5" footer="0.5"/>
  <pageSetup scale="83" orientation="portrait" r:id="rId1"/>
  <headerFooter alignWithMargins="0">
    <oddFooter>&amp;L&amp;8&amp;Z&amp;F</oddFooter>
  </headerFooter>
  <ignoredErrors>
    <ignoredError sqref="K7 H7 C7 C5"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workbookViewId="0">
      <selection activeCell="C4" sqref="C4:C24"/>
    </sheetView>
  </sheetViews>
  <sheetFormatPr defaultRowHeight="13.2" x14ac:dyDescent="0.25"/>
  <cols>
    <col min="3" max="3" width="13.33203125" bestFit="1" customWidth="1"/>
  </cols>
  <sheetData>
    <row r="3" spans="1:3" x14ac:dyDescent="0.25">
      <c r="A3" s="55" t="s">
        <v>40</v>
      </c>
      <c r="C3" s="55" t="s">
        <v>3</v>
      </c>
    </row>
    <row r="4" spans="1:3" x14ac:dyDescent="0.25">
      <c r="A4" s="56">
        <v>1</v>
      </c>
      <c r="C4" s="79">
        <f ca="1">TODAY()-7</f>
        <v>43153</v>
      </c>
    </row>
    <row r="5" spans="1:3" x14ac:dyDescent="0.25">
      <c r="A5" s="56">
        <v>0.95</v>
      </c>
      <c r="C5" s="79">
        <f ca="1">WORKDAY(C4,1)</f>
        <v>43154</v>
      </c>
    </row>
    <row r="6" spans="1:3" x14ac:dyDescent="0.25">
      <c r="A6" s="56">
        <v>0.89999999999999991</v>
      </c>
      <c r="C6" s="79">
        <f t="shared" ref="C6:C24" ca="1" si="0">WORKDAY(C5,1)</f>
        <v>43157</v>
      </c>
    </row>
    <row r="7" spans="1:3" x14ac:dyDescent="0.25">
      <c r="A7" s="56">
        <v>0.84999999999999987</v>
      </c>
      <c r="C7" s="79">
        <f t="shared" ca="1" si="0"/>
        <v>43158</v>
      </c>
    </row>
    <row r="8" spans="1:3" x14ac:dyDescent="0.25">
      <c r="A8" s="56">
        <v>0.79999999999999982</v>
      </c>
      <c r="C8" s="79">
        <f t="shared" ca="1" si="0"/>
        <v>43159</v>
      </c>
    </row>
    <row r="9" spans="1:3" x14ac:dyDescent="0.25">
      <c r="A9" s="56">
        <v>0.74999999999999978</v>
      </c>
      <c r="C9" s="79">
        <f t="shared" ca="1" si="0"/>
        <v>43160</v>
      </c>
    </row>
    <row r="10" spans="1:3" x14ac:dyDescent="0.25">
      <c r="A10" s="56">
        <v>0.69999999999999973</v>
      </c>
      <c r="C10" s="79">
        <f t="shared" ca="1" si="0"/>
        <v>43161</v>
      </c>
    </row>
    <row r="11" spans="1:3" x14ac:dyDescent="0.25">
      <c r="A11" s="56">
        <v>0.64999999999999969</v>
      </c>
      <c r="C11" s="79">
        <f t="shared" ca="1" si="0"/>
        <v>43164</v>
      </c>
    </row>
    <row r="12" spans="1:3" x14ac:dyDescent="0.25">
      <c r="A12" s="56">
        <v>0.59999999999999964</v>
      </c>
      <c r="C12" s="79">
        <f t="shared" ca="1" si="0"/>
        <v>43165</v>
      </c>
    </row>
    <row r="13" spans="1:3" x14ac:dyDescent="0.25">
      <c r="A13" s="56">
        <v>0.5499999999999996</v>
      </c>
      <c r="C13" s="79">
        <f t="shared" ca="1" si="0"/>
        <v>43166</v>
      </c>
    </row>
    <row r="14" spans="1:3" x14ac:dyDescent="0.25">
      <c r="A14" s="56">
        <v>0.49999999999999961</v>
      </c>
      <c r="C14" s="79">
        <f t="shared" ca="1" si="0"/>
        <v>43167</v>
      </c>
    </row>
    <row r="15" spans="1:3" x14ac:dyDescent="0.25">
      <c r="A15" s="56">
        <v>0.44999999999999962</v>
      </c>
      <c r="C15" s="79">
        <f t="shared" ca="1" si="0"/>
        <v>43168</v>
      </c>
    </row>
    <row r="16" spans="1:3" x14ac:dyDescent="0.25">
      <c r="A16" s="56">
        <v>0.39999999999999963</v>
      </c>
      <c r="C16" s="79">
        <f t="shared" ca="1" si="0"/>
        <v>43171</v>
      </c>
    </row>
    <row r="17" spans="1:3" x14ac:dyDescent="0.25">
      <c r="A17" s="56">
        <v>0.34999999999999964</v>
      </c>
      <c r="C17" s="79">
        <f t="shared" ca="1" si="0"/>
        <v>43172</v>
      </c>
    </row>
    <row r="18" spans="1:3" x14ac:dyDescent="0.25">
      <c r="A18" s="56">
        <v>0.29999999999999966</v>
      </c>
      <c r="C18" s="79">
        <f t="shared" ca="1" si="0"/>
        <v>43173</v>
      </c>
    </row>
    <row r="19" spans="1:3" x14ac:dyDescent="0.25">
      <c r="A19" s="56">
        <v>0.24999999999999967</v>
      </c>
      <c r="C19" s="79">
        <f t="shared" ca="1" si="0"/>
        <v>43174</v>
      </c>
    </row>
    <row r="20" spans="1:3" x14ac:dyDescent="0.25">
      <c r="A20" s="56">
        <v>0.19999999999999968</v>
      </c>
      <c r="C20" s="79">
        <f t="shared" ca="1" si="0"/>
        <v>43175</v>
      </c>
    </row>
    <row r="21" spans="1:3" x14ac:dyDescent="0.25">
      <c r="A21" s="56">
        <v>0.14999999999999969</v>
      </c>
      <c r="C21" s="79">
        <f t="shared" ca="1" si="0"/>
        <v>43178</v>
      </c>
    </row>
    <row r="22" spans="1:3" x14ac:dyDescent="0.25">
      <c r="A22" s="56">
        <v>9.9999999999999686E-2</v>
      </c>
      <c r="C22" s="79">
        <f t="shared" ca="1" si="0"/>
        <v>43179</v>
      </c>
    </row>
    <row r="23" spans="1:3" x14ac:dyDescent="0.25">
      <c r="A23" s="56">
        <v>4.9999999999999684E-2</v>
      </c>
      <c r="C23" s="79">
        <f t="shared" ca="1" si="0"/>
        <v>43180</v>
      </c>
    </row>
    <row r="24" spans="1:3" x14ac:dyDescent="0.25">
      <c r="A24" s="56">
        <v>-3.1918911957973251E-16</v>
      </c>
      <c r="C24" s="79">
        <f t="shared" ca="1" si="0"/>
        <v>43181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77"/>
      <c r="B1" s="277"/>
      <c r="C1" s="277"/>
      <c r="D1" s="277"/>
      <c r="E1" s="277"/>
      <c r="F1" s="277"/>
      <c r="G1" s="277"/>
      <c r="H1" s="277"/>
    </row>
    <row r="2" spans="1:11" ht="15.6" x14ac:dyDescent="0.3">
      <c r="A2" s="278" t="s">
        <v>4</v>
      </c>
      <c r="B2" s="278"/>
      <c r="C2" s="278"/>
      <c r="D2" s="278"/>
      <c r="E2" s="278"/>
      <c r="F2" s="278"/>
      <c r="G2" s="278"/>
      <c r="H2" s="278"/>
      <c r="I2" s="278"/>
      <c r="J2" s="278"/>
    </row>
    <row r="3" spans="1:11" ht="15.6" x14ac:dyDescent="0.3">
      <c r="A3" s="278" t="s">
        <v>25</v>
      </c>
      <c r="B3" s="278"/>
      <c r="C3" s="278"/>
      <c r="D3" s="278"/>
      <c r="E3" s="278"/>
      <c r="F3" s="278"/>
      <c r="G3" s="278"/>
      <c r="H3" s="278"/>
      <c r="I3" s="278"/>
      <c r="J3" s="278"/>
    </row>
    <row r="4" spans="1:11" ht="15.6" x14ac:dyDescent="0.3">
      <c r="A4" s="278" t="s">
        <v>35</v>
      </c>
      <c r="B4" s="278"/>
      <c r="C4" s="278"/>
      <c r="D4" s="278"/>
      <c r="E4" s="278"/>
      <c r="F4" s="278"/>
      <c r="G4" s="278"/>
      <c r="H4" s="278"/>
      <c r="I4" s="278"/>
      <c r="J4" s="278"/>
    </row>
    <row r="6" spans="1:11" ht="30.75" customHeight="1" x14ac:dyDescent="0.25">
      <c r="A6" s="279" t="s">
        <v>28</v>
      </c>
      <c r="B6" s="280"/>
      <c r="C6" s="280"/>
      <c r="D6" s="280"/>
      <c r="E6" s="280"/>
      <c r="F6" s="280"/>
      <c r="G6" s="280"/>
      <c r="H6" s="280"/>
      <c r="I6" s="280"/>
      <c r="J6" s="280"/>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279" t="s">
        <v>27</v>
      </c>
      <c r="B10" s="280"/>
      <c r="C10" s="280"/>
      <c r="D10" s="280"/>
      <c r="E10" s="280"/>
      <c r="F10" s="280"/>
      <c r="G10" s="280"/>
      <c r="H10" s="280"/>
      <c r="I10" s="280"/>
      <c r="J10" s="280"/>
    </row>
    <row r="11" spans="1:11" ht="65.25" customHeight="1" x14ac:dyDescent="0.25">
      <c r="B11" s="279" t="s">
        <v>37</v>
      </c>
      <c r="C11" s="280"/>
      <c r="D11" s="280"/>
      <c r="E11" s="280"/>
      <c r="F11" s="280"/>
      <c r="G11" s="280"/>
      <c r="H11" s="280"/>
      <c r="I11" s="280"/>
      <c r="J11" s="34"/>
      <c r="K11" s="34"/>
    </row>
    <row r="12" spans="1:11" ht="19.5" customHeight="1" x14ac:dyDescent="0.25">
      <c r="A12" s="8"/>
      <c r="B12" s="8"/>
      <c r="C12" s="8"/>
      <c r="D12" s="8"/>
      <c r="E12" s="8"/>
      <c r="F12" s="8"/>
      <c r="G12" s="8"/>
      <c r="H12" s="8"/>
    </row>
    <row r="13" spans="1:11" ht="43.5" customHeight="1" x14ac:dyDescent="0.25">
      <c r="A13" s="279" t="s">
        <v>34</v>
      </c>
      <c r="B13" s="279"/>
      <c r="C13" s="279"/>
      <c r="D13" s="279"/>
      <c r="E13" s="279"/>
      <c r="F13" s="279"/>
      <c r="G13" s="279"/>
      <c r="H13" s="279"/>
      <c r="I13" s="279"/>
      <c r="J13" s="279"/>
    </row>
    <row r="14" spans="1:11" ht="19.5" customHeight="1" x14ac:dyDescent="0.25">
      <c r="A14" s="8"/>
      <c r="B14" s="8"/>
      <c r="C14" s="8"/>
      <c r="D14" s="8"/>
      <c r="E14" s="8"/>
      <c r="F14" s="8"/>
      <c r="G14" s="8"/>
      <c r="H14" s="8"/>
    </row>
    <row r="15" spans="1:11" ht="54.75" customHeight="1" x14ac:dyDescent="0.25">
      <c r="A15" s="279" t="s">
        <v>29</v>
      </c>
      <c r="B15" s="282"/>
      <c r="C15" s="282"/>
      <c r="D15" s="282"/>
      <c r="E15" s="282"/>
      <c r="F15" s="282"/>
      <c r="G15" s="282"/>
      <c r="H15" s="282"/>
      <c r="I15" s="282"/>
      <c r="J15" s="282"/>
    </row>
    <row r="16" spans="1:11" ht="19.5" customHeight="1" x14ac:dyDescent="0.25"/>
    <row r="17" spans="1:10" ht="39" customHeight="1" x14ac:dyDescent="0.25">
      <c r="A17" s="281" t="s">
        <v>30</v>
      </c>
      <c r="B17" s="283"/>
      <c r="C17" s="283"/>
      <c r="D17" s="283"/>
      <c r="E17" s="283"/>
      <c r="F17" s="283"/>
      <c r="G17" s="283"/>
      <c r="H17" s="283"/>
      <c r="I17" s="283"/>
      <c r="J17" s="283"/>
    </row>
    <row r="18" spans="1:10" ht="19.5" customHeight="1" x14ac:dyDescent="0.25"/>
    <row r="19" spans="1:10" ht="56.25" customHeight="1" x14ac:dyDescent="0.25">
      <c r="A19" s="281" t="s">
        <v>31</v>
      </c>
      <c r="B19" s="283"/>
      <c r="C19" s="283"/>
      <c r="D19" s="283"/>
      <c r="E19" s="283"/>
      <c r="F19" s="283"/>
      <c r="G19" s="283"/>
      <c r="H19" s="283"/>
      <c r="I19" s="283"/>
      <c r="J19" s="283"/>
    </row>
    <row r="20" spans="1:10" ht="20.25" customHeight="1" x14ac:dyDescent="0.25"/>
    <row r="21" spans="1:10" ht="27.75" customHeight="1" x14ac:dyDescent="0.25">
      <c r="A21" s="281" t="s">
        <v>13</v>
      </c>
      <c r="B21" s="281"/>
      <c r="C21" s="281"/>
      <c r="D21" s="281"/>
      <c r="E21" s="281"/>
      <c r="F21" s="281"/>
      <c r="G21" s="281"/>
      <c r="H21" s="281"/>
      <c r="I21" s="281"/>
      <c r="J21" s="281"/>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7"/>
  <sheetViews>
    <sheetView workbookViewId="0">
      <selection activeCell="A27" sqref="A27:XFD27"/>
    </sheetView>
  </sheetViews>
  <sheetFormatPr defaultRowHeight="13.2" x14ac:dyDescent="0.25"/>
  <cols>
    <col min="1" max="1" width="60.5546875" bestFit="1" customWidth="1"/>
    <col min="2" max="2" width="12.44140625" customWidth="1"/>
    <col min="3" max="3" width="9.44140625" customWidth="1"/>
    <col min="4" max="4" width="12.44140625" customWidth="1"/>
    <col min="5" max="5" width="11.44140625" bestFit="1" customWidth="1"/>
    <col min="6" max="6" width="17.6640625" customWidth="1"/>
    <col min="7" max="8" width="8" customWidth="1"/>
    <col min="9" max="9" width="7" customWidth="1"/>
    <col min="10" max="10" width="10" bestFit="1" customWidth="1"/>
    <col min="11" max="11" width="8" customWidth="1"/>
    <col min="12" max="12" width="7" customWidth="1"/>
    <col min="13" max="13" width="18.44140625" bestFit="1" customWidth="1"/>
    <col min="14" max="14" width="4.33203125" customWidth="1"/>
    <col min="15" max="16" width="5.6640625" customWidth="1"/>
    <col min="17" max="17" width="4.33203125" customWidth="1"/>
    <col min="18" max="18" width="5.6640625" customWidth="1"/>
    <col min="19" max="19" width="4.6640625" customWidth="1"/>
    <col min="20" max="20" width="4.33203125" customWidth="1"/>
    <col min="21" max="22" width="5.6640625" customWidth="1"/>
    <col min="23" max="23" width="4.33203125" customWidth="1"/>
    <col min="24" max="24" width="16.44140625" bestFit="1" customWidth="1"/>
    <col min="25" max="25" width="4.33203125" customWidth="1"/>
    <col min="26" max="26" width="7" customWidth="1"/>
    <col min="27" max="27" width="8" customWidth="1"/>
    <col min="28" max="28" width="4.33203125" customWidth="1"/>
    <col min="29" max="29" width="8" customWidth="1"/>
    <col min="30" max="30" width="4.44140625" customWidth="1"/>
    <col min="31" max="31" width="4.33203125" customWidth="1"/>
    <col min="32" max="32" width="7" customWidth="1"/>
    <col min="33" max="33" width="8" customWidth="1"/>
    <col min="34" max="34" width="4.33203125" customWidth="1"/>
    <col min="35" max="35" width="21.5546875" bestFit="1" customWidth="1"/>
    <col min="36" max="36" width="4.33203125" customWidth="1"/>
    <col min="37" max="37" width="7" customWidth="1"/>
    <col min="38" max="38" width="11" bestFit="1" customWidth="1"/>
    <col min="39" max="39" width="4.33203125" customWidth="1"/>
    <col min="40" max="40" width="8" customWidth="1"/>
    <col min="41" max="41" width="7" customWidth="1"/>
    <col min="42" max="42" width="4.33203125" customWidth="1"/>
    <col min="43" max="43" width="7" customWidth="1"/>
    <col min="44" max="44" width="8" customWidth="1"/>
    <col min="45" max="45" width="4.33203125" customWidth="1"/>
    <col min="46" max="46" width="24.6640625" bestFit="1" customWidth="1"/>
    <col min="47" max="47" width="23.44140625" bestFit="1" customWidth="1"/>
    <col min="48" max="48" width="21.5546875" bestFit="1" customWidth="1"/>
    <col min="49" max="49" width="26.5546875" bestFit="1" customWidth="1"/>
  </cols>
  <sheetData>
    <row r="3" spans="1:5" ht="31.2" customHeight="1" x14ac:dyDescent="0.25">
      <c r="A3" s="155" t="s">
        <v>158</v>
      </c>
      <c r="B3" s="167" t="s">
        <v>153</v>
      </c>
      <c r="C3" s="167" t="s">
        <v>154</v>
      </c>
      <c r="D3" t="s">
        <v>156</v>
      </c>
      <c r="E3" s="167" t="s">
        <v>155</v>
      </c>
    </row>
    <row r="4" spans="1:5" x14ac:dyDescent="0.25">
      <c r="A4" s="44" t="s">
        <v>44</v>
      </c>
      <c r="B4" s="156">
        <v>465475</v>
      </c>
      <c r="C4" s="148">
        <v>0</v>
      </c>
      <c r="D4" s="156">
        <v>0</v>
      </c>
      <c r="E4" s="156">
        <v>0</v>
      </c>
    </row>
    <row r="5" spans="1:5" x14ac:dyDescent="0.25">
      <c r="A5" s="44" t="s">
        <v>43</v>
      </c>
      <c r="B5" s="156">
        <v>465475</v>
      </c>
      <c r="C5" s="148">
        <v>0</v>
      </c>
      <c r="D5" s="156">
        <v>0</v>
      </c>
      <c r="E5" s="156">
        <v>0</v>
      </c>
    </row>
    <row r="6" spans="1:5" x14ac:dyDescent="0.25">
      <c r="A6" s="44" t="s">
        <v>47</v>
      </c>
      <c r="B6" s="156">
        <v>465475</v>
      </c>
      <c r="C6" s="148">
        <v>0</v>
      </c>
      <c r="D6" s="156">
        <v>0</v>
      </c>
      <c r="E6" s="156">
        <v>0</v>
      </c>
    </row>
    <row r="7" spans="1:5" x14ac:dyDescent="0.25">
      <c r="A7" s="44" t="s">
        <v>45</v>
      </c>
      <c r="B7" s="156">
        <v>1489519.9883199998</v>
      </c>
      <c r="C7" s="148">
        <v>0</v>
      </c>
      <c r="D7" s="156">
        <v>0</v>
      </c>
      <c r="E7" s="156">
        <v>0</v>
      </c>
    </row>
    <row r="8" spans="1:5" x14ac:dyDescent="0.25">
      <c r="A8" s="44" t="s">
        <v>46</v>
      </c>
      <c r="B8" s="156">
        <v>465475</v>
      </c>
      <c r="C8" s="148">
        <v>0</v>
      </c>
      <c r="D8" s="156">
        <v>0</v>
      </c>
      <c r="E8" s="156">
        <v>0</v>
      </c>
    </row>
    <row r="9" spans="1:5" x14ac:dyDescent="0.25">
      <c r="A9" s="44" t="s">
        <v>74</v>
      </c>
      <c r="B9" s="156">
        <v>930950.4</v>
      </c>
      <c r="C9" s="148">
        <v>0</v>
      </c>
      <c r="D9" s="156">
        <v>0</v>
      </c>
      <c r="E9" s="156">
        <v>0</v>
      </c>
    </row>
    <row r="10" spans="1:5" x14ac:dyDescent="0.25">
      <c r="A10" s="44" t="s">
        <v>75</v>
      </c>
      <c r="B10" s="156">
        <v>930950.4</v>
      </c>
      <c r="C10" s="148">
        <v>0</v>
      </c>
      <c r="D10" s="156">
        <v>0</v>
      </c>
      <c r="E10" s="156">
        <v>0</v>
      </c>
    </row>
    <row r="11" spans="1:5" x14ac:dyDescent="0.25">
      <c r="A11" s="44" t="s">
        <v>41</v>
      </c>
      <c r="B11" s="156">
        <v>502100</v>
      </c>
      <c r="C11" s="148">
        <v>1</v>
      </c>
      <c r="D11" s="156">
        <v>502100</v>
      </c>
      <c r="E11" s="156">
        <v>502100</v>
      </c>
    </row>
    <row r="12" spans="1:5" x14ac:dyDescent="0.25">
      <c r="A12" s="44" t="s">
        <v>48</v>
      </c>
      <c r="B12" s="156">
        <v>485319.2</v>
      </c>
      <c r="C12" s="148">
        <v>0</v>
      </c>
      <c r="D12" s="156">
        <v>0</v>
      </c>
      <c r="E12" s="156">
        <v>0</v>
      </c>
    </row>
    <row r="13" spans="1:5" x14ac:dyDescent="0.25">
      <c r="A13" s="44" t="s">
        <v>167</v>
      </c>
      <c r="B13" s="156">
        <v>5277520</v>
      </c>
      <c r="C13" s="148">
        <v>0.99999998285621616</v>
      </c>
      <c r="D13" s="156">
        <v>5277519.9095233381</v>
      </c>
      <c r="E13" s="156">
        <v>5277520</v>
      </c>
    </row>
    <row r="14" spans="1:5" x14ac:dyDescent="0.25">
      <c r="A14" s="44" t="s">
        <v>76</v>
      </c>
      <c r="B14" s="156">
        <v>278066</v>
      </c>
      <c r="C14" s="148">
        <v>0</v>
      </c>
      <c r="D14" s="156">
        <v>0</v>
      </c>
      <c r="E14" s="156">
        <v>0</v>
      </c>
    </row>
    <row r="15" spans="1:5" x14ac:dyDescent="0.25">
      <c r="A15" s="44" t="s">
        <v>77</v>
      </c>
      <c r="B15" s="156">
        <v>5544</v>
      </c>
      <c r="C15" s="148">
        <v>0</v>
      </c>
      <c r="D15" s="156">
        <v>0</v>
      </c>
      <c r="E15" s="156">
        <v>0</v>
      </c>
    </row>
    <row r="16" spans="1:5" x14ac:dyDescent="0.25">
      <c r="A16" s="44" t="s">
        <v>42</v>
      </c>
      <c r="B16" s="156">
        <v>502100</v>
      </c>
      <c r="C16" s="148">
        <v>1</v>
      </c>
      <c r="D16" s="156">
        <v>502100</v>
      </c>
      <c r="E16" s="156">
        <v>502100</v>
      </c>
    </row>
    <row r="17" spans="1:10" x14ac:dyDescent="0.25">
      <c r="A17" s="44" t="s">
        <v>157</v>
      </c>
      <c r="B17" s="156">
        <v>14935</v>
      </c>
      <c r="C17" s="148">
        <v>0</v>
      </c>
      <c r="D17" s="156">
        <v>0</v>
      </c>
      <c r="E17" s="156">
        <v>0</v>
      </c>
    </row>
    <row r="18" spans="1:10" x14ac:dyDescent="0.25">
      <c r="A18" s="44" t="s">
        <v>166</v>
      </c>
      <c r="B18" s="156">
        <v>1861900</v>
      </c>
      <c r="C18" s="148">
        <v>1</v>
      </c>
      <c r="D18" s="156">
        <v>1861900</v>
      </c>
      <c r="E18" s="156">
        <v>0</v>
      </c>
    </row>
    <row r="19" spans="1:10" x14ac:dyDescent="0.25">
      <c r="A19" s="44" t="s">
        <v>165</v>
      </c>
      <c r="B19" s="156">
        <v>2426014</v>
      </c>
      <c r="C19" s="148">
        <v>1</v>
      </c>
      <c r="D19" s="156">
        <v>2426014</v>
      </c>
      <c r="E19" s="156">
        <v>0</v>
      </c>
    </row>
    <row r="20" spans="1:10" x14ac:dyDescent="0.25">
      <c r="A20" s="44" t="s">
        <v>164</v>
      </c>
      <c r="B20" s="156">
        <v>1483976</v>
      </c>
      <c r="C20" s="148">
        <v>0</v>
      </c>
      <c r="D20" s="156">
        <v>0</v>
      </c>
      <c r="E20" s="156">
        <v>0</v>
      </c>
    </row>
    <row r="21" spans="1:10" x14ac:dyDescent="0.25">
      <c r="A21" s="44" t="s">
        <v>159</v>
      </c>
      <c r="B21" s="156">
        <v>8572</v>
      </c>
      <c r="C21" s="148">
        <v>0</v>
      </c>
      <c r="D21" s="156">
        <v>0</v>
      </c>
      <c r="E21" s="156">
        <v>0</v>
      </c>
    </row>
    <row r="22" spans="1:10" x14ac:dyDescent="0.25">
      <c r="A22" s="44" t="s">
        <v>160</v>
      </c>
      <c r="B22" s="156">
        <v>11962</v>
      </c>
      <c r="C22" s="148">
        <v>0</v>
      </c>
      <c r="D22" s="156">
        <v>0</v>
      </c>
      <c r="E22" s="156">
        <v>0</v>
      </c>
    </row>
    <row r="23" spans="1:10" x14ac:dyDescent="0.25">
      <c r="A23" s="44" t="s">
        <v>161</v>
      </c>
      <c r="B23" s="156">
        <v>57670</v>
      </c>
      <c r="C23" s="148">
        <v>0</v>
      </c>
      <c r="D23" s="156">
        <v>0</v>
      </c>
      <c r="E23" s="156">
        <v>0</v>
      </c>
      <c r="J23">
        <f>930950/2</f>
        <v>465475</v>
      </c>
    </row>
    <row r="24" spans="1:10" x14ac:dyDescent="0.25">
      <c r="A24" s="44" t="s">
        <v>162</v>
      </c>
      <c r="B24" s="156">
        <v>57670</v>
      </c>
      <c r="C24" s="148">
        <v>0</v>
      </c>
      <c r="D24" s="156">
        <v>0</v>
      </c>
      <c r="E24" s="156">
        <v>0</v>
      </c>
    </row>
    <row r="25" spans="1:10" x14ac:dyDescent="0.25">
      <c r="A25" s="44" t="s">
        <v>168</v>
      </c>
      <c r="B25" s="156">
        <v>930950</v>
      </c>
      <c r="C25" s="148">
        <v>0.5</v>
      </c>
      <c r="D25" s="156">
        <v>465475</v>
      </c>
      <c r="E25" s="156">
        <v>0</v>
      </c>
    </row>
    <row r="26" spans="1:10" x14ac:dyDescent="0.25">
      <c r="A26" s="44" t="s">
        <v>163</v>
      </c>
      <c r="B26" s="156">
        <v>33433</v>
      </c>
      <c r="C26" s="148">
        <v>0</v>
      </c>
      <c r="D26" s="156">
        <v>0</v>
      </c>
      <c r="E26" s="156">
        <v>0</v>
      </c>
    </row>
    <row r="27" spans="1:10" x14ac:dyDescent="0.25">
      <c r="A27" s="44" t="s">
        <v>152</v>
      </c>
      <c r="B27" s="156">
        <v>19151051.98832</v>
      </c>
      <c r="C27" s="148">
        <v>5.4999999828562167</v>
      </c>
      <c r="D27" s="156">
        <v>11035108.909523338</v>
      </c>
      <c r="E27" s="156">
        <v>6281720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C51"/>
  <sheetViews>
    <sheetView showGridLines="0" topLeftCell="A2" zoomScale="80" zoomScaleNormal="80" workbookViewId="0">
      <pane xSplit="4" ySplit="9" topLeftCell="T11" activePane="bottomRight" state="frozen"/>
      <selection activeCell="G9" sqref="G9"/>
      <selection pane="topRight" activeCell="G9" sqref="G9"/>
      <selection pane="bottomLeft" activeCell="G9" sqref="G9"/>
      <selection pane="bottomRight" activeCell="AB5" sqref="AB5"/>
    </sheetView>
  </sheetViews>
  <sheetFormatPr defaultColWidth="29.5546875" defaultRowHeight="13.2" outlineLevelCol="1" x14ac:dyDescent="0.25"/>
  <cols>
    <col min="1" max="1" width="17.6640625" style="102" customWidth="1"/>
    <col min="2" max="2" width="17.6640625" style="147" customWidth="1"/>
    <col min="3" max="3" width="25.77734375" customWidth="1"/>
    <col min="4" max="4" width="17.6640625" customWidth="1"/>
    <col min="5" max="5" width="13" style="43" customWidth="1" collapsed="1"/>
    <col min="6" max="7" width="12.33203125" style="81" hidden="1" customWidth="1" outlineLevel="1"/>
    <col min="8" max="8" width="12.21875" style="104" hidden="1" customWidth="1" outlineLevel="1"/>
    <col min="9" max="10" width="12.33203125" style="81" hidden="1" customWidth="1" outlineLevel="1"/>
    <col min="11" max="11" width="12.109375" style="81" hidden="1" customWidth="1" outlineLevel="1"/>
    <col min="12" max="12" width="12.6640625" style="140" hidden="1" customWidth="1" outlineLevel="1"/>
    <col min="13" max="16" width="12.44140625" style="140" hidden="1" customWidth="1" outlineLevel="1"/>
    <col min="17" max="17" width="11.88671875" style="140" hidden="1" customWidth="1" outlineLevel="1"/>
    <col min="18" max="19" width="12.33203125" style="140" hidden="1" customWidth="1" outlineLevel="1"/>
    <col min="20" max="20" width="17.6640625" style="81" customWidth="1"/>
    <col min="21" max="22" width="17.6640625" customWidth="1"/>
    <col min="23" max="25" width="17.6640625" style="41" customWidth="1"/>
    <col min="26" max="26" width="14.6640625" customWidth="1"/>
    <col min="27" max="27" width="17.33203125" customWidth="1"/>
  </cols>
  <sheetData>
    <row r="1" spans="1:29" ht="15.6" x14ac:dyDescent="0.3">
      <c r="A1" s="278"/>
      <c r="B1" s="278"/>
      <c r="C1" s="284"/>
      <c r="D1" s="284"/>
      <c r="E1" s="284"/>
      <c r="F1" s="284"/>
      <c r="G1" s="284"/>
      <c r="H1" s="284"/>
      <c r="I1" s="284"/>
      <c r="J1" s="284"/>
      <c r="K1" s="284"/>
      <c r="L1" s="284"/>
      <c r="M1" s="284"/>
      <c r="N1" s="284"/>
      <c r="O1" s="284"/>
      <c r="P1" s="284"/>
      <c r="Q1" s="284"/>
      <c r="R1" s="284"/>
      <c r="S1" s="284"/>
      <c r="T1" s="284"/>
      <c r="U1" s="284"/>
      <c r="V1" s="284"/>
      <c r="W1" s="284"/>
      <c r="X1" s="284"/>
      <c r="Y1" s="284"/>
    </row>
    <row r="2" spans="1:29" ht="15.6" x14ac:dyDescent="0.3">
      <c r="A2" s="278"/>
      <c r="B2" s="278"/>
      <c r="C2" s="284"/>
      <c r="D2" s="284"/>
      <c r="E2" s="284"/>
      <c r="F2" s="284"/>
      <c r="G2" s="284"/>
      <c r="H2" s="284"/>
      <c r="I2" s="284"/>
      <c r="J2" s="284"/>
      <c r="K2" s="284"/>
      <c r="L2" s="284"/>
      <c r="M2" s="284"/>
      <c r="N2" s="284"/>
      <c r="O2" s="284"/>
      <c r="P2" s="284"/>
      <c r="Q2" s="284"/>
      <c r="R2" s="284"/>
      <c r="S2" s="284"/>
      <c r="T2" s="284"/>
      <c r="U2" s="284"/>
      <c r="V2" s="284"/>
      <c r="W2" s="284"/>
      <c r="X2" s="284"/>
      <c r="Y2" s="284"/>
    </row>
    <row r="3" spans="1:29" ht="15.6" x14ac:dyDescent="0.3">
      <c r="A3" s="101"/>
      <c r="B3" s="146"/>
      <c r="C3" s="34"/>
      <c r="D3" s="34"/>
      <c r="E3" s="34"/>
      <c r="F3" s="34"/>
      <c r="G3" s="34"/>
      <c r="H3" s="34"/>
      <c r="I3" s="34"/>
      <c r="J3" s="34"/>
      <c r="K3" s="34"/>
      <c r="L3" s="34"/>
      <c r="M3" s="34"/>
      <c r="N3" s="34"/>
      <c r="O3" s="34"/>
      <c r="P3" s="34"/>
      <c r="Q3" s="34"/>
      <c r="R3" s="34"/>
      <c r="S3" s="34"/>
      <c r="T3" s="34"/>
      <c r="U3" s="34"/>
      <c r="V3" s="34"/>
      <c r="W3" s="34"/>
      <c r="X3" s="34"/>
      <c r="Y3" s="34"/>
    </row>
    <row r="4" spans="1:29" ht="17.399999999999999" x14ac:dyDescent="0.3">
      <c r="A4" s="287" t="s">
        <v>0</v>
      </c>
      <c r="B4" s="287"/>
      <c r="C4" s="66" t="s">
        <v>50</v>
      </c>
      <c r="D4" s="54"/>
      <c r="H4" s="81"/>
      <c r="U4" s="5"/>
      <c r="V4" s="2"/>
      <c r="X4" s="46">
        <v>43159</v>
      </c>
    </row>
    <row r="5" spans="1:29" x14ac:dyDescent="0.25">
      <c r="A5" s="53"/>
      <c r="B5" s="1"/>
      <c r="C5" s="34"/>
      <c r="D5" s="54"/>
      <c r="H5" s="81"/>
      <c r="X5" s="1" t="s">
        <v>6</v>
      </c>
    </row>
    <row r="6" spans="1:29" x14ac:dyDescent="0.25">
      <c r="A6" s="287" t="s">
        <v>2</v>
      </c>
      <c r="B6" s="287"/>
      <c r="C6" s="67" t="s">
        <v>51</v>
      </c>
      <c r="D6" s="54"/>
      <c r="F6" s="90"/>
      <c r="G6" s="90"/>
      <c r="H6" s="90"/>
      <c r="I6" s="90"/>
      <c r="J6" s="90"/>
      <c r="K6" s="90"/>
      <c r="L6" s="90"/>
      <c r="M6" s="90"/>
      <c r="N6" s="90"/>
      <c r="O6" s="90"/>
      <c r="P6" s="90"/>
      <c r="Q6" s="90"/>
      <c r="R6" s="90"/>
      <c r="S6" s="90"/>
      <c r="U6" s="5"/>
      <c r="W6" s="51" t="s">
        <v>11</v>
      </c>
      <c r="X6" s="47"/>
      <c r="Z6">
        <v>1048633</v>
      </c>
      <c r="AA6">
        <f>Z6*91%</f>
        <v>954256.03</v>
      </c>
    </row>
    <row r="7" spans="1:29" x14ac:dyDescent="0.25">
      <c r="A7" s="44"/>
      <c r="C7" s="68"/>
      <c r="D7" s="2"/>
      <c r="H7" s="81"/>
      <c r="U7" s="6"/>
      <c r="W7" s="42"/>
      <c r="X7" s="47"/>
      <c r="Y7" s="270" t="s">
        <v>221</v>
      </c>
      <c r="Z7" s="271">
        <v>901824</v>
      </c>
      <c r="AA7">
        <v>-52432</v>
      </c>
      <c r="AB7" s="60" t="s">
        <v>222</v>
      </c>
    </row>
    <row r="8" spans="1:29" x14ac:dyDescent="0.25">
      <c r="A8" s="286" t="s">
        <v>32</v>
      </c>
      <c r="B8" s="286"/>
      <c r="C8" s="69" t="s">
        <v>190</v>
      </c>
      <c r="D8" s="2"/>
      <c r="F8" s="145"/>
      <c r="G8" s="145"/>
      <c r="H8" s="145"/>
      <c r="I8" s="145"/>
      <c r="J8" s="145"/>
      <c r="K8" s="145"/>
      <c r="L8" s="145"/>
      <c r="M8" s="145"/>
      <c r="N8" s="145"/>
      <c r="O8" s="145"/>
      <c r="P8" s="145"/>
      <c r="Q8" s="145"/>
      <c r="R8" s="145"/>
      <c r="S8" s="145"/>
      <c r="T8" s="145"/>
      <c r="U8" s="5"/>
      <c r="W8" s="42"/>
      <c r="X8" s="48"/>
      <c r="AA8">
        <v>24406</v>
      </c>
    </row>
    <row r="9" spans="1:29" x14ac:dyDescent="0.25">
      <c r="A9" s="88"/>
      <c r="B9" s="88"/>
      <c r="C9" s="69"/>
      <c r="D9" s="2"/>
      <c r="E9" s="145"/>
      <c r="F9" s="145"/>
      <c r="G9" s="145"/>
      <c r="H9" s="145"/>
      <c r="I9" s="145"/>
      <c r="J9" s="145"/>
      <c r="K9" s="145"/>
      <c r="L9" s="145"/>
      <c r="M9" s="145"/>
      <c r="N9" s="145"/>
      <c r="O9" s="145"/>
      <c r="P9" s="145"/>
      <c r="Q9" s="145"/>
      <c r="R9" s="145"/>
      <c r="S9" s="145"/>
      <c r="T9" s="145"/>
      <c r="U9" s="5"/>
      <c r="W9" s="144"/>
      <c r="X9" s="48"/>
      <c r="Y9" s="143"/>
      <c r="AA9">
        <f>AA8+AA7</f>
        <v>-28026</v>
      </c>
    </row>
    <row r="10" spans="1:29" s="153" customFormat="1" ht="39.6" x14ac:dyDescent="0.25">
      <c r="A10" s="150" t="s">
        <v>73</v>
      </c>
      <c r="B10" s="150" t="s">
        <v>1</v>
      </c>
      <c r="C10" s="150" t="s">
        <v>38</v>
      </c>
      <c r="D10" s="150" t="s">
        <v>39</v>
      </c>
      <c r="E10" s="150" t="s">
        <v>78</v>
      </c>
      <c r="F10" s="151" t="s">
        <v>136</v>
      </c>
      <c r="G10" s="151" t="s">
        <v>137</v>
      </c>
      <c r="H10" s="151" t="s">
        <v>138</v>
      </c>
      <c r="I10" s="151" t="s">
        <v>139</v>
      </c>
      <c r="J10" s="151" t="s">
        <v>140</v>
      </c>
      <c r="K10" s="151" t="s">
        <v>141</v>
      </c>
      <c r="L10" s="151" t="s">
        <v>142</v>
      </c>
      <c r="M10" s="151" t="s">
        <v>143</v>
      </c>
      <c r="N10" s="151" t="s">
        <v>144</v>
      </c>
      <c r="O10" s="151" t="s">
        <v>145</v>
      </c>
      <c r="P10" s="151" t="s">
        <v>146</v>
      </c>
      <c r="Q10" s="151" t="s">
        <v>147</v>
      </c>
      <c r="R10" s="151" t="s">
        <v>148</v>
      </c>
      <c r="S10" s="151" t="s">
        <v>149</v>
      </c>
      <c r="T10" s="152" t="s">
        <v>40</v>
      </c>
      <c r="U10" s="150" t="s">
        <v>17</v>
      </c>
      <c r="V10" s="150" t="s">
        <v>150</v>
      </c>
      <c r="W10" s="150" t="s">
        <v>10</v>
      </c>
      <c r="X10" s="150" t="s">
        <v>151</v>
      </c>
      <c r="Y10" s="150" t="s">
        <v>9</v>
      </c>
      <c r="Z10" s="194" t="s">
        <v>205</v>
      </c>
      <c r="AA10" s="153" t="s">
        <v>218</v>
      </c>
      <c r="AB10" s="153" t="s">
        <v>173</v>
      </c>
      <c r="AC10" s="153" t="s">
        <v>220</v>
      </c>
    </row>
    <row r="11" spans="1:29" ht="26.4" x14ac:dyDescent="0.25">
      <c r="A11" s="203">
        <v>1</v>
      </c>
      <c r="B11" s="203">
        <v>1</v>
      </c>
      <c r="C11" s="204" t="s">
        <v>41</v>
      </c>
      <c r="D11" s="205">
        <v>42285</v>
      </c>
      <c r="E11" s="206">
        <v>1</v>
      </c>
      <c r="F11" s="207"/>
      <c r="G11" s="207"/>
      <c r="H11" s="208"/>
      <c r="I11" s="207"/>
      <c r="J11" s="207"/>
      <c r="K11" s="207"/>
      <c r="L11" s="207"/>
      <c r="M11" s="207"/>
      <c r="N11" s="209"/>
      <c r="O11" s="209"/>
      <c r="P11" s="209"/>
      <c r="Q11" s="209"/>
      <c r="R11" s="209"/>
      <c r="S11" s="209"/>
      <c r="T11" s="210">
        <f t="shared" ref="T11:T18" si="0">IF(D11&gt;0,SUM(F11:S11)/U11+E11,0)</f>
        <v>1</v>
      </c>
      <c r="U11" s="211">
        <v>502100</v>
      </c>
      <c r="V11" s="212">
        <f t="shared" ref="V11:V32" si="1">IF(U11&gt;0,T11*U11,0)</f>
        <v>502100</v>
      </c>
      <c r="W11" s="213">
        <f t="shared" ref="W11:W43" si="2">V11-X11</f>
        <v>0</v>
      </c>
      <c r="X11" s="213">
        <f>SUMIF(Invoices!$C$2:$C$1048576,' Accting USE Data Entry Form'!$C$11:$C$43,Invoices!$E$2:$E$1048576)</f>
        <v>502100</v>
      </c>
      <c r="Y11" s="248">
        <f>+V11-W11-X11</f>
        <v>0</v>
      </c>
      <c r="Z11" s="200">
        <f>Table4[[#This Row],[PO Line Total]]-Table4[[#This Row],[Work Complete]]</f>
        <v>0</v>
      </c>
    </row>
    <row r="12" spans="1:29" ht="26.4" x14ac:dyDescent="0.25">
      <c r="A12" s="203">
        <v>2</v>
      </c>
      <c r="B12" s="203">
        <v>2</v>
      </c>
      <c r="C12" s="204" t="s">
        <v>42</v>
      </c>
      <c r="D12" s="205">
        <v>42439</v>
      </c>
      <c r="E12" s="206">
        <v>1</v>
      </c>
      <c r="F12" s="207"/>
      <c r="G12" s="207"/>
      <c r="H12" s="208"/>
      <c r="I12" s="207"/>
      <c r="J12" s="207"/>
      <c r="K12" s="207"/>
      <c r="L12" s="207"/>
      <c r="M12" s="207"/>
      <c r="N12" s="209"/>
      <c r="O12" s="209"/>
      <c r="P12" s="209"/>
      <c r="Q12" s="209"/>
      <c r="R12" s="209"/>
      <c r="S12" s="209"/>
      <c r="T12" s="210">
        <f t="shared" si="0"/>
        <v>1</v>
      </c>
      <c r="U12" s="211">
        <v>502100</v>
      </c>
      <c r="V12" s="212">
        <f t="shared" si="1"/>
        <v>502100</v>
      </c>
      <c r="W12" s="213">
        <f t="shared" si="2"/>
        <v>0</v>
      </c>
      <c r="X12" s="213">
        <f>SUMIF(Invoices!$C$2:$C$1048576,' Accting USE Data Entry Form'!$C$11:$C$43,Invoices!$E$2:$E$1048576)</f>
        <v>502100</v>
      </c>
      <c r="Y12" s="248">
        <f>+V12-W12-X12</f>
        <v>0</v>
      </c>
      <c r="Z12" s="200">
        <f>Table4[[#This Row],[PO Line Total]]-Table4[[#This Row],[Work Complete]]</f>
        <v>0</v>
      </c>
    </row>
    <row r="13" spans="1:29" ht="39.6" x14ac:dyDescent="0.25">
      <c r="A13" s="203">
        <v>3</v>
      </c>
      <c r="B13" s="203">
        <v>3</v>
      </c>
      <c r="C13" s="214" t="s">
        <v>167</v>
      </c>
      <c r="D13" s="205">
        <v>42468</v>
      </c>
      <c r="E13" s="206">
        <v>0.82251510359474489</v>
      </c>
      <c r="F13" s="207"/>
      <c r="G13" s="207"/>
      <c r="H13" s="208">
        <v>936680</v>
      </c>
      <c r="I13" s="207"/>
      <c r="J13" s="207"/>
      <c r="K13" s="207"/>
      <c r="L13" s="207"/>
      <c r="M13" s="207"/>
      <c r="N13" s="209"/>
      <c r="O13" s="209"/>
      <c r="P13" s="209"/>
      <c r="Q13" s="209"/>
      <c r="R13" s="209"/>
      <c r="S13" s="209"/>
      <c r="T13" s="210">
        <f t="shared" si="0"/>
        <v>0.99999998285621616</v>
      </c>
      <c r="U13" s="211">
        <v>5277520</v>
      </c>
      <c r="V13" s="212">
        <v>5277520</v>
      </c>
      <c r="W13" s="213">
        <f t="shared" si="2"/>
        <v>0</v>
      </c>
      <c r="X13" s="213">
        <v>5277520</v>
      </c>
      <c r="Y13" s="248">
        <f>+V13-W13-X13</f>
        <v>0</v>
      </c>
      <c r="Z13" s="202">
        <f>Table4[[#This Row],[PO Line Total]]-Table4[[#This Row],[Work Complete]]</f>
        <v>0</v>
      </c>
    </row>
    <row r="14" spans="1:29" ht="26.4" x14ac:dyDescent="0.25">
      <c r="A14" s="203">
        <v>4</v>
      </c>
      <c r="B14" s="203">
        <v>4</v>
      </c>
      <c r="C14" s="214" t="s">
        <v>166</v>
      </c>
      <c r="D14" s="205">
        <v>42562</v>
      </c>
      <c r="E14" s="206">
        <f>82/91</f>
        <v>0.90109890109890112</v>
      </c>
      <c r="F14" s="207"/>
      <c r="G14" s="207"/>
      <c r="H14" s="208"/>
      <c r="I14" s="207"/>
      <c r="J14" s="207"/>
      <c r="K14" s="207"/>
      <c r="L14" s="207"/>
      <c r="M14" s="209">
        <v>184143.9560439561</v>
      </c>
      <c r="N14" s="209"/>
      <c r="O14" s="209"/>
      <c r="P14" s="209"/>
      <c r="Q14" s="209"/>
      <c r="R14" s="209"/>
      <c r="S14" s="209"/>
      <c r="T14" s="210">
        <f t="shared" si="0"/>
        <v>1</v>
      </c>
      <c r="U14" s="211">
        <v>1861900</v>
      </c>
      <c r="V14" s="212">
        <f t="shared" si="1"/>
        <v>1861900</v>
      </c>
      <c r="W14" s="213">
        <f t="shared" si="2"/>
        <v>0</v>
      </c>
      <c r="X14" s="213">
        <f>SUMIF(Invoices!$C$2:$C$1048576,' Accting USE Data Entry Form'!$C$11:$C$43,Invoices!$E$2:$E$1048576)</f>
        <v>1861900</v>
      </c>
      <c r="Y14" s="248">
        <f>+V14-W14-X14</f>
        <v>0</v>
      </c>
      <c r="Z14" s="202">
        <f>Table4[[#This Row],[PO Line Total]]-Table4[[#This Row],[Work Complete]]</f>
        <v>0</v>
      </c>
      <c r="AA14" s="62"/>
    </row>
    <row r="15" spans="1:29" ht="39.6" x14ac:dyDescent="0.25">
      <c r="A15" s="203">
        <v>5</v>
      </c>
      <c r="B15" s="203">
        <v>5</v>
      </c>
      <c r="C15" s="215" t="s">
        <v>165</v>
      </c>
      <c r="D15" s="205">
        <v>42685</v>
      </c>
      <c r="E15" s="206">
        <v>0</v>
      </c>
      <c r="F15" s="216"/>
      <c r="G15" s="207"/>
      <c r="H15" s="208">
        <v>910806.01803750009</v>
      </c>
      <c r="I15" s="208">
        <v>1515207.9819624999</v>
      </c>
      <c r="J15" s="207"/>
      <c r="K15" s="207"/>
      <c r="L15" s="207"/>
      <c r="M15" s="207"/>
      <c r="N15" s="209"/>
      <c r="O15" s="209"/>
      <c r="P15" s="209"/>
      <c r="Q15" s="209"/>
      <c r="R15" s="209"/>
      <c r="S15" s="209"/>
      <c r="T15" s="210">
        <f t="shared" si="0"/>
        <v>1</v>
      </c>
      <c r="U15" s="211">
        <v>2426014</v>
      </c>
      <c r="V15" s="212">
        <f t="shared" si="1"/>
        <v>2426014</v>
      </c>
      <c r="W15" s="213">
        <f t="shared" si="2"/>
        <v>0</v>
      </c>
      <c r="X15" s="213">
        <f>SUMIF(Invoices!$C$2:$C$1048576,' Accting USE Data Entry Form'!$C$11:$C$43,Invoices!$E$2:$E$1048576)</f>
        <v>2426014</v>
      </c>
      <c r="Y15" s="248">
        <f>+V15-W15-X15</f>
        <v>0</v>
      </c>
      <c r="Z15" s="202">
        <f>Table4[[#This Row],[PO Line Total]]-Table4[[#This Row],[Work Complete]]</f>
        <v>0</v>
      </c>
    </row>
    <row r="16" spans="1:29" ht="26.4" x14ac:dyDescent="0.25">
      <c r="A16" s="105">
        <v>7</v>
      </c>
      <c r="B16" s="105">
        <v>6</v>
      </c>
      <c r="C16" s="168" t="s">
        <v>206</v>
      </c>
      <c r="D16" s="59">
        <v>43125</v>
      </c>
      <c r="E16" s="52">
        <v>0</v>
      </c>
      <c r="F16" s="83"/>
      <c r="G16" s="83"/>
      <c r="H16" s="92"/>
      <c r="I16" s="83"/>
      <c r="J16" s="83"/>
      <c r="K16" s="83"/>
      <c r="L16" s="83"/>
      <c r="M16" s="83"/>
      <c r="N16" s="141"/>
      <c r="O16" s="141"/>
      <c r="P16" s="141"/>
      <c r="Q16" s="141"/>
      <c r="R16" s="141"/>
      <c r="S16" s="141"/>
      <c r="T16" s="235">
        <f>Table4[[#This Row],[Work Complete]]/Table4[[#This Row],[PO Line Total]]</f>
        <v>1</v>
      </c>
      <c r="U16" s="154">
        <v>741988</v>
      </c>
      <c r="V16" s="154">
        <v>741988</v>
      </c>
      <c r="W16" s="149">
        <f t="shared" si="2"/>
        <v>24406</v>
      </c>
      <c r="X16" s="149">
        <v>717582</v>
      </c>
      <c r="Y16" s="58">
        <v>0</v>
      </c>
      <c r="Z16" s="202">
        <f>Table4[[#This Row],[PO Line Total]]-Table4[[#This Row],[Work Complete]]</f>
        <v>0</v>
      </c>
      <c r="AA16" s="232">
        <f>Table4[[#This Row],[Work Complete]]/Table4[[#This Row],[PO Line Total]]</f>
        <v>1</v>
      </c>
    </row>
    <row r="17" spans="1:29" ht="26.4" x14ac:dyDescent="0.25">
      <c r="A17" s="203">
        <v>5</v>
      </c>
      <c r="B17" s="203">
        <v>7</v>
      </c>
      <c r="C17" s="204" t="s">
        <v>76</v>
      </c>
      <c r="D17" s="205">
        <v>43507</v>
      </c>
      <c r="E17" s="206">
        <v>0</v>
      </c>
      <c r="F17" s="207"/>
      <c r="G17" s="207"/>
      <c r="H17" s="208"/>
      <c r="I17" s="207"/>
      <c r="J17" s="207"/>
      <c r="K17" s="207"/>
      <c r="L17" s="207"/>
      <c r="M17" s="207"/>
      <c r="N17" s="209"/>
      <c r="O17" s="209"/>
      <c r="P17" s="209"/>
      <c r="Q17" s="209">
        <v>40816</v>
      </c>
      <c r="R17" s="209"/>
      <c r="S17" s="209"/>
      <c r="T17" s="210">
        <f t="shared" si="0"/>
        <v>1</v>
      </c>
      <c r="U17" s="211">
        <v>40816</v>
      </c>
      <c r="V17" s="212">
        <f t="shared" si="1"/>
        <v>40816</v>
      </c>
      <c r="W17" s="213">
        <f t="shared" si="2"/>
        <v>0</v>
      </c>
      <c r="X17" s="213">
        <v>40816</v>
      </c>
      <c r="Y17" s="248">
        <f>+V17-W17-X17</f>
        <v>0</v>
      </c>
      <c r="Z17" s="202">
        <f>Table4[[#This Row],[PO Line Total]]-Table4[[#This Row],[Work Complete]]</f>
        <v>0</v>
      </c>
      <c r="AA17" s="232">
        <f>Table4[[#This Row],[Work Complete]]/Table4[[#This Row],[PO Line Total]]</f>
        <v>1</v>
      </c>
    </row>
    <row r="18" spans="1:29" ht="26.4" x14ac:dyDescent="0.25">
      <c r="A18" s="203">
        <v>5</v>
      </c>
      <c r="B18" s="203">
        <v>8</v>
      </c>
      <c r="C18" s="204" t="s">
        <v>77</v>
      </c>
      <c r="D18" s="205">
        <v>43507</v>
      </c>
      <c r="E18" s="206">
        <v>0</v>
      </c>
      <c r="F18" s="207"/>
      <c r="G18" s="207"/>
      <c r="H18" s="208"/>
      <c r="I18" s="207"/>
      <c r="J18" s="207"/>
      <c r="K18" s="207"/>
      <c r="L18" s="207"/>
      <c r="M18" s="207"/>
      <c r="N18" s="209"/>
      <c r="O18" s="209"/>
      <c r="P18" s="209"/>
      <c r="Q18" s="209">
        <v>5544</v>
      </c>
      <c r="R18" s="209"/>
      <c r="S18" s="209"/>
      <c r="T18" s="210">
        <f t="shared" si="0"/>
        <v>1</v>
      </c>
      <c r="U18" s="211">
        <v>5544</v>
      </c>
      <c r="V18" s="212">
        <f t="shared" si="1"/>
        <v>5544</v>
      </c>
      <c r="W18" s="213">
        <f t="shared" si="2"/>
        <v>0</v>
      </c>
      <c r="X18" s="213">
        <v>5544</v>
      </c>
      <c r="Y18" s="248">
        <f>+V18-W18-X18</f>
        <v>0</v>
      </c>
      <c r="Z18" s="202">
        <f>Table4[[#This Row],[PO Line Total]]-Table4[[#This Row],[Work Complete]]</f>
        <v>0</v>
      </c>
      <c r="AA18" s="232">
        <f>Table4[[#This Row],[Work Complete]]/Table4[[#This Row],[PO Line Total]]</f>
        <v>1</v>
      </c>
    </row>
    <row r="19" spans="1:29" s="249" customFormat="1" ht="26.4" x14ac:dyDescent="0.25">
      <c r="A19" s="203">
        <v>7</v>
      </c>
      <c r="B19" s="203">
        <v>9</v>
      </c>
      <c r="C19" s="247" t="s">
        <v>159</v>
      </c>
      <c r="D19" s="205">
        <v>43507</v>
      </c>
      <c r="E19" s="206"/>
      <c r="F19" s="207"/>
      <c r="G19" s="207"/>
      <c r="H19" s="208"/>
      <c r="I19" s="207"/>
      <c r="J19" s="207"/>
      <c r="K19" s="207"/>
      <c r="L19" s="207"/>
      <c r="M19" s="207"/>
      <c r="N19" s="207"/>
      <c r="O19" s="207"/>
      <c r="P19" s="207"/>
      <c r="Q19" s="207"/>
      <c r="R19" s="207"/>
      <c r="S19" s="207"/>
      <c r="T19" s="210">
        <v>1</v>
      </c>
      <c r="U19" s="250">
        <v>8572</v>
      </c>
      <c r="V19" s="250">
        <f t="shared" si="1"/>
        <v>8572</v>
      </c>
      <c r="W19" s="213">
        <f t="shared" si="2"/>
        <v>0</v>
      </c>
      <c r="X19" s="250">
        <v>8572</v>
      </c>
      <c r="Y19" s="251"/>
      <c r="Z19" s="244">
        <f>Table4[[#This Row],[PO Line Total]]-Table4[[#This Row],[Work Complete]]</f>
        <v>0</v>
      </c>
      <c r="AA19" s="245">
        <f>Table4[[#This Row],[Work Complete]]/Table4[[#This Row],[PO Line Total]]</f>
        <v>1</v>
      </c>
    </row>
    <row r="20" spans="1:29" s="249" customFormat="1" ht="26.4" x14ac:dyDescent="0.25">
      <c r="A20" s="203">
        <v>7</v>
      </c>
      <c r="B20" s="203">
        <v>10</v>
      </c>
      <c r="C20" s="247" t="s">
        <v>160</v>
      </c>
      <c r="D20" s="205">
        <v>43507</v>
      </c>
      <c r="E20" s="206"/>
      <c r="F20" s="207"/>
      <c r="G20" s="207"/>
      <c r="H20" s="208"/>
      <c r="I20" s="207"/>
      <c r="J20" s="207"/>
      <c r="K20" s="207"/>
      <c r="L20" s="207"/>
      <c r="M20" s="207"/>
      <c r="N20" s="207"/>
      <c r="O20" s="207"/>
      <c r="P20" s="207"/>
      <c r="Q20" s="207"/>
      <c r="R20" s="207"/>
      <c r="S20" s="207"/>
      <c r="T20" s="210">
        <v>1</v>
      </c>
      <c r="U20" s="211">
        <v>11962</v>
      </c>
      <c r="V20" s="211">
        <f t="shared" si="1"/>
        <v>11962</v>
      </c>
      <c r="W20" s="213">
        <f t="shared" si="2"/>
        <v>0</v>
      </c>
      <c r="X20" s="213">
        <v>11962</v>
      </c>
      <c r="Y20" s="248"/>
      <c r="Z20" s="244">
        <f>Table4[[#This Row],[PO Line Total]]-Table4[[#This Row],[Work Complete]]</f>
        <v>0</v>
      </c>
      <c r="AA20" s="245">
        <f>Table4[[#This Row],[Work Complete]]/Table4[[#This Row],[PO Line Total]]</f>
        <v>1</v>
      </c>
    </row>
    <row r="21" spans="1:29" s="249" customFormat="1" ht="26.4" x14ac:dyDescent="0.25">
      <c r="A21" s="203">
        <v>7</v>
      </c>
      <c r="B21" s="203">
        <v>11</v>
      </c>
      <c r="C21" s="247" t="s">
        <v>161</v>
      </c>
      <c r="D21" s="205">
        <v>43507</v>
      </c>
      <c r="E21" s="206"/>
      <c r="F21" s="207"/>
      <c r="G21" s="207"/>
      <c r="H21" s="208"/>
      <c r="I21" s="207"/>
      <c r="J21" s="207"/>
      <c r="K21" s="207"/>
      <c r="L21" s="207"/>
      <c r="M21" s="207"/>
      <c r="N21" s="207"/>
      <c r="O21" s="207"/>
      <c r="P21" s="207"/>
      <c r="Q21" s="207"/>
      <c r="R21" s="207"/>
      <c r="S21" s="207"/>
      <c r="T21" s="210">
        <v>1</v>
      </c>
      <c r="U21" s="211">
        <v>57670</v>
      </c>
      <c r="V21" s="211">
        <f t="shared" si="1"/>
        <v>57670</v>
      </c>
      <c r="W21" s="213">
        <f t="shared" si="2"/>
        <v>0</v>
      </c>
      <c r="X21" s="213">
        <v>57670</v>
      </c>
      <c r="Y21" s="248"/>
      <c r="Z21" s="244">
        <f>Table4[[#This Row],[PO Line Total]]-Table4[[#This Row],[Work Complete]]</f>
        <v>0</v>
      </c>
      <c r="AA21" s="245">
        <f>Table4[[#This Row],[Work Complete]]/Table4[[#This Row],[PO Line Total]]</f>
        <v>1</v>
      </c>
    </row>
    <row r="22" spans="1:29" s="249" customFormat="1" ht="26.4" x14ac:dyDescent="0.25">
      <c r="A22" s="203">
        <v>7</v>
      </c>
      <c r="B22" s="203">
        <v>12</v>
      </c>
      <c r="C22" s="247" t="s">
        <v>162</v>
      </c>
      <c r="D22" s="205">
        <v>43507</v>
      </c>
      <c r="E22" s="206"/>
      <c r="F22" s="207"/>
      <c r="G22" s="207"/>
      <c r="H22" s="208"/>
      <c r="I22" s="207"/>
      <c r="J22" s="207"/>
      <c r="K22" s="207"/>
      <c r="L22" s="207"/>
      <c r="M22" s="207"/>
      <c r="N22" s="207"/>
      <c r="O22" s="207"/>
      <c r="P22" s="207"/>
      <c r="Q22" s="207"/>
      <c r="R22" s="207"/>
      <c r="S22" s="207"/>
      <c r="T22" s="210">
        <v>1</v>
      </c>
      <c r="U22" s="211">
        <v>57670</v>
      </c>
      <c r="V22" s="211">
        <f t="shared" si="1"/>
        <v>57670</v>
      </c>
      <c r="W22" s="213">
        <f t="shared" si="2"/>
        <v>0</v>
      </c>
      <c r="X22" s="213">
        <v>57670</v>
      </c>
      <c r="Y22" s="248"/>
      <c r="Z22" s="244">
        <f>Table4[[#This Row],[PO Line Total]]-Table4[[#This Row],[Work Complete]]</f>
        <v>0</v>
      </c>
      <c r="AA22" s="245">
        <f>Table4[[#This Row],[Work Complete]]/Table4[[#This Row],[PO Line Total]]</f>
        <v>1</v>
      </c>
    </row>
    <row r="23" spans="1:29" ht="27.6" customHeight="1" x14ac:dyDescent="0.25">
      <c r="A23" s="203">
        <v>6</v>
      </c>
      <c r="B23" s="203">
        <v>13</v>
      </c>
      <c r="C23" s="214" t="s">
        <v>168</v>
      </c>
      <c r="D23" s="205">
        <v>42972</v>
      </c>
      <c r="E23" s="206">
        <v>0</v>
      </c>
      <c r="F23" s="207"/>
      <c r="G23" s="207"/>
      <c r="H23" s="208"/>
      <c r="I23" s="207"/>
      <c r="J23" s="207"/>
      <c r="K23" s="207"/>
      <c r="L23" s="207"/>
      <c r="M23" s="207"/>
      <c r="N23" s="209">
        <f>930950*0.5</f>
        <v>465475</v>
      </c>
      <c r="O23" s="209"/>
      <c r="P23" s="209"/>
      <c r="Q23" s="209"/>
      <c r="R23" s="209"/>
      <c r="S23" s="209"/>
      <c r="T23" s="210">
        <f>IF(D23&gt;0,SUM(F23:S23)/U23+E23,0)</f>
        <v>1</v>
      </c>
      <c r="U23" s="211">
        <v>465475</v>
      </c>
      <c r="V23" s="211">
        <f t="shared" si="1"/>
        <v>465475</v>
      </c>
      <c r="W23" s="213">
        <f t="shared" si="2"/>
        <v>0</v>
      </c>
      <c r="X23" s="213">
        <v>465475</v>
      </c>
      <c r="Y23" s="248">
        <f>+V23-W23-X23</f>
        <v>0</v>
      </c>
      <c r="Z23" s="202">
        <f>Table4[[#This Row],[PO Line Total]]-Table4[[#This Row],[Work Complete]]</f>
        <v>0</v>
      </c>
      <c r="AA23" s="232">
        <f>Table4[[#This Row],[Work Complete]]/Table4[[#This Row],[PO Line Total]]</f>
        <v>1</v>
      </c>
    </row>
    <row r="24" spans="1:29" s="249" customFormat="1" ht="26.4" x14ac:dyDescent="0.25">
      <c r="A24" s="203">
        <v>7</v>
      </c>
      <c r="B24" s="203">
        <v>14</v>
      </c>
      <c r="C24" s="247" t="s">
        <v>163</v>
      </c>
      <c r="D24" s="205">
        <v>43507</v>
      </c>
      <c r="E24" s="206"/>
      <c r="F24" s="207"/>
      <c r="G24" s="207"/>
      <c r="H24" s="208"/>
      <c r="I24" s="207"/>
      <c r="J24" s="207"/>
      <c r="K24" s="207"/>
      <c r="L24" s="207"/>
      <c r="M24" s="207"/>
      <c r="N24" s="207"/>
      <c r="O24" s="207"/>
      <c r="P24" s="207"/>
      <c r="Q24" s="207"/>
      <c r="R24" s="207"/>
      <c r="S24" s="207"/>
      <c r="T24" s="210">
        <v>1</v>
      </c>
      <c r="U24" s="211">
        <v>33433</v>
      </c>
      <c r="V24" s="211">
        <f t="shared" si="1"/>
        <v>33433</v>
      </c>
      <c r="W24" s="213">
        <f t="shared" si="2"/>
        <v>0</v>
      </c>
      <c r="X24" s="213">
        <v>33433</v>
      </c>
      <c r="Y24" s="248">
        <f t="shared" ref="Y24:Y26" si="3">+V24-W24-X24</f>
        <v>0</v>
      </c>
      <c r="Z24" s="244">
        <f>Table4[[#This Row],[PO Line Total]]-Table4[[#This Row],[Work Complete]]</f>
        <v>0</v>
      </c>
      <c r="AA24" s="245">
        <f>Table4[[#This Row],[Work Complete]]/Table4[[#This Row],[PO Line Total]]</f>
        <v>1</v>
      </c>
    </row>
    <row r="25" spans="1:29" s="249" customFormat="1" ht="26.4" x14ac:dyDescent="0.25">
      <c r="A25" s="203">
        <v>7</v>
      </c>
      <c r="B25" s="203">
        <v>15</v>
      </c>
      <c r="C25" s="247" t="s">
        <v>157</v>
      </c>
      <c r="D25" s="205">
        <v>43507</v>
      </c>
      <c r="E25" s="206">
        <v>0</v>
      </c>
      <c r="F25" s="207"/>
      <c r="G25" s="207"/>
      <c r="H25" s="208"/>
      <c r="I25" s="207"/>
      <c r="J25" s="207"/>
      <c r="K25" s="207"/>
      <c r="L25" s="207"/>
      <c r="M25" s="207"/>
      <c r="N25" s="207"/>
      <c r="O25" s="207"/>
      <c r="P25" s="207"/>
      <c r="Q25" s="207"/>
      <c r="R25" s="207"/>
      <c r="S25" s="207"/>
      <c r="T25" s="210">
        <v>1</v>
      </c>
      <c r="U25" s="211">
        <v>14935</v>
      </c>
      <c r="V25" s="211">
        <f t="shared" si="1"/>
        <v>14935</v>
      </c>
      <c r="W25" s="213">
        <f t="shared" si="2"/>
        <v>0</v>
      </c>
      <c r="X25" s="213">
        <v>14935</v>
      </c>
      <c r="Y25" s="248">
        <f t="shared" si="3"/>
        <v>0</v>
      </c>
      <c r="Z25" s="244">
        <f>Table4[[#This Row],[PO Line Total]]-Table4[[#This Row],[Work Complete]]</f>
        <v>0</v>
      </c>
      <c r="AA25" s="245">
        <f>Table4[[#This Row],[Work Complete]]/Table4[[#This Row],[PO Line Total]]</f>
        <v>1</v>
      </c>
    </row>
    <row r="26" spans="1:29" ht="39.6" x14ac:dyDescent="0.25">
      <c r="A26" s="105">
        <v>12</v>
      </c>
      <c r="B26" s="181">
        <v>16</v>
      </c>
      <c r="C26" s="182" t="s">
        <v>189</v>
      </c>
      <c r="D26" s="59">
        <v>43174</v>
      </c>
      <c r="E26" s="52"/>
      <c r="F26" s="83"/>
      <c r="G26" s="83"/>
      <c r="H26" s="92"/>
      <c r="I26" s="83"/>
      <c r="J26" s="83"/>
      <c r="K26" s="83"/>
      <c r="L26" s="83"/>
      <c r="M26" s="83"/>
      <c r="N26" s="83"/>
      <c r="O26" s="83"/>
      <c r="P26" s="83"/>
      <c r="Q26" s="83"/>
      <c r="R26" s="83"/>
      <c r="S26" s="83"/>
      <c r="T26" s="258">
        <f>Table4[[#This Row],[Work Complete]]/Table4[[#This Row],[PO Line Total]]</f>
        <v>1</v>
      </c>
      <c r="U26" s="259">
        <v>465475</v>
      </c>
      <c r="V26" s="259">
        <v>465475</v>
      </c>
      <c r="W26" s="260">
        <f t="shared" si="2"/>
        <v>465475</v>
      </c>
      <c r="X26" s="161">
        <f>SUMIF(Invoices!$C$2:$C$1048576,' Accting USE Data Entry Form'!$C$11:$C$43,Invoices!$E$2:$E$1048576)</f>
        <v>0</v>
      </c>
      <c r="Y26" s="162">
        <f t="shared" si="3"/>
        <v>0</v>
      </c>
      <c r="Z26" s="202">
        <f>Table4[[#This Row],[PO Line Total]]-Table4[[#This Row],[Work Complete]]</f>
        <v>0</v>
      </c>
      <c r="AA26" s="232">
        <f>Table4[[#This Row],[Work Complete]]/Table4[[#This Row],[PO Line Total]]</f>
        <v>1</v>
      </c>
    </row>
    <row r="27" spans="1:29" ht="26.4" x14ac:dyDescent="0.25">
      <c r="A27" s="105">
        <v>9</v>
      </c>
      <c r="B27" s="105">
        <v>17</v>
      </c>
      <c r="C27" s="57" t="s">
        <v>207</v>
      </c>
      <c r="D27" s="59">
        <v>43213</v>
      </c>
      <c r="E27" s="52">
        <v>0</v>
      </c>
      <c r="F27" s="83"/>
      <c r="G27" s="83"/>
      <c r="H27" s="92"/>
      <c r="I27" s="83"/>
      <c r="J27" s="83"/>
      <c r="K27" s="83"/>
      <c r="L27" s="83"/>
      <c r="M27" s="83"/>
      <c r="N27" s="141"/>
      <c r="O27" s="141"/>
      <c r="P27" s="141"/>
      <c r="Q27" s="141"/>
      <c r="R27" s="141"/>
      <c r="S27" s="141"/>
      <c r="T27" s="233">
        <f>Table4[[#This Row],[Work Complete]]/Table4[[#This Row],[PO Line Total]]</f>
        <v>0.70999935308926831</v>
      </c>
      <c r="U27" s="197">
        <v>741988</v>
      </c>
      <c r="V27" s="197">
        <v>526811</v>
      </c>
      <c r="W27" s="199">
        <f t="shared" si="2"/>
        <v>15142</v>
      </c>
      <c r="X27" s="199">
        <v>511669</v>
      </c>
      <c r="Y27" s="201">
        <f t="shared" ref="Y27:Y43" si="4">+V27-W27-X27</f>
        <v>0</v>
      </c>
      <c r="Z27" s="202">
        <f>Table4[[#This Row],[PO Line Total]]-Table4[[#This Row],[Work Complete]]</f>
        <v>215177</v>
      </c>
      <c r="AA27" s="232">
        <f>Table4[[#This Row],[Work Complete]]/Table4[[#This Row],[PO Line Total]]</f>
        <v>0.70999935308926831</v>
      </c>
      <c r="AB27">
        <v>526811</v>
      </c>
      <c r="AC27">
        <f>Table4[[#This Row],[Work Complete]]-Table4[[#This Row],[Column1]]</f>
        <v>0</v>
      </c>
    </row>
    <row r="28" spans="1:29" ht="26.4" x14ac:dyDescent="0.25">
      <c r="A28" s="105">
        <v>7</v>
      </c>
      <c r="B28" s="105">
        <v>18</v>
      </c>
      <c r="C28" s="57" t="s">
        <v>208</v>
      </c>
      <c r="D28" s="59">
        <v>43125</v>
      </c>
      <c r="E28" s="52">
        <v>0</v>
      </c>
      <c r="F28" s="83"/>
      <c r="G28" s="83"/>
      <c r="H28" s="92"/>
      <c r="I28" s="83"/>
      <c r="J28" s="83"/>
      <c r="K28" s="83"/>
      <c r="L28" s="83"/>
      <c r="M28" s="83"/>
      <c r="N28" s="141"/>
      <c r="O28" s="141"/>
      <c r="P28" s="141"/>
      <c r="Q28" s="141"/>
      <c r="R28" s="141"/>
      <c r="S28" s="141"/>
      <c r="T28" s="234">
        <f>Table4[[#This Row],[Work Complete]]/Table4[[#This Row],[PO Line Total]]</f>
        <v>0.2289649763486189</v>
      </c>
      <c r="U28" s="197">
        <v>122403</v>
      </c>
      <c r="V28" s="197">
        <v>28026</v>
      </c>
      <c r="W28" s="199">
        <f t="shared" si="2"/>
        <v>28026</v>
      </c>
      <c r="X28" s="199">
        <f>SUMIF(Invoices!$C$2:$C$1048576,' Accting USE Data Entry Form'!$C$11:$C$43,Invoices!$E$2:$E$1048576)</f>
        <v>0</v>
      </c>
      <c r="Y28" s="201">
        <f t="shared" si="4"/>
        <v>0</v>
      </c>
      <c r="Z28" s="202">
        <f>Table4[[#This Row],[PO Line Total]]-Table4[[#This Row],[Work Complete]]</f>
        <v>94377</v>
      </c>
      <c r="AA28" s="232">
        <f>Table4[[#This Row],[Work Complete]]/Table4[[#This Row],[PO Line Total]]</f>
        <v>0.2289649763486189</v>
      </c>
    </row>
    <row r="29" spans="1:29" ht="26.4" x14ac:dyDescent="0.25">
      <c r="A29" s="105">
        <v>8</v>
      </c>
      <c r="B29" s="105">
        <v>19</v>
      </c>
      <c r="C29" s="57" t="s">
        <v>209</v>
      </c>
      <c r="D29" s="59">
        <v>43146</v>
      </c>
      <c r="E29" s="83">
        <v>0</v>
      </c>
      <c r="F29" s="83"/>
      <c r="G29" s="83"/>
      <c r="H29" s="92"/>
      <c r="I29" s="83"/>
      <c r="J29" s="83"/>
      <c r="K29" s="83"/>
      <c r="L29" s="83"/>
      <c r="M29" s="83"/>
      <c r="N29" s="141"/>
      <c r="O29" s="141"/>
      <c r="P29" s="141"/>
      <c r="Q29" s="141"/>
      <c r="R29" s="141"/>
      <c r="S29" s="141"/>
      <c r="T29" s="93">
        <f t="shared" ref="T29:T43" si="5">IF(D29&gt;0,SUM(F29:K29)/U29+E29,0)</f>
        <v>0</v>
      </c>
      <c r="U29" s="197">
        <v>232737</v>
      </c>
      <c r="V29" s="197">
        <f t="shared" si="1"/>
        <v>0</v>
      </c>
      <c r="W29" s="199">
        <f t="shared" si="2"/>
        <v>0</v>
      </c>
      <c r="X29" s="199">
        <f>SUMIF(Invoices!$C$2:$C$1048576,' Accting USE Data Entry Form'!$C$11:$C$43,Invoices!$E$2:$E$1048576)</f>
        <v>0</v>
      </c>
      <c r="Y29" s="201">
        <f t="shared" si="4"/>
        <v>0</v>
      </c>
      <c r="Z29" s="202">
        <f>Table4[[#This Row],[PO Line Total]]-Table4[[#This Row],[Work Complete]]</f>
        <v>232737</v>
      </c>
      <c r="AA29" s="232">
        <f>Table4[[#This Row],[Work Complete]]/Table4[[#This Row],[PO Line Total]]</f>
        <v>0</v>
      </c>
    </row>
    <row r="30" spans="1:29" s="246" customFormat="1" ht="26.4" x14ac:dyDescent="0.25">
      <c r="A30" s="239">
        <v>9</v>
      </c>
      <c r="B30" s="239">
        <v>20</v>
      </c>
      <c r="C30" s="240" t="s">
        <v>210</v>
      </c>
      <c r="D30" s="205">
        <v>43213</v>
      </c>
      <c r="E30" s="207">
        <v>0</v>
      </c>
      <c r="F30" s="207"/>
      <c r="G30" s="207"/>
      <c r="H30" s="208"/>
      <c r="I30" s="207"/>
      <c r="J30" s="207"/>
      <c r="K30" s="207"/>
      <c r="L30" s="207"/>
      <c r="M30" s="207"/>
      <c r="N30" s="209"/>
      <c r="O30" s="209"/>
      <c r="P30" s="209"/>
      <c r="Q30" s="209"/>
      <c r="R30" s="209"/>
      <c r="S30" s="209"/>
      <c r="T30" s="210">
        <v>1</v>
      </c>
      <c r="U30" s="241">
        <v>975</v>
      </c>
      <c r="V30" s="241">
        <f t="shared" si="1"/>
        <v>975</v>
      </c>
      <c r="W30" s="242">
        <f t="shared" si="2"/>
        <v>0</v>
      </c>
      <c r="X30" s="242">
        <v>975</v>
      </c>
      <c r="Y30" s="243">
        <f t="shared" si="4"/>
        <v>0</v>
      </c>
      <c r="Z30" s="244">
        <f>Table4[[#This Row],[PO Line Total]]-Table4[[#This Row],[Work Complete]]</f>
        <v>0</v>
      </c>
      <c r="AA30" s="245">
        <f>Table4[[#This Row],[Work Complete]]/Table4[[#This Row],[PO Line Total]]</f>
        <v>1</v>
      </c>
    </row>
    <row r="31" spans="1:29" ht="26.4" x14ac:dyDescent="0.25">
      <c r="A31" s="157">
        <v>10</v>
      </c>
      <c r="B31" s="157">
        <v>21</v>
      </c>
      <c r="C31" s="217" t="s">
        <v>211</v>
      </c>
      <c r="D31" s="59">
        <v>43227</v>
      </c>
      <c r="E31" s="83">
        <v>0</v>
      </c>
      <c r="F31" s="83"/>
      <c r="G31" s="83"/>
      <c r="H31" s="92"/>
      <c r="I31" s="83"/>
      <c r="J31" s="83"/>
      <c r="K31" s="83"/>
      <c r="L31" s="83"/>
      <c r="M31" s="83"/>
      <c r="N31" s="141"/>
      <c r="O31" s="141"/>
      <c r="P31" s="141"/>
      <c r="Q31" s="141"/>
      <c r="R31" s="141"/>
      <c r="S31" s="141"/>
      <c r="T31" s="93">
        <f t="shared" si="5"/>
        <v>0</v>
      </c>
      <c r="U31" s="197">
        <v>232738</v>
      </c>
      <c r="V31" s="197">
        <f t="shared" si="1"/>
        <v>0</v>
      </c>
      <c r="W31" s="199">
        <f t="shared" si="2"/>
        <v>0</v>
      </c>
      <c r="X31" s="199">
        <f>SUMIF(Invoices!$C$2:$C$1048576,' Accting USE Data Entry Form'!$C$11:$C$43,Invoices!$E$2:$E$1048576)</f>
        <v>0</v>
      </c>
      <c r="Y31" s="201">
        <f t="shared" si="4"/>
        <v>0</v>
      </c>
      <c r="Z31" s="202">
        <f>Table4[[#This Row],[PO Line Total]]-Table4[[#This Row],[Work Complete]]</f>
        <v>232738</v>
      </c>
      <c r="AA31" s="232">
        <f>Table4[[#This Row],[Work Complete]]/Table4[[#This Row],[PO Line Total]]</f>
        <v>0</v>
      </c>
    </row>
    <row r="32" spans="1:29" ht="26.4" x14ac:dyDescent="0.25">
      <c r="A32" s="105">
        <v>11</v>
      </c>
      <c r="B32" s="157">
        <v>22</v>
      </c>
      <c r="C32" s="169" t="s">
        <v>217</v>
      </c>
      <c r="D32" s="218">
        <v>43313</v>
      </c>
      <c r="E32" s="219"/>
      <c r="F32" s="220"/>
      <c r="G32" s="220"/>
      <c r="H32" s="221"/>
      <c r="I32" s="220"/>
      <c r="J32" s="220"/>
      <c r="K32" s="220"/>
      <c r="L32" s="220"/>
      <c r="M32" s="220"/>
      <c r="N32" s="220"/>
      <c r="O32" s="220"/>
      <c r="P32" s="220"/>
      <c r="Q32" s="220"/>
      <c r="R32" s="220"/>
      <c r="S32" s="220"/>
      <c r="T32" s="93">
        <f t="shared" si="5"/>
        <v>0</v>
      </c>
      <c r="U32" s="197">
        <v>465475</v>
      </c>
      <c r="V32" s="197">
        <f t="shared" si="1"/>
        <v>0</v>
      </c>
      <c r="W32" s="199">
        <f t="shared" si="2"/>
        <v>0</v>
      </c>
      <c r="X32" s="149">
        <f>SUMIF(Invoices!$C$2:$C$1048576,' Accting USE Data Entry Form'!$C$11:$C$43,Invoices!$E$2:$E$1048576)</f>
        <v>0</v>
      </c>
      <c r="Y32" s="201">
        <f t="shared" si="4"/>
        <v>0</v>
      </c>
      <c r="Z32" s="202">
        <f>Table4[[#This Row],[PO Line Total]]-Table4[[#This Row],[Work Complete]]</f>
        <v>465475</v>
      </c>
      <c r="AA32" s="232">
        <f>Table4[[#This Row],[Work Complete]]/Table4[[#This Row],[PO Line Total]]</f>
        <v>0</v>
      </c>
    </row>
    <row r="33" spans="1:29" ht="26.4" x14ac:dyDescent="0.25">
      <c r="A33" s="105">
        <v>13</v>
      </c>
      <c r="B33" s="157">
        <v>23</v>
      </c>
      <c r="C33" s="169" t="s">
        <v>212</v>
      </c>
      <c r="D33" s="218">
        <v>43216</v>
      </c>
      <c r="E33" s="219"/>
      <c r="F33" s="220"/>
      <c r="G33" s="220"/>
      <c r="H33" s="221"/>
      <c r="I33" s="220"/>
      <c r="J33" s="220"/>
      <c r="K33" s="220"/>
      <c r="L33" s="220"/>
      <c r="M33" s="220"/>
      <c r="N33" s="220"/>
      <c r="O33" s="220"/>
      <c r="P33" s="220"/>
      <c r="Q33" s="220"/>
      <c r="R33" s="220"/>
      <c r="S33" s="220"/>
      <c r="T33" s="262">
        <f>Table4[[#This Row],[Work Complete]]/Table4[[#This Row],[PO Line Total]]</f>
        <v>0.27</v>
      </c>
      <c r="U33" s="197">
        <v>863174</v>
      </c>
      <c r="V33" s="197">
        <v>233056.98</v>
      </c>
      <c r="W33" s="237">
        <f t="shared" si="2"/>
        <v>77685.98000000001</v>
      </c>
      <c r="X33" s="149">
        <v>155371</v>
      </c>
      <c r="Y33" s="201">
        <f t="shared" si="4"/>
        <v>0</v>
      </c>
      <c r="Z33" s="202">
        <f>Table4[[#This Row],[PO Line Total]]-Table4[[#This Row],[Work Complete]]</f>
        <v>630117.02</v>
      </c>
      <c r="AA33" s="234">
        <f>Table4[[#This Row],[Work Complete]]/Table4[[#This Row],[PO Line Total]]</f>
        <v>0.27</v>
      </c>
      <c r="AB33">
        <f>Table4[[#This Row],[PO Line Total]]*27%</f>
        <v>233056.98</v>
      </c>
      <c r="AC33">
        <f>Table4[[#This Row],[Column1]]-Table4[[#This Row],[Work Complete]]</f>
        <v>0</v>
      </c>
    </row>
    <row r="34" spans="1:29" ht="15.6" x14ac:dyDescent="0.25">
      <c r="A34" s="105">
        <v>15</v>
      </c>
      <c r="B34" s="157">
        <v>24</v>
      </c>
      <c r="C34" s="169" t="s">
        <v>213</v>
      </c>
      <c r="D34" s="218">
        <v>43354</v>
      </c>
      <c r="E34" s="219"/>
      <c r="F34" s="220"/>
      <c r="G34" s="220"/>
      <c r="H34" s="221"/>
      <c r="I34" s="220"/>
      <c r="J34" s="220"/>
      <c r="K34" s="220"/>
      <c r="L34" s="220"/>
      <c r="M34" s="220"/>
      <c r="N34" s="220"/>
      <c r="O34" s="220"/>
      <c r="P34" s="220"/>
      <c r="Q34" s="220"/>
      <c r="R34" s="220"/>
      <c r="S34" s="220"/>
      <c r="T34" s="234">
        <f>Table4[[#This Row],[Work Complete]]/Table4[[#This Row],[PO Line Total]]</f>
        <v>0.1</v>
      </c>
      <c r="U34" s="197">
        <v>744760</v>
      </c>
      <c r="V34">
        <f>Table4[[#This Row],[PO Line Total]]*10%</f>
        <v>74476</v>
      </c>
      <c r="W34" s="236">
        <f t="shared" si="2"/>
        <v>37238</v>
      </c>
      <c r="X34" s="149">
        <v>37238</v>
      </c>
      <c r="Y34" s="201">
        <f t="shared" si="4"/>
        <v>0</v>
      </c>
      <c r="Z34" s="202">
        <f>Table4[[#This Row],[PO Line Total]]-Table4[[#This Row],[Work Complete]]</f>
        <v>670284</v>
      </c>
      <c r="AA34" s="232">
        <f>Table4[[#This Row],[Work Complete]]/Table4[[#This Row],[PO Line Total]]</f>
        <v>0.1</v>
      </c>
      <c r="AB34">
        <f>Table4[[#This Row],[PO Line Total]]*10%</f>
        <v>74476</v>
      </c>
      <c r="AC34">
        <f>Table4[[#This Row],[Work Complete]]-Table4[[#This Row],[Column1]]</f>
        <v>0</v>
      </c>
    </row>
    <row r="35" spans="1:29" ht="15.6" x14ac:dyDescent="0.25">
      <c r="A35" s="105">
        <v>14</v>
      </c>
      <c r="B35" s="222" t="s">
        <v>65</v>
      </c>
      <c r="C35" s="169" t="s">
        <v>214</v>
      </c>
      <c r="D35" s="218">
        <v>43231</v>
      </c>
      <c r="E35" s="219"/>
      <c r="F35" s="220"/>
      <c r="G35" s="220"/>
      <c r="H35" s="221"/>
      <c r="I35" s="220"/>
      <c r="J35" s="220"/>
      <c r="K35" s="220"/>
      <c r="L35" s="220"/>
      <c r="M35" s="220"/>
      <c r="N35" s="220"/>
      <c r="O35" s="220"/>
      <c r="P35" s="220"/>
      <c r="Q35" s="220"/>
      <c r="R35" s="220"/>
      <c r="S35" s="220"/>
      <c r="T35" s="93" t="e">
        <f t="shared" si="5"/>
        <v>#DIV/0!</v>
      </c>
      <c r="U35" s="197"/>
      <c r="V35" s="198" t="e">
        <f t="shared" ref="V35:V43" si="6">IF(AA35&gt;0,T35*AA35,0)</f>
        <v>#DIV/0!</v>
      </c>
      <c r="W35" s="199" t="e">
        <f t="shared" si="2"/>
        <v>#DIV/0!</v>
      </c>
      <c r="X35" s="199">
        <f>SUMIF(Invoices!$C$2:$C$1048576,' Accting USE Data Entry Form'!$C$11:$C$43,Invoices!$E$2:$E$1048576)</f>
        <v>0</v>
      </c>
      <c r="Y35" s="201" t="e">
        <f t="shared" si="4"/>
        <v>#DIV/0!</v>
      </c>
      <c r="Z35" s="202" t="e">
        <f>Table4[[#This Row],[PO Line Total]]-Table4[[#This Row],[Work Complete]]</f>
        <v>#DIV/0!</v>
      </c>
      <c r="AA35" s="158">
        <v>232737</v>
      </c>
    </row>
    <row r="36" spans="1:29" ht="15.6" x14ac:dyDescent="0.25">
      <c r="A36" s="105">
        <v>16</v>
      </c>
      <c r="B36" s="222" t="s">
        <v>65</v>
      </c>
      <c r="C36" s="169" t="s">
        <v>215</v>
      </c>
      <c r="D36" s="218">
        <v>43368</v>
      </c>
      <c r="E36" s="219"/>
      <c r="F36" s="220"/>
      <c r="G36" s="220"/>
      <c r="H36" s="221"/>
      <c r="I36" s="220"/>
      <c r="J36" s="220"/>
      <c r="K36" s="220"/>
      <c r="L36" s="220"/>
      <c r="M36" s="220"/>
      <c r="N36" s="220"/>
      <c r="O36" s="220"/>
      <c r="P36" s="220"/>
      <c r="Q36" s="220"/>
      <c r="R36" s="220"/>
      <c r="S36" s="220"/>
      <c r="T36" s="93" t="e">
        <f t="shared" si="5"/>
        <v>#DIV/0!</v>
      </c>
      <c r="U36" s="197"/>
      <c r="V36" s="198" t="e">
        <f t="shared" si="6"/>
        <v>#DIV/0!</v>
      </c>
      <c r="W36" s="199" t="e">
        <f t="shared" si="2"/>
        <v>#DIV/0!</v>
      </c>
      <c r="X36" s="199">
        <f>SUMIF(Invoices!$C$2:$C$1048576,' Accting USE Data Entry Form'!$C$11:$C$43,Invoices!$E$2:$E$1048576)</f>
        <v>0</v>
      </c>
      <c r="Y36" s="201" t="e">
        <f t="shared" si="4"/>
        <v>#DIV/0!</v>
      </c>
      <c r="Z36" s="202" t="e">
        <f>Table4[[#This Row],[PO Line Total]]-Table4[[#This Row],[Work Complete]]</f>
        <v>#DIV/0!</v>
      </c>
      <c r="AA36" s="158">
        <v>232738</v>
      </c>
    </row>
    <row r="37" spans="1:29" ht="15.6" x14ac:dyDescent="0.25">
      <c r="A37" s="105">
        <v>17</v>
      </c>
      <c r="B37" s="222" t="s">
        <v>65</v>
      </c>
      <c r="C37" s="169" t="s">
        <v>216</v>
      </c>
      <c r="D37" s="218">
        <v>43501</v>
      </c>
      <c r="E37" s="219"/>
      <c r="F37" s="220"/>
      <c r="G37" s="220"/>
      <c r="H37" s="221"/>
      <c r="I37" s="220"/>
      <c r="J37" s="220"/>
      <c r="K37" s="220"/>
      <c r="L37" s="220"/>
      <c r="M37" s="220"/>
      <c r="N37" s="220"/>
      <c r="O37" s="220"/>
      <c r="P37" s="220"/>
      <c r="Q37" s="220"/>
      <c r="R37" s="220"/>
      <c r="S37" s="220"/>
      <c r="T37" s="93" t="e">
        <f t="shared" si="5"/>
        <v>#DIV/0!</v>
      </c>
      <c r="U37" s="197"/>
      <c r="V37" s="198" t="e">
        <f t="shared" si="6"/>
        <v>#DIV/0!</v>
      </c>
      <c r="W37" s="199" t="e">
        <f t="shared" si="2"/>
        <v>#DIV/0!</v>
      </c>
      <c r="X37" s="149">
        <f>SUMIF(Invoices!$C$2:$C$1048576,' Accting USE Data Entry Form'!$C$11:$C$43,Invoices!$E$2:$E$1048576)</f>
        <v>0</v>
      </c>
      <c r="Y37" s="201" t="e">
        <f t="shared" si="4"/>
        <v>#DIV/0!</v>
      </c>
      <c r="Z37" s="202" t="e">
        <f>Table4[[#This Row],[PO Line Total]]-Table4[[#This Row],[Work Complete]]</f>
        <v>#DIV/0!</v>
      </c>
      <c r="AA37" s="158">
        <v>465475</v>
      </c>
    </row>
    <row r="38" spans="1:29" ht="26.4" x14ac:dyDescent="0.25">
      <c r="A38" s="157">
        <v>18</v>
      </c>
      <c r="B38" s="157" t="s">
        <v>65</v>
      </c>
      <c r="C38" s="166" t="s">
        <v>74</v>
      </c>
      <c r="D38" s="59">
        <v>43384</v>
      </c>
      <c r="E38" s="83">
        <v>0</v>
      </c>
      <c r="F38" s="83"/>
      <c r="G38" s="83"/>
      <c r="H38" s="92"/>
      <c r="I38" s="83"/>
      <c r="J38" s="83"/>
      <c r="K38" s="83"/>
      <c r="L38" s="83"/>
      <c r="M38" s="83"/>
      <c r="N38" s="141"/>
      <c r="O38" s="141"/>
      <c r="P38" s="141"/>
      <c r="Q38" s="141"/>
      <c r="R38" s="141"/>
      <c r="S38" s="141"/>
      <c r="T38" s="93" t="e">
        <f t="shared" si="5"/>
        <v>#DIV/0!</v>
      </c>
      <c r="U38" s="197"/>
      <c r="V38" s="198" t="e">
        <f t="shared" si="6"/>
        <v>#DIV/0!</v>
      </c>
      <c r="W38" s="199" t="e">
        <f t="shared" si="2"/>
        <v>#DIV/0!</v>
      </c>
      <c r="X38" s="199">
        <f>SUMIF(Invoices!$C$2:$C$1048576,' Accting USE Data Entry Form'!$C$11:$C$43,Invoices!$E$2:$E$1048576)</f>
        <v>0</v>
      </c>
      <c r="Y38" s="201" t="e">
        <f t="shared" si="4"/>
        <v>#DIV/0!</v>
      </c>
      <c r="Z38" s="202" t="e">
        <f>Table4[[#This Row],[PO Line Total]]-Table4[[#This Row],[Work Complete]]</f>
        <v>#DIV/0!</v>
      </c>
      <c r="AA38" s="158">
        <v>930950.4</v>
      </c>
    </row>
    <row r="39" spans="1:29" ht="26.4" x14ac:dyDescent="0.25">
      <c r="A39" s="157">
        <v>19</v>
      </c>
      <c r="B39" s="157" t="s">
        <v>65</v>
      </c>
      <c r="C39" s="166" t="s">
        <v>48</v>
      </c>
      <c r="D39" s="59">
        <v>43476</v>
      </c>
      <c r="E39" s="83">
        <v>0</v>
      </c>
      <c r="F39" s="83"/>
      <c r="G39" s="83"/>
      <c r="H39" s="92"/>
      <c r="I39" s="83"/>
      <c r="J39" s="83"/>
      <c r="K39" s="83"/>
      <c r="L39" s="83"/>
      <c r="M39" s="83"/>
      <c r="N39" s="141"/>
      <c r="O39" s="141"/>
      <c r="P39" s="141"/>
      <c r="Q39" s="141"/>
      <c r="R39" s="141"/>
      <c r="S39" s="141"/>
      <c r="T39" s="93" t="e">
        <f t="shared" si="5"/>
        <v>#DIV/0!</v>
      </c>
      <c r="U39" s="197"/>
      <c r="V39" s="198" t="e">
        <f t="shared" si="6"/>
        <v>#DIV/0!</v>
      </c>
      <c r="W39" s="199" t="e">
        <f t="shared" si="2"/>
        <v>#DIV/0!</v>
      </c>
      <c r="X39" s="199">
        <f>SUMIF(Invoices!$C$2:$C$1048576,' Accting USE Data Entry Form'!$C$11:$C$43,Invoices!$E$2:$E$1048576)</f>
        <v>0</v>
      </c>
      <c r="Y39" s="201" t="e">
        <f t="shared" si="4"/>
        <v>#DIV/0!</v>
      </c>
      <c r="Z39" s="202" t="e">
        <f>Table4[[#This Row],[PO Line Total]]-Table4[[#This Row],[Work Complete]]</f>
        <v>#DIV/0!</v>
      </c>
      <c r="AA39" s="158">
        <v>485319.2</v>
      </c>
    </row>
    <row r="40" spans="1:29" ht="26.4" x14ac:dyDescent="0.25">
      <c r="A40" s="157">
        <v>20</v>
      </c>
      <c r="B40" s="157" t="s">
        <v>65</v>
      </c>
      <c r="C40" s="166" t="s">
        <v>75</v>
      </c>
      <c r="D40" s="59">
        <v>43507</v>
      </c>
      <c r="E40" s="83">
        <v>0</v>
      </c>
      <c r="F40" s="83"/>
      <c r="G40" s="83"/>
      <c r="H40" s="92"/>
      <c r="I40" s="83"/>
      <c r="J40" s="83"/>
      <c r="K40" s="83"/>
      <c r="L40" s="83"/>
      <c r="M40" s="83"/>
      <c r="N40" s="141"/>
      <c r="O40" s="141"/>
      <c r="P40" s="141"/>
      <c r="Q40" s="141"/>
      <c r="R40" s="141"/>
      <c r="S40" s="141"/>
      <c r="T40" s="93" t="e">
        <f t="shared" si="5"/>
        <v>#DIV/0!</v>
      </c>
      <c r="U40" s="197"/>
      <c r="V40" s="198" t="e">
        <f t="shared" si="6"/>
        <v>#DIV/0!</v>
      </c>
      <c r="W40" s="199" t="e">
        <f t="shared" si="2"/>
        <v>#DIV/0!</v>
      </c>
      <c r="X40" s="199">
        <f>SUMIF(Invoices!$C$2:$C$1048576,' Accting USE Data Entry Form'!$C$11:$C$43,Invoices!$E$2:$E$1048576)</f>
        <v>0</v>
      </c>
      <c r="Y40" s="201" t="e">
        <f t="shared" si="4"/>
        <v>#DIV/0!</v>
      </c>
      <c r="Z40" s="202" t="e">
        <f>Table4[[#This Row],[PO Line Total]]-Table4[[#This Row],[Work Complete]]</f>
        <v>#DIV/0!</v>
      </c>
      <c r="AA40" s="158">
        <v>930950.4</v>
      </c>
    </row>
    <row r="41" spans="1:29" ht="15.6" x14ac:dyDescent="0.25">
      <c r="A41" s="105"/>
      <c r="B41" s="105"/>
      <c r="C41" s="105"/>
      <c r="D41" s="180"/>
      <c r="E41" s="83"/>
      <c r="F41" s="83"/>
      <c r="G41" s="83"/>
      <c r="H41" s="92"/>
      <c r="I41" s="83"/>
      <c r="J41" s="83"/>
      <c r="K41" s="83"/>
      <c r="L41" s="83"/>
      <c r="M41" s="83"/>
      <c r="N41" s="83"/>
      <c r="O41" s="83"/>
      <c r="P41" s="83"/>
      <c r="Q41" s="83"/>
      <c r="R41" s="83"/>
      <c r="S41" s="83"/>
      <c r="T41" s="93">
        <f t="shared" si="5"/>
        <v>0</v>
      </c>
      <c r="U41" s="197"/>
      <c r="V41" s="198">
        <f t="shared" si="6"/>
        <v>0</v>
      </c>
      <c r="W41" s="199">
        <f t="shared" si="2"/>
        <v>0</v>
      </c>
      <c r="X41" s="199">
        <f>SUMIF(Invoices!$C$2:$C$1048576,' Accting USE Data Entry Form'!$C$11:$C$43,Invoices!$E$2:$E$1048576)</f>
        <v>0</v>
      </c>
      <c r="Y41" s="201">
        <f t="shared" si="4"/>
        <v>0</v>
      </c>
      <c r="Z41" s="202">
        <f>Table4[[#This Row],[PO Line Total]]-Table4[[#This Row],[Work Complete]]</f>
        <v>0</v>
      </c>
      <c r="AA41" s="2"/>
    </row>
    <row r="42" spans="1:29" ht="15.6" x14ac:dyDescent="0.25">
      <c r="A42" s="105"/>
      <c r="B42" s="105"/>
      <c r="C42" s="105"/>
      <c r="D42" s="180"/>
      <c r="E42" s="83"/>
      <c r="F42" s="83"/>
      <c r="G42" s="83"/>
      <c r="H42" s="92"/>
      <c r="I42" s="83"/>
      <c r="J42" s="83"/>
      <c r="K42" s="83"/>
      <c r="L42" s="83"/>
      <c r="M42" s="83"/>
      <c r="N42" s="83"/>
      <c r="O42" s="83"/>
      <c r="P42" s="83"/>
      <c r="Q42" s="83"/>
      <c r="R42" s="83"/>
      <c r="S42" s="83"/>
      <c r="T42" s="93">
        <f t="shared" si="5"/>
        <v>0</v>
      </c>
      <c r="U42" s="197"/>
      <c r="V42" s="198">
        <f t="shared" si="6"/>
        <v>0</v>
      </c>
      <c r="W42" s="199">
        <f t="shared" si="2"/>
        <v>0</v>
      </c>
      <c r="X42" s="199">
        <f>SUMIF(Invoices!$C$2:$C$1048576,' Accting USE Data Entry Form'!$C$11:$C$43,Invoices!$E$2:$E$1048576)</f>
        <v>0</v>
      </c>
      <c r="Y42" s="201">
        <f t="shared" si="4"/>
        <v>0</v>
      </c>
      <c r="Z42" s="202">
        <f>Table4[[#This Row],[PO Line Total]]-Table4[[#This Row],[Work Complete]]</f>
        <v>0</v>
      </c>
      <c r="AA42" s="2"/>
    </row>
    <row r="43" spans="1:29" ht="15.6" x14ac:dyDescent="0.25">
      <c r="A43" s="105"/>
      <c r="B43" s="105"/>
      <c r="C43" s="105"/>
      <c r="D43" s="180"/>
      <c r="E43" s="83"/>
      <c r="F43" s="83"/>
      <c r="G43" s="83"/>
      <c r="H43" s="92"/>
      <c r="I43" s="83"/>
      <c r="J43" s="83"/>
      <c r="K43" s="83"/>
      <c r="L43" s="83"/>
      <c r="M43" s="83"/>
      <c r="N43" s="83"/>
      <c r="O43" s="83"/>
      <c r="P43" s="83"/>
      <c r="Q43" s="83"/>
      <c r="R43" s="83"/>
      <c r="S43" s="83"/>
      <c r="T43" s="93">
        <f t="shared" si="5"/>
        <v>0</v>
      </c>
      <c r="U43" s="197"/>
      <c r="V43" s="198">
        <f t="shared" si="6"/>
        <v>0</v>
      </c>
      <c r="W43" s="199">
        <f t="shared" si="2"/>
        <v>0</v>
      </c>
      <c r="X43" s="199">
        <f>SUMIF(Invoices!$C$2:$C$1048576,' Accting USE Data Entry Form'!$C$11:$C$43,Invoices!$E$2:$E$1048576)</f>
        <v>0</v>
      </c>
      <c r="Y43" s="201">
        <f t="shared" si="4"/>
        <v>0</v>
      </c>
      <c r="Z43" s="202">
        <f>Table4[[#This Row],[PO Line Total]]-Table4[[#This Row],[Work Complete]]</f>
        <v>0</v>
      </c>
    </row>
    <row r="44" spans="1:29" ht="15.6" x14ac:dyDescent="0.25">
      <c r="A44" s="157"/>
      <c r="B44" s="157"/>
      <c r="C44" s="195"/>
      <c r="D44" s="263"/>
      <c r="E44" s="264"/>
      <c r="F44" s="264"/>
      <c r="G44" s="264"/>
      <c r="H44" s="265"/>
      <c r="I44" s="264"/>
      <c r="J44" s="264"/>
      <c r="K44" s="264"/>
      <c r="L44" s="264"/>
      <c r="M44" s="264"/>
      <c r="N44" s="264"/>
      <c r="O44" s="264"/>
      <c r="P44" s="264"/>
      <c r="Q44" s="264"/>
      <c r="R44" s="264"/>
      <c r="S44" s="264"/>
      <c r="T44" s="266"/>
      <c r="U44" s="267">
        <f>SUM(U11:U43)</f>
        <v>15877424</v>
      </c>
      <c r="V44" s="159" t="e">
        <f>SUBTOTAL(109,Table4[Work Complete])</f>
        <v>#DIV/0!</v>
      </c>
      <c r="W44" s="160" t="e">
        <f>SUBTOTAL(109,Table4[Eligible for Voucher Amt])</f>
        <v>#DIV/0!</v>
      </c>
      <c r="X44" s="161">
        <f>SUBTOTAL(109,Table4[Total Paid])</f>
        <v>12688546</v>
      </c>
      <c r="Y44" s="162" t="e">
        <f>SUBTOTAL(109,Table4[Completed  Work Retention Amt])</f>
        <v>#DIV/0!</v>
      </c>
      <c r="Z44" s="200"/>
      <c r="AA44" s="268">
        <f>SUBTOTAL(109,Table4[Remaining Unfunded (or note)])</f>
        <v>3278183.3089643293</v>
      </c>
      <c r="AB44" s="269"/>
      <c r="AC44" s="269"/>
    </row>
    <row r="45" spans="1:29" ht="15.6" x14ac:dyDescent="0.25">
      <c r="A45" s="163"/>
      <c r="B45" s="163"/>
      <c r="C45" s="47"/>
      <c r="D45" s="164"/>
      <c r="E45" s="82"/>
      <c r="F45" s="82"/>
      <c r="G45" s="82"/>
      <c r="H45" s="103"/>
      <c r="I45" s="82"/>
      <c r="J45" s="82"/>
      <c r="K45" s="82"/>
      <c r="L45" s="82"/>
      <c r="M45" s="82"/>
      <c r="N45" s="82"/>
      <c r="O45" s="82"/>
      <c r="P45" s="82"/>
      <c r="Q45" s="82"/>
      <c r="R45" s="82"/>
      <c r="S45" s="82"/>
      <c r="T45" s="165"/>
      <c r="U45" s="158"/>
      <c r="V45" s="159"/>
      <c r="W45" s="160"/>
      <c r="X45" s="161"/>
      <c r="Y45" s="162"/>
    </row>
    <row r="46" spans="1:29" ht="15.6" x14ac:dyDescent="0.25">
      <c r="A46" s="163"/>
      <c r="B46" s="163"/>
      <c r="C46" s="47"/>
      <c r="D46" s="164"/>
      <c r="E46" s="82"/>
      <c r="F46" s="82"/>
      <c r="G46" s="82"/>
      <c r="H46" s="103"/>
      <c r="I46" s="82"/>
      <c r="J46" s="82"/>
      <c r="K46" s="82"/>
      <c r="L46" s="82"/>
      <c r="M46" s="82"/>
      <c r="N46" s="82"/>
      <c r="O46" s="82"/>
      <c r="P46" s="82"/>
      <c r="Q46" s="82"/>
      <c r="R46" s="82"/>
      <c r="S46" s="82"/>
      <c r="T46" s="165"/>
      <c r="U46" s="158"/>
      <c r="V46" s="159"/>
      <c r="W46" s="160"/>
      <c r="X46" s="161"/>
      <c r="Y46" s="162"/>
      <c r="AA46" s="142">
        <f>Table4[[#Totals],[PO Line Total]]+Table4[[#Totals],[Remaining Unfunded (or note)]]</f>
        <v>19155607.308964331</v>
      </c>
    </row>
    <row r="47" spans="1:29" ht="13.8" thickBot="1" x14ac:dyDescent="0.3">
      <c r="A47" s="45" t="s">
        <v>7</v>
      </c>
      <c r="B47" s="4"/>
      <c r="V47" s="285"/>
      <c r="W47" s="285"/>
      <c r="X47" s="46">
        <f>$X$4</f>
        <v>43159</v>
      </c>
    </row>
    <row r="48" spans="1:29" x14ac:dyDescent="0.25">
      <c r="A48" s="44"/>
      <c r="V48" s="3"/>
      <c r="X48" s="49" t="s">
        <v>3</v>
      </c>
    </row>
    <row r="49" spans="1:24" x14ac:dyDescent="0.25">
      <c r="A49" s="44"/>
      <c r="V49" s="3"/>
      <c r="X49" s="49"/>
    </row>
    <row r="50" spans="1:24" x14ac:dyDescent="0.25">
      <c r="A50" s="45" t="s">
        <v>8</v>
      </c>
      <c r="B50" s="4"/>
      <c r="V50" s="7"/>
      <c r="W50" s="50"/>
      <c r="X50" s="48"/>
    </row>
    <row r="51" spans="1:24" x14ac:dyDescent="0.25">
      <c r="X51" s="49" t="s">
        <v>3</v>
      </c>
    </row>
  </sheetData>
  <sheetProtection selectLockedCells="1"/>
  <mergeCells count="6">
    <mergeCell ref="A1:Y1"/>
    <mergeCell ref="A2:Y2"/>
    <mergeCell ref="V47:W47"/>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7 G47:G49 I47:I49 H47:H49 K47:K49 J47:J49" unlockedFormula="1"/>
  </ignoredErrors>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24" sqref="E24"/>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6" width="17.6640625" style="188" customWidth="1"/>
    <col min="8" max="8" width="12.44140625" bestFit="1" customWidth="1"/>
  </cols>
  <sheetData>
    <row r="1" spans="1:7" x14ac:dyDescent="0.25">
      <c r="A1" s="60" t="s">
        <v>52</v>
      </c>
      <c r="B1" s="60" t="s">
        <v>53</v>
      </c>
      <c r="C1" s="60" t="s">
        <v>38</v>
      </c>
      <c r="D1" s="60" t="s">
        <v>54</v>
      </c>
      <c r="E1" s="60" t="s">
        <v>135</v>
      </c>
      <c r="F1" s="187" t="s">
        <v>55</v>
      </c>
      <c r="G1" s="108" t="s">
        <v>81</v>
      </c>
    </row>
    <row r="2" spans="1:7" x14ac:dyDescent="0.25">
      <c r="A2">
        <v>63449614</v>
      </c>
      <c r="B2" s="80">
        <v>42356</v>
      </c>
      <c r="C2" t="s">
        <v>41</v>
      </c>
      <c r="D2" s="142">
        <v>502100</v>
      </c>
      <c r="E2" s="61">
        <v>502100</v>
      </c>
      <c r="F2" s="192" t="s">
        <v>194</v>
      </c>
      <c r="G2" s="109">
        <v>1</v>
      </c>
    </row>
    <row r="3" spans="1:7" x14ac:dyDescent="0.25">
      <c r="A3">
        <v>64678952</v>
      </c>
      <c r="B3" s="80">
        <v>42496</v>
      </c>
      <c r="C3" t="s">
        <v>49</v>
      </c>
      <c r="D3" s="142">
        <v>4340840</v>
      </c>
      <c r="E3" s="61">
        <v>4340840</v>
      </c>
      <c r="F3" s="191" t="s">
        <v>194</v>
      </c>
      <c r="G3" s="109">
        <v>3</v>
      </c>
    </row>
    <row r="4" spans="1:7" x14ac:dyDescent="0.25">
      <c r="A4">
        <v>64737390</v>
      </c>
      <c r="B4" s="80">
        <v>42508</v>
      </c>
      <c r="C4" t="s">
        <v>42</v>
      </c>
      <c r="D4" s="142">
        <v>502100</v>
      </c>
      <c r="E4" s="61">
        <v>502100</v>
      </c>
      <c r="F4" s="191" t="s">
        <v>194</v>
      </c>
      <c r="G4" s="109">
        <v>2</v>
      </c>
    </row>
    <row r="5" spans="1:7" x14ac:dyDescent="0.25">
      <c r="A5">
        <v>65699321</v>
      </c>
      <c r="B5" s="80">
        <v>42644</v>
      </c>
      <c r="C5" t="s">
        <v>166</v>
      </c>
      <c r="D5" s="142">
        <v>1677756</v>
      </c>
      <c r="E5" s="61">
        <v>1677756</v>
      </c>
      <c r="F5" s="189">
        <v>42669</v>
      </c>
      <c r="G5" s="109">
        <v>4</v>
      </c>
    </row>
    <row r="6" spans="1:7" x14ac:dyDescent="0.25">
      <c r="A6">
        <v>66002927</v>
      </c>
      <c r="B6" s="80">
        <v>42709</v>
      </c>
      <c r="C6" t="s">
        <v>49</v>
      </c>
      <c r="D6" s="142">
        <v>936680</v>
      </c>
      <c r="E6" s="61">
        <v>936680</v>
      </c>
      <c r="F6" s="189">
        <v>42762</v>
      </c>
      <c r="G6" s="109">
        <v>3</v>
      </c>
    </row>
    <row r="7" spans="1:7" x14ac:dyDescent="0.25">
      <c r="A7">
        <v>66210090</v>
      </c>
      <c r="B7" s="80">
        <v>42761</v>
      </c>
      <c r="C7" s="185" t="s">
        <v>166</v>
      </c>
      <c r="D7" s="142">
        <v>184144</v>
      </c>
      <c r="E7" s="61">
        <v>184144</v>
      </c>
      <c r="F7" s="189">
        <v>42916</v>
      </c>
      <c r="G7" s="109">
        <v>4</v>
      </c>
    </row>
    <row r="8" spans="1:7" ht="26.4" x14ac:dyDescent="0.25">
      <c r="A8">
        <v>66311061</v>
      </c>
      <c r="B8" s="80">
        <v>42774</v>
      </c>
      <c r="C8" s="186" t="s">
        <v>165</v>
      </c>
      <c r="D8" s="142">
        <v>2426014</v>
      </c>
      <c r="E8" s="61">
        <v>2426014</v>
      </c>
      <c r="F8" s="189">
        <v>42795</v>
      </c>
      <c r="G8" s="109">
        <v>5</v>
      </c>
    </row>
    <row r="9" spans="1:7" x14ac:dyDescent="0.25">
      <c r="A9">
        <v>67491271</v>
      </c>
      <c r="B9" s="80">
        <v>43032</v>
      </c>
      <c r="C9" t="s">
        <v>168</v>
      </c>
      <c r="D9" s="142">
        <v>465475</v>
      </c>
      <c r="E9" s="61">
        <v>465475</v>
      </c>
      <c r="F9" s="189">
        <v>43034</v>
      </c>
      <c r="G9" s="109">
        <v>13</v>
      </c>
    </row>
    <row r="10" spans="1:7" x14ac:dyDescent="0.25">
      <c r="A10">
        <v>67495210</v>
      </c>
      <c r="B10" s="80">
        <v>43033</v>
      </c>
      <c r="C10" t="s">
        <v>76</v>
      </c>
      <c r="D10" s="142">
        <v>40816</v>
      </c>
      <c r="E10" s="61">
        <v>40816</v>
      </c>
      <c r="F10" s="189">
        <v>43038</v>
      </c>
      <c r="G10" s="109">
        <v>7</v>
      </c>
    </row>
    <row r="11" spans="1:7" x14ac:dyDescent="0.25">
      <c r="A11">
        <v>67495210</v>
      </c>
      <c r="B11" s="80">
        <v>43034</v>
      </c>
      <c r="C11" t="s">
        <v>77</v>
      </c>
      <c r="D11" s="142">
        <v>5544</v>
      </c>
      <c r="E11" s="61">
        <v>5544</v>
      </c>
      <c r="F11" s="189">
        <v>43038</v>
      </c>
      <c r="G11" s="109">
        <v>8</v>
      </c>
    </row>
    <row r="12" spans="1:7" x14ac:dyDescent="0.25">
      <c r="A12">
        <v>67849414</v>
      </c>
      <c r="B12" s="80">
        <v>43115</v>
      </c>
      <c r="D12" s="142"/>
      <c r="E12" s="61"/>
      <c r="F12" s="190"/>
      <c r="G12" s="109"/>
    </row>
    <row r="13" spans="1:7" x14ac:dyDescent="0.25">
      <c r="B13" s="78"/>
      <c r="D13" s="142"/>
      <c r="E13" s="61"/>
      <c r="F13" s="190"/>
      <c r="G13" s="109"/>
    </row>
    <row r="14" spans="1:7" x14ac:dyDescent="0.25">
      <c r="A14" t="s">
        <v>58</v>
      </c>
      <c r="E14" s="91">
        <f>SUBTOTAL(109,Table3[Approved Amount])</f>
        <v>11081469</v>
      </c>
    </row>
    <row r="15" spans="1:7" x14ac:dyDescent="0.25">
      <c r="D15" s="142"/>
    </row>
    <row r="16" spans="1:7" x14ac:dyDescent="0.25">
      <c r="D16" s="142"/>
    </row>
  </sheetData>
  <dataValidations count="2">
    <dataValidation allowBlank="1" showErrorMessage="1" error="Must choose from Drop Down Menu" sqref="D2:D13 D15:D1048576"/>
    <dataValidation type="list" allowBlank="1" showErrorMessage="1" error="Must choose from Drop Down Menu" sqref="C15:C1048576">
      <formula1>$C$11:$C$24</formula1>
    </dataValidation>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List!$C$4:$C$24</xm:f>
          </x14:formula1>
          <xm:sqref>F15:F1048576 F5:F13</xm:sqref>
        </x14:dataValidation>
        <x14:dataValidation type="list" allowBlank="1" showErrorMessage="1" error="Must choose from Drop Down Menu">
          <x14:formula1>
            <xm:f>' Accting USE Data Entry Form'!$C$11:$C$24</xm:f>
          </x14:formula1>
          <xm:sqref>C12:C13</xm:sqref>
        </x14:dataValidation>
        <x14:dataValidation type="list" allowBlank="1" showErrorMessage="1" error="Must choose from Drop Down Menu">
          <x14:formula1>
            <xm:f>' Accting USE Data Entry Form'!$C$11:$C$40</xm:f>
          </x14:formula1>
          <xm:sqref>C2:C11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K24" sqref="K24"/>
    </sheetView>
  </sheetViews>
  <sheetFormatPr defaultRowHeight="13.2" x14ac:dyDescent="0.25"/>
  <cols>
    <col min="1" max="1" width="10" customWidth="1"/>
    <col min="3" max="3" width="9.33203125" style="86" customWidth="1"/>
    <col min="4" max="4" width="9.33203125" style="177" customWidth="1"/>
    <col min="5" max="5" width="59.109375" customWidth="1"/>
    <col min="6" max="6" width="12.33203125" style="86" customWidth="1"/>
    <col min="7" max="7" width="17.5546875" customWidth="1"/>
    <col min="8" max="8" width="17.6640625" customWidth="1"/>
  </cols>
  <sheetData>
    <row r="1" spans="1:11" s="85" customFormat="1" ht="52.8" x14ac:dyDescent="0.25">
      <c r="A1" s="85" t="s">
        <v>67</v>
      </c>
      <c r="B1" s="84" t="s">
        <v>56</v>
      </c>
      <c r="C1" s="89" t="s">
        <v>187</v>
      </c>
      <c r="D1" s="89" t="s">
        <v>186</v>
      </c>
      <c r="E1" s="84" t="s">
        <v>38</v>
      </c>
      <c r="F1" s="89" t="s">
        <v>59</v>
      </c>
      <c r="G1" s="89" t="s">
        <v>57</v>
      </c>
      <c r="H1" s="89" t="s">
        <v>58</v>
      </c>
    </row>
    <row r="2" spans="1:11" x14ac:dyDescent="0.25">
      <c r="B2" s="179">
        <v>1</v>
      </c>
      <c r="C2" s="88" t="s">
        <v>65</v>
      </c>
      <c r="D2" s="88"/>
      <c r="E2" s="60" t="s">
        <v>66</v>
      </c>
      <c r="F2" s="86">
        <v>0</v>
      </c>
      <c r="G2" s="142">
        <v>0</v>
      </c>
      <c r="H2" s="142">
        <f t="shared" ref="H2:H24" si="0">F2*G2</f>
        <v>0</v>
      </c>
    </row>
    <row r="3" spans="1:11" x14ac:dyDescent="0.25">
      <c r="B3" s="179">
        <v>2</v>
      </c>
      <c r="C3" s="86">
        <v>5</v>
      </c>
      <c r="E3" s="60" t="s">
        <v>60</v>
      </c>
      <c r="F3" s="86">
        <v>1</v>
      </c>
      <c r="G3" s="142">
        <v>7719000</v>
      </c>
      <c r="H3" s="142">
        <f t="shared" si="0"/>
        <v>7719000</v>
      </c>
    </row>
    <row r="4" spans="1:11" x14ac:dyDescent="0.25">
      <c r="B4" s="179">
        <v>2</v>
      </c>
      <c r="C4" s="86">
        <v>6</v>
      </c>
      <c r="E4" s="60" t="s">
        <v>61</v>
      </c>
      <c r="F4" s="86">
        <v>1</v>
      </c>
      <c r="G4" s="142">
        <v>90000</v>
      </c>
      <c r="H4" s="142">
        <f t="shared" si="0"/>
        <v>90000</v>
      </c>
    </row>
    <row r="5" spans="1:11" x14ac:dyDescent="0.25">
      <c r="B5" s="179">
        <v>2</v>
      </c>
      <c r="C5" s="86">
        <v>7</v>
      </c>
      <c r="E5" s="60" t="s">
        <v>62</v>
      </c>
      <c r="F5" s="86">
        <v>1</v>
      </c>
      <c r="G5" s="142">
        <v>228000</v>
      </c>
      <c r="H5" s="142">
        <f t="shared" si="0"/>
        <v>228000</v>
      </c>
    </row>
    <row r="6" spans="1:11" x14ac:dyDescent="0.25">
      <c r="B6" s="179">
        <v>2</v>
      </c>
      <c r="C6" s="86">
        <v>8</v>
      </c>
      <c r="E6" s="60" t="s">
        <v>63</v>
      </c>
      <c r="F6" s="86">
        <v>2</v>
      </c>
      <c r="G6" s="142">
        <v>270000</v>
      </c>
      <c r="H6" s="142">
        <f t="shared" si="0"/>
        <v>540000</v>
      </c>
    </row>
    <row r="7" spans="1:11" x14ac:dyDescent="0.25">
      <c r="B7" s="179">
        <v>2</v>
      </c>
      <c r="C7" s="86">
        <v>9</v>
      </c>
      <c r="E7" s="60" t="s">
        <v>64</v>
      </c>
      <c r="F7" s="86">
        <v>4</v>
      </c>
      <c r="G7" s="142">
        <v>16050</v>
      </c>
      <c r="H7" s="142">
        <f t="shared" si="0"/>
        <v>64200</v>
      </c>
    </row>
    <row r="8" spans="1:11" x14ac:dyDescent="0.25">
      <c r="B8" s="179">
        <v>3</v>
      </c>
      <c r="C8" s="88" t="s">
        <v>65</v>
      </c>
      <c r="D8" s="88">
        <v>5</v>
      </c>
      <c r="E8" s="60" t="s">
        <v>188</v>
      </c>
      <c r="F8" s="86">
        <v>0</v>
      </c>
      <c r="G8" s="142">
        <v>0</v>
      </c>
      <c r="H8" s="142">
        <f t="shared" si="0"/>
        <v>0</v>
      </c>
    </row>
    <row r="9" spans="1:11" x14ac:dyDescent="0.25">
      <c r="B9" s="179">
        <v>4</v>
      </c>
      <c r="C9" s="88" t="s">
        <v>65</v>
      </c>
      <c r="D9" s="88">
        <v>6</v>
      </c>
      <c r="E9" s="60" t="s">
        <v>188</v>
      </c>
      <c r="F9" s="86">
        <v>0</v>
      </c>
      <c r="G9" s="142">
        <v>0</v>
      </c>
      <c r="H9" s="142">
        <f t="shared" si="0"/>
        <v>0</v>
      </c>
    </row>
    <row r="10" spans="1:11" x14ac:dyDescent="0.25">
      <c r="A10" s="87">
        <v>42759</v>
      </c>
      <c r="B10" s="179">
        <v>5</v>
      </c>
      <c r="C10" s="86">
        <v>11</v>
      </c>
      <c r="D10" s="177">
        <v>7</v>
      </c>
      <c r="E10" s="60" t="s">
        <v>195</v>
      </c>
      <c r="F10" s="86">
        <v>1</v>
      </c>
      <c r="G10" s="142">
        <v>114453</v>
      </c>
      <c r="H10" s="142">
        <f t="shared" si="0"/>
        <v>114453</v>
      </c>
      <c r="J10" s="60"/>
    </row>
    <row r="11" spans="1:11" ht="13.8" thickBot="1" x14ac:dyDescent="0.3">
      <c r="A11" s="87">
        <v>42759</v>
      </c>
      <c r="B11" s="179">
        <v>5</v>
      </c>
      <c r="C11" s="86">
        <v>11</v>
      </c>
      <c r="D11" s="177">
        <v>7</v>
      </c>
      <c r="E11" s="60" t="s">
        <v>196</v>
      </c>
      <c r="F11" s="86">
        <v>1</v>
      </c>
      <c r="G11" s="142">
        <v>19420</v>
      </c>
      <c r="H11" s="142">
        <f t="shared" si="0"/>
        <v>19420</v>
      </c>
      <c r="J11" s="60"/>
      <c r="K11" s="178"/>
    </row>
    <row r="12" spans="1:11" ht="13.8" thickTop="1" x14ac:dyDescent="0.25">
      <c r="A12" s="87">
        <v>42759</v>
      </c>
      <c r="B12" s="179">
        <v>5</v>
      </c>
      <c r="C12" s="86">
        <v>11</v>
      </c>
      <c r="D12" s="177">
        <v>7</v>
      </c>
      <c r="E12" s="60" t="s">
        <v>197</v>
      </c>
      <c r="F12" s="86">
        <v>1</v>
      </c>
      <c r="G12" s="142">
        <v>19846</v>
      </c>
      <c r="H12" s="142">
        <f t="shared" si="0"/>
        <v>19846</v>
      </c>
      <c r="K12" s="183"/>
    </row>
    <row r="13" spans="1:11" x14ac:dyDescent="0.25">
      <c r="A13" s="87">
        <v>42759</v>
      </c>
      <c r="B13" s="179">
        <v>5</v>
      </c>
      <c r="C13" s="86">
        <v>11</v>
      </c>
      <c r="D13" s="177">
        <v>7</v>
      </c>
      <c r="E13" s="60" t="s">
        <v>198</v>
      </c>
      <c r="F13" s="86">
        <v>1</v>
      </c>
      <c r="G13" s="142">
        <v>91648</v>
      </c>
      <c r="H13" s="142">
        <f t="shared" si="0"/>
        <v>91648</v>
      </c>
    </row>
    <row r="14" spans="1:11" x14ac:dyDescent="0.25">
      <c r="A14" s="87">
        <v>42759</v>
      </c>
      <c r="B14" s="179">
        <v>5</v>
      </c>
      <c r="C14" s="86">
        <v>11</v>
      </c>
      <c r="D14" s="177">
        <v>7</v>
      </c>
      <c r="E14" s="60" t="s">
        <v>199</v>
      </c>
      <c r="F14" s="86">
        <v>1</v>
      </c>
      <c r="G14" s="142">
        <v>17218</v>
      </c>
      <c r="H14" s="142">
        <f t="shared" si="0"/>
        <v>17218</v>
      </c>
    </row>
    <row r="15" spans="1:11" x14ac:dyDescent="0.25">
      <c r="A15" s="87">
        <v>42759</v>
      </c>
      <c r="B15" s="179">
        <v>5</v>
      </c>
      <c r="C15" s="171">
        <v>11</v>
      </c>
      <c r="D15" s="177">
        <v>7</v>
      </c>
      <c r="E15" s="60" t="s">
        <v>200</v>
      </c>
      <c r="F15" s="171">
        <v>1</v>
      </c>
      <c r="G15" s="142">
        <v>15481</v>
      </c>
      <c r="H15" s="142">
        <f t="shared" si="0"/>
        <v>15481</v>
      </c>
    </row>
    <row r="16" spans="1:11" x14ac:dyDescent="0.25">
      <c r="A16" s="87">
        <v>42759</v>
      </c>
      <c r="B16" s="179">
        <v>5</v>
      </c>
      <c r="C16" s="86">
        <v>10</v>
      </c>
      <c r="D16" s="177">
        <v>8</v>
      </c>
      <c r="E16" s="60" t="s">
        <v>184</v>
      </c>
      <c r="F16" s="86">
        <v>1</v>
      </c>
      <c r="G16" s="142">
        <v>5544</v>
      </c>
      <c r="H16" s="142">
        <f t="shared" si="0"/>
        <v>5544</v>
      </c>
    </row>
    <row r="17" spans="1:12" x14ac:dyDescent="0.25">
      <c r="A17" s="87"/>
      <c r="B17" s="179">
        <v>6</v>
      </c>
      <c r="C17" s="88" t="s">
        <v>65</v>
      </c>
      <c r="D17" s="88"/>
      <c r="E17" s="60" t="s">
        <v>185</v>
      </c>
      <c r="F17" s="171"/>
      <c r="G17" s="142"/>
      <c r="H17" s="142">
        <f t="shared" si="0"/>
        <v>0</v>
      </c>
    </row>
    <row r="18" spans="1:12" x14ac:dyDescent="0.25">
      <c r="A18" s="87"/>
      <c r="B18" s="179">
        <v>7</v>
      </c>
      <c r="C18" s="177">
        <v>12</v>
      </c>
      <c r="D18" s="177">
        <v>9</v>
      </c>
      <c r="E18" s="60" t="s">
        <v>201</v>
      </c>
      <c r="F18" s="177"/>
      <c r="G18" s="142"/>
      <c r="H18" s="142">
        <f t="shared" si="0"/>
        <v>0</v>
      </c>
    </row>
    <row r="19" spans="1:12" x14ac:dyDescent="0.25">
      <c r="A19" s="87"/>
      <c r="B19" s="179">
        <v>7</v>
      </c>
      <c r="C19" s="177"/>
      <c r="D19" s="177">
        <v>10</v>
      </c>
      <c r="E19" s="60" t="s">
        <v>202</v>
      </c>
      <c r="F19" s="177"/>
      <c r="G19" s="142"/>
      <c r="H19" s="142">
        <f t="shared" si="0"/>
        <v>0</v>
      </c>
    </row>
    <row r="20" spans="1:12" x14ac:dyDescent="0.25">
      <c r="A20" s="87"/>
      <c r="B20" s="179">
        <v>8</v>
      </c>
      <c r="C20" s="177"/>
      <c r="D20" s="177">
        <v>11</v>
      </c>
      <c r="E20" s="60" t="s">
        <v>203</v>
      </c>
      <c r="F20" s="177"/>
      <c r="G20" s="142"/>
      <c r="H20" s="142">
        <f t="shared" si="0"/>
        <v>0</v>
      </c>
    </row>
    <row r="21" spans="1:12" x14ac:dyDescent="0.25">
      <c r="A21" s="87"/>
      <c r="B21" s="179">
        <v>8</v>
      </c>
      <c r="C21" s="177"/>
      <c r="D21" s="177">
        <v>12</v>
      </c>
      <c r="E21" s="60" t="s">
        <v>204</v>
      </c>
      <c r="F21" s="177"/>
      <c r="G21" s="142"/>
      <c r="H21" s="142">
        <f t="shared" si="0"/>
        <v>0</v>
      </c>
    </row>
    <row r="22" spans="1:12" x14ac:dyDescent="0.25">
      <c r="A22" s="87"/>
      <c r="B22" s="179"/>
      <c r="C22" s="184"/>
      <c r="D22" s="184"/>
      <c r="E22" s="60"/>
      <c r="F22" s="184"/>
      <c r="G22" s="142"/>
      <c r="H22" s="142">
        <f t="shared" si="0"/>
        <v>0</v>
      </c>
    </row>
    <row r="23" spans="1:12" x14ac:dyDescent="0.25">
      <c r="A23" s="87"/>
      <c r="B23" s="179"/>
      <c r="C23" s="184"/>
      <c r="D23" s="184"/>
      <c r="E23" s="60"/>
      <c r="F23" s="184"/>
      <c r="G23" s="142"/>
      <c r="H23" s="142">
        <f t="shared" si="0"/>
        <v>0</v>
      </c>
    </row>
    <row r="24" spans="1:12" x14ac:dyDescent="0.25">
      <c r="A24" s="87"/>
      <c r="B24" s="179"/>
      <c r="C24" s="177"/>
      <c r="F24" s="177"/>
      <c r="G24" s="142"/>
      <c r="H24" s="142">
        <f t="shared" si="0"/>
        <v>0</v>
      </c>
    </row>
    <row r="25" spans="1:12" x14ac:dyDescent="0.25">
      <c r="A25" t="s">
        <v>58</v>
      </c>
      <c r="C25" s="184"/>
      <c r="D25" s="184"/>
      <c r="F25" s="184"/>
      <c r="G25" s="193"/>
      <c r="H25" s="193">
        <f>SUBTOTAL(109,ModsTable[Total])</f>
        <v>8924810</v>
      </c>
      <c r="K25" s="60"/>
    </row>
    <row r="26" spans="1:12" ht="13.8" thickBot="1" x14ac:dyDescent="0.3">
      <c r="K26" s="60"/>
      <c r="L26" s="178"/>
    </row>
    <row r="27" spans="1:12" ht="13.8" thickTop="1" x14ac:dyDescent="0.25">
      <c r="K27" s="60"/>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7" customWidth="1"/>
    <col min="4" max="4" width="11.44140625" style="107" customWidth="1"/>
    <col min="5" max="5" width="13.6640625" customWidth="1"/>
    <col min="6" max="6" width="12.44140625" customWidth="1"/>
    <col min="7" max="7" width="15.6640625" bestFit="1" customWidth="1"/>
  </cols>
  <sheetData>
    <row r="1" spans="1:8" x14ac:dyDescent="0.25">
      <c r="A1" t="s">
        <v>82</v>
      </c>
    </row>
    <row r="3" spans="1:8" x14ac:dyDescent="0.25">
      <c r="A3" t="s">
        <v>83</v>
      </c>
      <c r="B3" t="s">
        <v>38</v>
      </c>
      <c r="C3" s="107" t="s">
        <v>84</v>
      </c>
      <c r="D3" s="107" t="s">
        <v>85</v>
      </c>
      <c r="E3" t="s">
        <v>86</v>
      </c>
      <c r="F3" t="s">
        <v>87</v>
      </c>
      <c r="G3" t="s">
        <v>100</v>
      </c>
      <c r="H3" t="s">
        <v>88</v>
      </c>
    </row>
    <row r="4" spans="1:8" x14ac:dyDescent="0.25">
      <c r="A4" t="s">
        <v>89</v>
      </c>
    </row>
    <row r="5" spans="1:8" x14ac:dyDescent="0.25">
      <c r="A5" t="s">
        <v>90</v>
      </c>
    </row>
    <row r="6" spans="1:8" x14ac:dyDescent="0.25">
      <c r="A6" t="s">
        <v>91</v>
      </c>
    </row>
    <row r="7" spans="1:8" x14ac:dyDescent="0.25">
      <c r="A7" t="s">
        <v>92</v>
      </c>
    </row>
    <row r="8" spans="1:8" x14ac:dyDescent="0.25">
      <c r="A8" t="s">
        <v>93</v>
      </c>
    </row>
    <row r="9" spans="1:8" x14ac:dyDescent="0.25">
      <c r="A9" t="s">
        <v>94</v>
      </c>
      <c r="B9" t="s">
        <v>98</v>
      </c>
      <c r="C9" s="80">
        <v>42775</v>
      </c>
      <c r="D9" s="107" t="s">
        <v>99</v>
      </c>
    </row>
    <row r="10" spans="1:8" x14ac:dyDescent="0.25">
      <c r="A10" t="s">
        <v>95</v>
      </c>
    </row>
    <row r="11" spans="1:8" x14ac:dyDescent="0.25">
      <c r="A11" t="s">
        <v>96</v>
      </c>
    </row>
    <row r="12" spans="1:8" x14ac:dyDescent="0.25">
      <c r="A12" t="s">
        <v>97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13" sqref="F13"/>
    </sheetView>
  </sheetViews>
  <sheetFormatPr defaultColWidth="8.88671875" defaultRowHeight="22.95" customHeight="1" x14ac:dyDescent="0.25"/>
  <cols>
    <col min="1" max="1" width="5.6640625" style="99" customWidth="1"/>
    <col min="2" max="2" width="60.6640625" style="99" bestFit="1" customWidth="1"/>
    <col min="3" max="3" width="14.6640625" style="99" customWidth="1"/>
    <col min="4" max="4" width="10.6640625" style="99" customWidth="1"/>
    <col min="5" max="5" width="7.5546875" style="99" customWidth="1"/>
    <col min="6" max="6" width="46.44140625" style="100" customWidth="1"/>
    <col min="7" max="16384" width="8.88671875" style="99"/>
  </cols>
  <sheetData>
    <row r="1" spans="1:6" s="129" customFormat="1" ht="28.95" customHeight="1" x14ac:dyDescent="0.25">
      <c r="A1" s="127" t="s">
        <v>68</v>
      </c>
      <c r="B1" s="132" t="s">
        <v>132</v>
      </c>
      <c r="C1" s="132" t="s">
        <v>128</v>
      </c>
      <c r="D1" s="290" t="s">
        <v>102</v>
      </c>
      <c r="E1" s="291"/>
      <c r="F1" s="128" t="s">
        <v>69</v>
      </c>
    </row>
    <row r="2" spans="1:6" ht="20.399999999999999" hidden="1" customHeight="1" x14ac:dyDescent="0.25">
      <c r="A2" s="110">
        <v>1</v>
      </c>
      <c r="B2" s="111" t="s">
        <v>129</v>
      </c>
      <c r="C2" s="112">
        <v>42285</v>
      </c>
      <c r="D2" s="113" t="s">
        <v>80</v>
      </c>
      <c r="E2" s="94">
        <v>1</v>
      </c>
      <c r="F2" s="124"/>
    </row>
    <row r="3" spans="1:6" ht="20.399999999999999" hidden="1" customHeight="1" x14ac:dyDescent="0.25">
      <c r="A3" s="110">
        <v>2</v>
      </c>
      <c r="B3" s="114" t="s">
        <v>106</v>
      </c>
      <c r="C3" s="115">
        <v>42439</v>
      </c>
      <c r="D3" s="113" t="s">
        <v>80</v>
      </c>
      <c r="E3" s="95">
        <v>1</v>
      </c>
      <c r="F3" s="124"/>
    </row>
    <row r="4" spans="1:6" ht="20.399999999999999" hidden="1" customHeight="1" x14ac:dyDescent="0.25">
      <c r="A4" s="110">
        <v>3</v>
      </c>
      <c r="B4" s="111" t="s">
        <v>127</v>
      </c>
      <c r="C4" s="112">
        <v>42468</v>
      </c>
      <c r="D4" s="116" t="s">
        <v>80</v>
      </c>
      <c r="E4" s="96">
        <v>1</v>
      </c>
      <c r="F4" s="124" t="s">
        <v>70</v>
      </c>
    </row>
    <row r="5" spans="1:6" ht="20.399999999999999" customHeight="1" x14ac:dyDescent="0.25">
      <c r="A5" s="110">
        <v>4</v>
      </c>
      <c r="B5" s="114" t="s">
        <v>107</v>
      </c>
      <c r="C5" s="115">
        <v>42562</v>
      </c>
      <c r="D5" s="116" t="s">
        <v>72</v>
      </c>
      <c r="E5" s="97">
        <v>0.9</v>
      </c>
      <c r="F5" s="124" t="s">
        <v>104</v>
      </c>
    </row>
    <row r="6" spans="1:6" ht="20.399999999999999" hidden="1" customHeight="1" x14ac:dyDescent="0.25">
      <c r="A6" s="110">
        <v>5</v>
      </c>
      <c r="B6" s="111" t="s">
        <v>126</v>
      </c>
      <c r="C6" s="112">
        <v>42685</v>
      </c>
      <c r="D6" s="116" t="s">
        <v>80</v>
      </c>
      <c r="E6" s="96">
        <v>1</v>
      </c>
      <c r="F6" s="124" t="s">
        <v>101</v>
      </c>
    </row>
    <row r="7" spans="1:6" ht="20.399999999999999" customHeight="1" x14ac:dyDescent="0.25">
      <c r="A7" s="110">
        <v>6</v>
      </c>
      <c r="B7" s="114" t="s">
        <v>108</v>
      </c>
      <c r="C7" s="115">
        <v>42958</v>
      </c>
      <c r="D7" s="117" t="s">
        <v>71</v>
      </c>
      <c r="E7" s="97">
        <v>0.1</v>
      </c>
      <c r="F7" s="124" t="s">
        <v>79</v>
      </c>
    </row>
    <row r="8" spans="1:6" ht="20.399999999999999" hidden="1" customHeight="1" x14ac:dyDescent="0.25">
      <c r="A8" s="110"/>
      <c r="B8" s="118" t="s">
        <v>109</v>
      </c>
      <c r="C8" s="115">
        <v>42706</v>
      </c>
      <c r="D8" s="117" t="s">
        <v>80</v>
      </c>
      <c r="E8" s="97">
        <v>1</v>
      </c>
      <c r="F8" s="124"/>
    </row>
    <row r="9" spans="1:6" ht="20.399999999999999" customHeight="1" x14ac:dyDescent="0.25">
      <c r="A9" s="110"/>
      <c r="B9" s="118" t="s">
        <v>110</v>
      </c>
      <c r="C9" s="115">
        <v>42838</v>
      </c>
      <c r="D9" s="117" t="s">
        <v>80</v>
      </c>
      <c r="E9" s="97">
        <v>1</v>
      </c>
      <c r="F9" s="124" t="s">
        <v>133</v>
      </c>
    </row>
    <row r="10" spans="1:6" ht="20.399999999999999" hidden="1" customHeight="1" x14ac:dyDescent="0.25">
      <c r="A10" s="110"/>
      <c r="B10" s="118" t="s">
        <v>111</v>
      </c>
      <c r="C10" s="115">
        <v>42802</v>
      </c>
      <c r="D10" s="117" t="s">
        <v>80</v>
      </c>
      <c r="E10" s="97">
        <v>1</v>
      </c>
      <c r="F10" s="124"/>
    </row>
    <row r="11" spans="1:6" ht="20.399999999999999" hidden="1" customHeight="1" x14ac:dyDescent="0.25">
      <c r="A11" s="110"/>
      <c r="B11" s="118" t="s">
        <v>112</v>
      </c>
      <c r="C11" s="115">
        <v>42811</v>
      </c>
      <c r="D11" s="117" t="s">
        <v>80</v>
      </c>
      <c r="E11" s="97">
        <v>1</v>
      </c>
      <c r="F11" s="124"/>
    </row>
    <row r="12" spans="1:6" ht="20.399999999999999" customHeight="1" x14ac:dyDescent="0.25">
      <c r="A12" s="110"/>
      <c r="B12" s="118" t="s">
        <v>105</v>
      </c>
      <c r="C12" s="115">
        <v>42898</v>
      </c>
      <c r="D12" s="117" t="s">
        <v>192</v>
      </c>
      <c r="E12" s="97">
        <v>1</v>
      </c>
      <c r="F12" s="124" t="s">
        <v>193</v>
      </c>
    </row>
    <row r="13" spans="1:6" ht="20.399999999999999" customHeight="1" x14ac:dyDescent="0.25">
      <c r="A13" s="110"/>
      <c r="B13" s="118" t="s">
        <v>113</v>
      </c>
      <c r="C13" s="115">
        <v>42944</v>
      </c>
      <c r="D13" s="117" t="s">
        <v>192</v>
      </c>
      <c r="E13" s="97">
        <v>0</v>
      </c>
      <c r="F13" s="124"/>
    </row>
    <row r="14" spans="1:6" ht="20.399999999999999" customHeight="1" x14ac:dyDescent="0.25">
      <c r="A14" s="110"/>
      <c r="B14" s="118" t="s">
        <v>114</v>
      </c>
      <c r="C14" s="115">
        <v>42882</v>
      </c>
      <c r="D14" s="117" t="s">
        <v>192</v>
      </c>
      <c r="E14" s="97">
        <v>0</v>
      </c>
      <c r="F14" s="124"/>
    </row>
    <row r="15" spans="1:6" ht="20.399999999999999" customHeight="1" x14ac:dyDescent="0.25">
      <c r="A15" s="110"/>
      <c r="B15" s="118" t="s">
        <v>115</v>
      </c>
      <c r="C15" s="115">
        <v>42967</v>
      </c>
      <c r="D15" s="117" t="s">
        <v>192</v>
      </c>
      <c r="E15" s="97">
        <v>0</v>
      </c>
      <c r="F15" s="124"/>
    </row>
    <row r="16" spans="1:6" ht="20.399999999999999" customHeight="1" x14ac:dyDescent="0.25">
      <c r="A16" s="110"/>
      <c r="B16" s="118" t="s">
        <v>116</v>
      </c>
      <c r="C16" s="115">
        <v>42853</v>
      </c>
      <c r="D16" s="117" t="s">
        <v>80</v>
      </c>
      <c r="E16" s="97">
        <v>1</v>
      </c>
      <c r="F16" s="133" t="s">
        <v>134</v>
      </c>
    </row>
    <row r="17" spans="1:6" ht="20.399999999999999" customHeight="1" x14ac:dyDescent="0.25">
      <c r="A17" s="120">
        <v>7</v>
      </c>
      <c r="B17" s="121" t="s">
        <v>117</v>
      </c>
      <c r="C17" s="122">
        <v>42972</v>
      </c>
      <c r="D17" s="123" t="s">
        <v>192</v>
      </c>
      <c r="E17" s="98">
        <v>0.5</v>
      </c>
      <c r="F17" s="139" t="s">
        <v>191</v>
      </c>
    </row>
    <row r="18" spans="1:6" ht="20.399999999999999" hidden="1" customHeight="1" x14ac:dyDescent="0.25">
      <c r="A18" s="119">
        <v>8</v>
      </c>
      <c r="B18" s="134" t="s">
        <v>118</v>
      </c>
      <c r="C18" s="135">
        <v>42989</v>
      </c>
      <c r="D18" s="136" t="s">
        <v>103</v>
      </c>
      <c r="E18" s="137">
        <v>0</v>
      </c>
      <c r="F18" s="138"/>
    </row>
    <row r="19" spans="1:6" ht="20.399999999999999" hidden="1" customHeight="1" x14ac:dyDescent="0.25">
      <c r="A19" s="110">
        <v>9</v>
      </c>
      <c r="B19" s="111" t="s">
        <v>119</v>
      </c>
      <c r="C19" s="112">
        <v>43080</v>
      </c>
      <c r="D19" s="116" t="s">
        <v>103</v>
      </c>
      <c r="E19" s="96">
        <v>0</v>
      </c>
      <c r="F19" s="125"/>
    </row>
    <row r="20" spans="1:6" ht="20.399999999999999" hidden="1" customHeight="1" x14ac:dyDescent="0.25">
      <c r="A20" s="110">
        <v>10</v>
      </c>
      <c r="B20" s="114" t="s">
        <v>120</v>
      </c>
      <c r="C20" s="115">
        <v>43143</v>
      </c>
      <c r="D20" s="117" t="s">
        <v>103</v>
      </c>
      <c r="E20" s="97">
        <v>0</v>
      </c>
      <c r="F20" s="125"/>
    </row>
    <row r="21" spans="1:6" ht="20.399999999999999" hidden="1" customHeight="1" x14ac:dyDescent="0.25">
      <c r="A21" s="110">
        <v>11</v>
      </c>
      <c r="B21" s="111" t="s">
        <v>121</v>
      </c>
      <c r="C21" s="112">
        <v>43171</v>
      </c>
      <c r="D21" s="116" t="s">
        <v>103</v>
      </c>
      <c r="E21" s="96">
        <v>0</v>
      </c>
      <c r="F21" s="125"/>
    </row>
    <row r="22" spans="1:6" ht="20.399999999999999" hidden="1" customHeight="1" x14ac:dyDescent="0.25">
      <c r="A22" s="110">
        <v>12</v>
      </c>
      <c r="B22" s="114" t="s">
        <v>122</v>
      </c>
      <c r="C22" s="115">
        <v>43262</v>
      </c>
      <c r="D22" s="117" t="s">
        <v>103</v>
      </c>
      <c r="E22" s="97">
        <v>0</v>
      </c>
      <c r="F22" s="125"/>
    </row>
    <row r="23" spans="1:6" ht="20.399999999999999" hidden="1" customHeight="1" x14ac:dyDescent="0.25">
      <c r="A23" s="110">
        <v>13</v>
      </c>
      <c r="B23" s="111" t="s">
        <v>123</v>
      </c>
      <c r="C23" s="112">
        <v>43384</v>
      </c>
      <c r="D23" s="116" t="s">
        <v>103</v>
      </c>
      <c r="E23" s="96">
        <v>0</v>
      </c>
      <c r="F23" s="125"/>
    </row>
    <row r="24" spans="1:6" ht="20.399999999999999" hidden="1" customHeight="1" x14ac:dyDescent="0.25">
      <c r="A24" s="110">
        <v>14</v>
      </c>
      <c r="B24" s="114" t="s">
        <v>124</v>
      </c>
      <c r="C24" s="115">
        <v>43476</v>
      </c>
      <c r="D24" s="117" t="s">
        <v>103</v>
      </c>
      <c r="E24" s="97">
        <v>0</v>
      </c>
      <c r="F24" s="124"/>
    </row>
    <row r="25" spans="1:6" ht="20.399999999999999" hidden="1" customHeight="1" x14ac:dyDescent="0.25">
      <c r="A25" s="120">
        <v>15</v>
      </c>
      <c r="B25" s="121" t="s">
        <v>125</v>
      </c>
      <c r="C25" s="122">
        <v>43507</v>
      </c>
      <c r="D25" s="123" t="s">
        <v>103</v>
      </c>
      <c r="E25" s="98">
        <v>0</v>
      </c>
      <c r="F25" s="126"/>
    </row>
    <row r="26" spans="1:6" ht="3.6" customHeight="1" x14ac:dyDescent="0.25">
      <c r="F26" s="99"/>
    </row>
    <row r="27" spans="1:6" ht="22.95" customHeight="1" x14ac:dyDescent="0.25">
      <c r="A27" s="131" t="s">
        <v>130</v>
      </c>
      <c r="B27" s="288" t="s">
        <v>131</v>
      </c>
      <c r="C27" s="288"/>
      <c r="D27" s="288"/>
      <c r="E27" s="288"/>
      <c r="F27" s="130"/>
    </row>
    <row r="28" spans="1:6" ht="22.95" customHeight="1" x14ac:dyDescent="0.25">
      <c r="B28" s="289"/>
      <c r="C28" s="289"/>
      <c r="D28" s="289"/>
      <c r="E28" s="289"/>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169</v>
      </c>
    </row>
    <row r="3" spans="1:6" x14ac:dyDescent="0.25">
      <c r="A3" s="44" t="s">
        <v>3</v>
      </c>
      <c r="B3" s="60" t="s">
        <v>174</v>
      </c>
      <c r="C3" t="s">
        <v>38</v>
      </c>
      <c r="D3" t="s">
        <v>102</v>
      </c>
      <c r="E3" s="60" t="s">
        <v>172</v>
      </c>
      <c r="F3" t="s">
        <v>173</v>
      </c>
    </row>
    <row r="4" spans="1:6" x14ac:dyDescent="0.25">
      <c r="A4" s="174">
        <v>42690</v>
      </c>
      <c r="B4" s="172">
        <v>0.33333333333333331</v>
      </c>
      <c r="C4" t="s">
        <v>170</v>
      </c>
      <c r="E4" s="60" t="s">
        <v>65</v>
      </c>
    </row>
    <row r="5" spans="1:6" x14ac:dyDescent="0.25">
      <c r="A5" s="174">
        <v>42656</v>
      </c>
      <c r="B5" s="173">
        <v>0.41666666666666669</v>
      </c>
      <c r="C5" t="s">
        <v>171</v>
      </c>
    </row>
    <row r="6" spans="1:6" x14ac:dyDescent="0.25">
      <c r="A6" s="174">
        <v>42663</v>
      </c>
      <c r="B6" s="173">
        <v>0.41666666666666669</v>
      </c>
      <c r="C6" t="s">
        <v>171</v>
      </c>
    </row>
    <row r="7" spans="1:6" x14ac:dyDescent="0.25">
      <c r="A7" s="174">
        <v>42670</v>
      </c>
      <c r="B7" s="173">
        <v>0.41666666666666669</v>
      </c>
      <c r="C7" t="s">
        <v>171</v>
      </c>
    </row>
    <row r="8" spans="1:6" x14ac:dyDescent="0.25">
      <c r="A8" s="174">
        <v>42677</v>
      </c>
      <c r="B8" s="173">
        <v>0.41666666666666669</v>
      </c>
      <c r="C8" t="s">
        <v>171</v>
      </c>
      <c r="D8" s="60" t="s">
        <v>175</v>
      </c>
    </row>
    <row r="9" spans="1:6" x14ac:dyDescent="0.25">
      <c r="A9" s="174">
        <v>42684</v>
      </c>
      <c r="B9" s="173">
        <v>0.41666666666666669</v>
      </c>
      <c r="C9" t="s">
        <v>171</v>
      </c>
    </row>
    <row r="10" spans="1:6" x14ac:dyDescent="0.25">
      <c r="A10" s="174">
        <v>42691</v>
      </c>
      <c r="B10" s="173">
        <v>0.41666666666666669</v>
      </c>
      <c r="C10" t="s">
        <v>171</v>
      </c>
    </row>
    <row r="11" spans="1:6" x14ac:dyDescent="0.25">
      <c r="A11" s="174">
        <v>42698</v>
      </c>
      <c r="B11" s="173">
        <v>0.41666666666666669</v>
      </c>
      <c r="C11" t="s">
        <v>171</v>
      </c>
    </row>
    <row r="12" spans="1:6" x14ac:dyDescent="0.25">
      <c r="A12" s="174">
        <v>42705</v>
      </c>
      <c r="B12" s="173">
        <v>0.41666666666666669</v>
      </c>
      <c r="C12" t="s">
        <v>171</v>
      </c>
      <c r="D12" s="60" t="s">
        <v>175</v>
      </c>
      <c r="F12" t="s">
        <v>176</v>
      </c>
    </row>
    <row r="13" spans="1:6" x14ac:dyDescent="0.25">
      <c r="A13" s="174">
        <v>42712</v>
      </c>
      <c r="B13" s="173">
        <v>0.41666666666666669</v>
      </c>
      <c r="C13" t="s">
        <v>171</v>
      </c>
    </row>
    <row r="14" spans="1:6" x14ac:dyDescent="0.25">
      <c r="A14" s="174">
        <v>42719</v>
      </c>
      <c r="B14" s="173">
        <v>0.41666666666666669</v>
      </c>
      <c r="C14" t="s">
        <v>171</v>
      </c>
      <c r="D14" s="60" t="s">
        <v>183</v>
      </c>
    </row>
    <row r="15" spans="1:6" x14ac:dyDescent="0.25">
      <c r="A15" s="174">
        <v>42726</v>
      </c>
      <c r="B15" s="173">
        <v>0.41666666666666669</v>
      </c>
      <c r="C15" t="s">
        <v>171</v>
      </c>
    </row>
    <row r="16" spans="1:6" x14ac:dyDescent="0.25">
      <c r="A16" s="174">
        <v>42733</v>
      </c>
      <c r="B16" s="173">
        <v>0.41666666666666669</v>
      </c>
      <c r="C16" t="s">
        <v>171</v>
      </c>
    </row>
    <row r="17" spans="1:6" x14ac:dyDescent="0.25">
      <c r="A17" s="174">
        <v>42740</v>
      </c>
      <c r="B17" s="173">
        <v>0.41666666666666669</v>
      </c>
      <c r="C17" t="s">
        <v>171</v>
      </c>
      <c r="D17" s="60" t="s">
        <v>183</v>
      </c>
    </row>
    <row r="18" spans="1:6" x14ac:dyDescent="0.25">
      <c r="A18" s="174">
        <v>42747</v>
      </c>
      <c r="B18" s="173">
        <v>0.41666666666666669</v>
      </c>
      <c r="C18" t="s">
        <v>171</v>
      </c>
    </row>
    <row r="19" spans="1:6" x14ac:dyDescent="0.25">
      <c r="A19" s="174">
        <v>42754</v>
      </c>
      <c r="B19" s="173">
        <v>0.41666666666666669</v>
      </c>
      <c r="C19" t="s">
        <v>171</v>
      </c>
    </row>
    <row r="20" spans="1:6" x14ac:dyDescent="0.25">
      <c r="A20" s="174">
        <v>42761</v>
      </c>
      <c r="B20" s="173">
        <v>0.41666666666666669</v>
      </c>
      <c r="C20" t="s">
        <v>171</v>
      </c>
    </row>
    <row r="21" spans="1:6" x14ac:dyDescent="0.25">
      <c r="A21" s="174">
        <v>42768</v>
      </c>
      <c r="B21" s="173">
        <v>0.41666666666666669</v>
      </c>
      <c r="C21" t="s">
        <v>171</v>
      </c>
    </row>
    <row r="22" spans="1:6" x14ac:dyDescent="0.25">
      <c r="A22" s="174">
        <v>42775</v>
      </c>
      <c r="B22" s="173">
        <v>0.41666666666666669</v>
      </c>
      <c r="C22" t="s">
        <v>171</v>
      </c>
    </row>
    <row r="23" spans="1:6" x14ac:dyDescent="0.25">
      <c r="A23" s="174">
        <v>42782</v>
      </c>
      <c r="B23" s="173">
        <v>0.41666666666666669</v>
      </c>
      <c r="C23" t="s">
        <v>171</v>
      </c>
    </row>
    <row r="24" spans="1:6" x14ac:dyDescent="0.25">
      <c r="A24" s="174">
        <v>42789</v>
      </c>
      <c r="B24" s="173">
        <v>0.41666666666666669</v>
      </c>
      <c r="C24" t="s">
        <v>171</v>
      </c>
      <c r="D24" s="60" t="s">
        <v>183</v>
      </c>
    </row>
    <row r="25" spans="1:6" x14ac:dyDescent="0.25">
      <c r="A25" s="174">
        <v>42796</v>
      </c>
      <c r="B25" s="173">
        <v>0.41666666666666669</v>
      </c>
      <c r="C25" t="s">
        <v>171</v>
      </c>
    </row>
    <row r="26" spans="1:6" x14ac:dyDescent="0.25">
      <c r="A26" s="174">
        <v>42803</v>
      </c>
      <c r="B26" s="173">
        <v>0.41666666666666669</v>
      </c>
      <c r="C26" t="s">
        <v>171</v>
      </c>
      <c r="D26" s="60" t="s">
        <v>175</v>
      </c>
      <c r="F26" t="s">
        <v>177</v>
      </c>
    </row>
    <row r="27" spans="1:6" x14ac:dyDescent="0.25">
      <c r="A27" s="174">
        <v>42810</v>
      </c>
      <c r="B27" s="173">
        <v>0.41666666666666669</v>
      </c>
      <c r="C27" t="s">
        <v>171</v>
      </c>
    </row>
    <row r="28" spans="1:6" x14ac:dyDescent="0.25">
      <c r="A28" s="174">
        <v>42817</v>
      </c>
      <c r="B28" s="173">
        <v>0.41666666666666669</v>
      </c>
      <c r="C28" t="s">
        <v>171</v>
      </c>
    </row>
    <row r="29" spans="1:6" x14ac:dyDescent="0.25">
      <c r="A29" s="174">
        <v>42824</v>
      </c>
      <c r="B29" s="173">
        <v>0.41666666666666669</v>
      </c>
      <c r="C29" t="s">
        <v>171</v>
      </c>
    </row>
    <row r="30" spans="1:6" x14ac:dyDescent="0.25">
      <c r="A30" s="174">
        <v>42831</v>
      </c>
      <c r="B30" s="173">
        <v>0.41666666666666669</v>
      </c>
      <c r="C30" t="s">
        <v>171</v>
      </c>
    </row>
    <row r="31" spans="1:6" x14ac:dyDescent="0.25">
      <c r="A31" s="174">
        <v>42838</v>
      </c>
      <c r="B31" s="173">
        <v>0.41666666666666669</v>
      </c>
      <c r="C31" t="s">
        <v>171</v>
      </c>
    </row>
    <row r="32" spans="1:6" x14ac:dyDescent="0.25">
      <c r="A32" s="174">
        <v>42845</v>
      </c>
      <c r="B32" s="173">
        <v>0.41666666666666669</v>
      </c>
      <c r="C32" t="s">
        <v>171</v>
      </c>
    </row>
    <row r="33" spans="1:6" x14ac:dyDescent="0.25">
      <c r="A33" s="174">
        <v>42852</v>
      </c>
      <c r="B33" s="173">
        <v>0.41666666666666669</v>
      </c>
      <c r="C33" t="s">
        <v>171</v>
      </c>
    </row>
    <row r="34" spans="1:6" x14ac:dyDescent="0.25">
      <c r="A34" s="174">
        <v>42859</v>
      </c>
      <c r="B34" s="173">
        <v>0.41666666666666669</v>
      </c>
      <c r="C34" t="s">
        <v>171</v>
      </c>
    </row>
    <row r="35" spans="1:6" x14ac:dyDescent="0.25">
      <c r="A35" s="174">
        <v>42866</v>
      </c>
      <c r="B35" s="173">
        <v>0.41666666666666669</v>
      </c>
      <c r="C35" t="s">
        <v>171</v>
      </c>
      <c r="D35" s="60" t="s">
        <v>183</v>
      </c>
    </row>
    <row r="36" spans="1:6" x14ac:dyDescent="0.25">
      <c r="A36" s="174">
        <v>42873</v>
      </c>
      <c r="B36" s="173">
        <v>0.41666666666666669</v>
      </c>
      <c r="C36" t="s">
        <v>171</v>
      </c>
    </row>
    <row r="37" spans="1:6" x14ac:dyDescent="0.25">
      <c r="A37" s="174">
        <v>42880</v>
      </c>
      <c r="B37" s="173">
        <v>0.41666666666666669</v>
      </c>
      <c r="C37" t="s">
        <v>171</v>
      </c>
    </row>
    <row r="38" spans="1:6" x14ac:dyDescent="0.25">
      <c r="A38" s="174">
        <v>42887</v>
      </c>
      <c r="B38" s="173">
        <v>0.41666666666666669</v>
      </c>
      <c r="C38" t="s">
        <v>171</v>
      </c>
      <c r="D38" s="60" t="s">
        <v>175</v>
      </c>
      <c r="F38" t="s">
        <v>178</v>
      </c>
    </row>
    <row r="39" spans="1:6" x14ac:dyDescent="0.25">
      <c r="A39" s="174">
        <v>42894</v>
      </c>
      <c r="B39" s="173">
        <v>0.41666666666666669</v>
      </c>
      <c r="C39" t="s">
        <v>171</v>
      </c>
    </row>
    <row r="40" spans="1:6" x14ac:dyDescent="0.25">
      <c r="A40" s="174">
        <v>42901</v>
      </c>
      <c r="B40" s="173">
        <v>0.41666666666666669</v>
      </c>
      <c r="C40" t="s">
        <v>171</v>
      </c>
    </row>
    <row r="41" spans="1:6" x14ac:dyDescent="0.25">
      <c r="A41" s="174">
        <v>42908</v>
      </c>
      <c r="B41" s="173">
        <v>0.41666666666666669</v>
      </c>
      <c r="C41" t="s">
        <v>171</v>
      </c>
      <c r="D41" s="60" t="s">
        <v>183</v>
      </c>
    </row>
    <row r="42" spans="1:6" ht="15.6" x14ac:dyDescent="0.3">
      <c r="A42" s="174">
        <v>42915</v>
      </c>
      <c r="B42" s="173">
        <v>0.41666666666666669</v>
      </c>
      <c r="C42" t="s">
        <v>171</v>
      </c>
      <c r="D42" s="60" t="s">
        <v>175</v>
      </c>
      <c r="F42" s="176" t="s">
        <v>179</v>
      </c>
    </row>
    <row r="43" spans="1:6" x14ac:dyDescent="0.25">
      <c r="A43" s="174">
        <v>42922</v>
      </c>
      <c r="B43" s="173">
        <v>0.41666666666666669</v>
      </c>
      <c r="C43" t="s">
        <v>171</v>
      </c>
      <c r="D43" s="60" t="s">
        <v>183</v>
      </c>
    </row>
    <row r="44" spans="1:6" x14ac:dyDescent="0.25">
      <c r="A44" s="174">
        <v>42929</v>
      </c>
      <c r="B44" s="173">
        <v>0.41666666666666669</v>
      </c>
      <c r="C44" t="s">
        <v>171</v>
      </c>
    </row>
    <row r="45" spans="1:6" ht="15.6" x14ac:dyDescent="0.3">
      <c r="A45" s="174">
        <v>42936</v>
      </c>
      <c r="B45" s="173">
        <v>0.41666666666666669</v>
      </c>
      <c r="C45" t="s">
        <v>171</v>
      </c>
      <c r="D45" s="60" t="s">
        <v>175</v>
      </c>
      <c r="F45" s="176" t="s">
        <v>180</v>
      </c>
    </row>
    <row r="46" spans="1:6" ht="15.6" x14ac:dyDescent="0.3">
      <c r="A46" s="174">
        <v>42943</v>
      </c>
      <c r="B46" s="173">
        <v>0.41666666666666669</v>
      </c>
      <c r="C46" t="s">
        <v>171</v>
      </c>
      <c r="D46" s="60" t="s">
        <v>175</v>
      </c>
      <c r="F46" s="176" t="s">
        <v>180</v>
      </c>
    </row>
    <row r="47" spans="1:6" x14ac:dyDescent="0.25">
      <c r="A47" s="174">
        <v>42950</v>
      </c>
      <c r="B47" s="173">
        <v>0.41666666666666669</v>
      </c>
      <c r="C47" t="s">
        <v>171</v>
      </c>
    </row>
    <row r="48" spans="1:6" ht="15.6" x14ac:dyDescent="0.25">
      <c r="A48" s="174">
        <v>42957</v>
      </c>
      <c r="B48" s="173">
        <v>0.41666666666666669</v>
      </c>
      <c r="C48" t="s">
        <v>171</v>
      </c>
      <c r="D48" s="60" t="s">
        <v>175</v>
      </c>
      <c r="F48" s="175" t="s">
        <v>181</v>
      </c>
    </row>
    <row r="49" spans="1:6" x14ac:dyDescent="0.25">
      <c r="A49" s="174">
        <v>42964</v>
      </c>
      <c r="B49" s="173">
        <v>0.41666666666666669</v>
      </c>
      <c r="C49" t="s">
        <v>171</v>
      </c>
    </row>
    <row r="50" spans="1:6" x14ac:dyDescent="0.25">
      <c r="A50" s="174">
        <v>42971</v>
      </c>
      <c r="B50" s="173">
        <v>0.41666666666666669</v>
      </c>
      <c r="C50" t="s">
        <v>171</v>
      </c>
    </row>
    <row r="51" spans="1:6" x14ac:dyDescent="0.25">
      <c r="A51" s="174">
        <v>42978</v>
      </c>
      <c r="B51" s="173">
        <v>0.41666666666666669</v>
      </c>
      <c r="C51" t="s">
        <v>171</v>
      </c>
      <c r="D51" s="60" t="s">
        <v>175</v>
      </c>
    </row>
    <row r="52" spans="1:6" x14ac:dyDescent="0.25">
      <c r="A52" s="174">
        <v>42985</v>
      </c>
      <c r="B52" s="173">
        <v>0.41666666666666669</v>
      </c>
      <c r="C52" t="s">
        <v>171</v>
      </c>
      <c r="D52" s="60" t="s">
        <v>175</v>
      </c>
      <c r="F52" s="60" t="s">
        <v>182</v>
      </c>
    </row>
    <row r="53" spans="1:6" x14ac:dyDescent="0.25">
      <c r="A53" s="44" t="s">
        <v>58</v>
      </c>
      <c r="C53">
        <f>SUBTOTAL(103,Calendar[Description])</f>
        <v>49</v>
      </c>
      <c r="D53">
        <f>SUBTOTAL(103,Calendar[Status])</f>
        <v>16</v>
      </c>
      <c r="F53">
        <f>SUBTOTAL(103,Calendar[Column1])</f>
        <v>8</v>
      </c>
    </row>
    <row r="54" spans="1:6" x14ac:dyDescent="0.25">
      <c r="A54" s="174"/>
      <c r="B54" s="170"/>
    </row>
    <row r="55" spans="1:6" x14ac:dyDescent="0.25">
      <c r="A55" s="174"/>
      <c r="B55" s="170"/>
    </row>
    <row r="56" spans="1:6" x14ac:dyDescent="0.25">
      <c r="A56" s="174"/>
      <c r="B56" s="170"/>
    </row>
    <row r="57" spans="1:6" x14ac:dyDescent="0.25">
      <c r="A57" s="174"/>
      <c r="B57" s="170"/>
    </row>
    <row r="58" spans="1:6" x14ac:dyDescent="0.25">
      <c r="A58" s="174"/>
      <c r="B58" s="170"/>
    </row>
    <row r="59" spans="1:6" x14ac:dyDescent="0.25">
      <c r="A59" s="174"/>
      <c r="B59" s="170"/>
    </row>
    <row r="60" spans="1:6" x14ac:dyDescent="0.25">
      <c r="A60" s="174"/>
      <c r="B60" s="170"/>
    </row>
    <row r="61" spans="1:6" x14ac:dyDescent="0.25">
      <c r="A61" s="174"/>
      <c r="B61" s="170"/>
    </row>
    <row r="62" spans="1:6" x14ac:dyDescent="0.25">
      <c r="A62" s="174"/>
      <c r="B62" s="170"/>
    </row>
    <row r="63" spans="1:6" x14ac:dyDescent="0.25">
      <c r="A63" s="174"/>
      <c r="B63" s="170"/>
    </row>
    <row r="64" spans="1:6" x14ac:dyDescent="0.25">
      <c r="A64" s="174"/>
      <c r="B64" s="170"/>
    </row>
    <row r="65" spans="1:2" x14ac:dyDescent="0.25">
      <c r="A65" s="174"/>
      <c r="B65" s="170"/>
    </row>
    <row r="66" spans="1:2" x14ac:dyDescent="0.25">
      <c r="A66" s="174"/>
      <c r="B66" s="170"/>
    </row>
    <row r="67" spans="1:2" x14ac:dyDescent="0.25">
      <c r="A67" s="174"/>
      <c r="B67" s="170"/>
    </row>
    <row r="68" spans="1:2" x14ac:dyDescent="0.25">
      <c r="A68" s="174"/>
      <c r="B68" s="170"/>
    </row>
    <row r="69" spans="1:2" x14ac:dyDescent="0.25">
      <c r="A69" s="174"/>
      <c r="B69" s="170"/>
    </row>
    <row r="70" spans="1:2" x14ac:dyDescent="0.25">
      <c r="A70" s="174"/>
      <c r="B70" s="170"/>
    </row>
    <row r="71" spans="1:2" x14ac:dyDescent="0.25">
      <c r="A71" s="174"/>
      <c r="B71" s="170"/>
    </row>
    <row r="72" spans="1:2" x14ac:dyDescent="0.25">
      <c r="A72" s="174"/>
      <c r="B72" s="170"/>
    </row>
    <row r="73" spans="1:2" x14ac:dyDescent="0.25">
      <c r="A73" s="174"/>
      <c r="B73" s="170"/>
    </row>
    <row r="74" spans="1:2" x14ac:dyDescent="0.25">
      <c r="A74" s="174"/>
      <c r="B74" s="170"/>
    </row>
    <row r="75" spans="1:2" x14ac:dyDescent="0.25">
      <c r="A75" s="174"/>
      <c r="B75" s="170"/>
    </row>
    <row r="76" spans="1:2" x14ac:dyDescent="0.25">
      <c r="A76" s="174"/>
      <c r="B76" s="170"/>
    </row>
    <row r="77" spans="1:2" x14ac:dyDescent="0.25">
      <c r="A77" s="174"/>
      <c r="B77" s="170"/>
    </row>
    <row r="78" spans="1:2" x14ac:dyDescent="0.25">
      <c r="A78" s="174"/>
      <c r="B78" s="170"/>
    </row>
    <row r="79" spans="1:2" x14ac:dyDescent="0.25">
      <c r="A79" s="174"/>
      <c r="B79" s="170"/>
    </row>
    <row r="80" spans="1:2" x14ac:dyDescent="0.25">
      <c r="A80" s="174"/>
      <c r="B80" s="170"/>
    </row>
    <row r="81" spans="1:2" x14ac:dyDescent="0.25">
      <c r="A81" s="174"/>
      <c r="B81" s="170"/>
    </row>
    <row r="82" spans="1:2" x14ac:dyDescent="0.25">
      <c r="A82" s="174"/>
      <c r="B82" s="170"/>
    </row>
    <row r="83" spans="1:2" x14ac:dyDescent="0.25">
      <c r="A83" s="174"/>
      <c r="B83" s="170"/>
    </row>
    <row r="84" spans="1:2" x14ac:dyDescent="0.25">
      <c r="A84" s="174"/>
      <c r="B84" s="170"/>
    </row>
    <row r="85" spans="1:2" x14ac:dyDescent="0.25">
      <c r="A85" s="174"/>
      <c r="B85" s="170"/>
    </row>
    <row r="86" spans="1:2" x14ac:dyDescent="0.25">
      <c r="A86" s="174"/>
      <c r="B86" s="170"/>
    </row>
    <row r="87" spans="1:2" x14ac:dyDescent="0.25">
      <c r="A87" s="174"/>
      <c r="B87" s="170"/>
    </row>
    <row r="88" spans="1:2" x14ac:dyDescent="0.25">
      <c r="A88" s="174"/>
      <c r="B88" s="170"/>
    </row>
    <row r="89" spans="1:2" x14ac:dyDescent="0.25">
      <c r="A89" s="174"/>
      <c r="B89" s="170"/>
    </row>
    <row r="90" spans="1:2" x14ac:dyDescent="0.25">
      <c r="A90" s="174"/>
      <c r="B90" s="170"/>
    </row>
    <row r="91" spans="1:2" x14ac:dyDescent="0.25">
      <c r="A91" s="174"/>
      <c r="B91" s="170"/>
    </row>
    <row r="92" spans="1:2" x14ac:dyDescent="0.25">
      <c r="A92" s="174"/>
      <c r="B92" s="170"/>
    </row>
    <row r="93" spans="1:2" x14ac:dyDescent="0.25">
      <c r="A93" s="174"/>
      <c r="B93" s="170"/>
    </row>
    <row r="94" spans="1:2" x14ac:dyDescent="0.25">
      <c r="A94" s="174"/>
      <c r="B94" s="170"/>
    </row>
    <row r="95" spans="1:2" x14ac:dyDescent="0.25">
      <c r="A95" s="174"/>
      <c r="B95" s="170"/>
    </row>
    <row r="96" spans="1:2" x14ac:dyDescent="0.25">
      <c r="A96" s="174"/>
      <c r="B96" s="170"/>
    </row>
    <row r="97" spans="1:2" x14ac:dyDescent="0.25">
      <c r="A97" s="174"/>
      <c r="B97" s="170"/>
    </row>
    <row r="98" spans="1:2" x14ac:dyDescent="0.25">
      <c r="A98" s="174"/>
      <c r="B98" s="170"/>
    </row>
    <row r="99" spans="1:2" x14ac:dyDescent="0.25">
      <c r="A99" s="174"/>
      <c r="B99" s="170"/>
    </row>
    <row r="100" spans="1:2" x14ac:dyDescent="0.25">
      <c r="A100" s="174"/>
      <c r="B100" s="170"/>
    </row>
    <row r="101" spans="1:2" x14ac:dyDescent="0.25">
      <c r="A101" s="174"/>
      <c r="B101" s="170"/>
    </row>
    <row r="102" spans="1:2" x14ac:dyDescent="0.25">
      <c r="A102" s="174"/>
      <c r="B102" s="170"/>
    </row>
    <row r="103" spans="1:2" x14ac:dyDescent="0.25">
      <c r="A103" s="174"/>
      <c r="B103" s="170"/>
    </row>
    <row r="104" spans="1:2" x14ac:dyDescent="0.25">
      <c r="A104" s="174"/>
      <c r="B104" s="170"/>
    </row>
    <row r="105" spans="1:2" x14ac:dyDescent="0.25">
      <c r="A105" s="174"/>
      <c r="B105" s="170"/>
    </row>
    <row r="106" spans="1:2" x14ac:dyDescent="0.25">
      <c r="A106" s="174"/>
      <c r="B106" s="170"/>
    </row>
    <row r="107" spans="1:2" x14ac:dyDescent="0.25">
      <c r="A107" s="174"/>
      <c r="B107" s="170"/>
    </row>
    <row r="108" spans="1:2" x14ac:dyDescent="0.25">
      <c r="A108" s="174"/>
      <c r="B108" s="170"/>
    </row>
    <row r="109" spans="1:2" x14ac:dyDescent="0.25">
      <c r="A109" s="174"/>
      <c r="B109" s="170"/>
    </row>
    <row r="110" spans="1:2" x14ac:dyDescent="0.25">
      <c r="A110" s="174"/>
      <c r="B110" s="170"/>
    </row>
    <row r="111" spans="1:2" x14ac:dyDescent="0.25">
      <c r="A111" s="174"/>
      <c r="B111" s="170"/>
    </row>
    <row r="112" spans="1:2" x14ac:dyDescent="0.25">
      <c r="A112" s="174"/>
      <c r="B112" s="170"/>
    </row>
    <row r="113" spans="1:2" x14ac:dyDescent="0.25">
      <c r="A113" s="174"/>
      <c r="B113" s="170"/>
    </row>
    <row r="114" spans="1:2" x14ac:dyDescent="0.25">
      <c r="A114" s="174"/>
      <c r="B114" s="170"/>
    </row>
    <row r="115" spans="1:2" x14ac:dyDescent="0.25">
      <c r="A115" s="174"/>
      <c r="B115" s="170"/>
    </row>
    <row r="116" spans="1:2" x14ac:dyDescent="0.25">
      <c r="A116" s="174"/>
      <c r="B116" s="170"/>
    </row>
    <row r="117" spans="1:2" x14ac:dyDescent="0.25">
      <c r="A117" s="174"/>
      <c r="B117" s="170"/>
    </row>
    <row r="118" spans="1:2" x14ac:dyDescent="0.25">
      <c r="A118" s="174"/>
      <c r="B118" s="170"/>
    </row>
    <row r="119" spans="1:2" x14ac:dyDescent="0.25">
      <c r="A119" s="174"/>
      <c r="B119" s="170"/>
    </row>
    <row r="120" spans="1:2" x14ac:dyDescent="0.25">
      <c r="A120" s="174"/>
      <c r="B120" s="170"/>
    </row>
    <row r="121" spans="1:2" x14ac:dyDescent="0.25">
      <c r="A121" s="174"/>
      <c r="B121" s="170"/>
    </row>
    <row r="122" spans="1:2" x14ac:dyDescent="0.25">
      <c r="A122" s="174"/>
      <c r="B122" s="170"/>
    </row>
    <row r="123" spans="1:2" x14ac:dyDescent="0.25">
      <c r="A123" s="174"/>
      <c r="B123" s="170"/>
    </row>
    <row r="124" spans="1:2" x14ac:dyDescent="0.25">
      <c r="A124" s="174"/>
      <c r="B124" s="170"/>
    </row>
    <row r="125" spans="1:2" x14ac:dyDescent="0.25">
      <c r="A125" s="174"/>
      <c r="B125" s="170"/>
    </row>
    <row r="126" spans="1:2" x14ac:dyDescent="0.25">
      <c r="A126" s="174"/>
      <c r="B126" s="170"/>
    </row>
    <row r="127" spans="1:2" x14ac:dyDescent="0.25">
      <c r="A127" s="174"/>
      <c r="B127" s="170"/>
    </row>
    <row r="128" spans="1:2" x14ac:dyDescent="0.25">
      <c r="A128" s="174"/>
      <c r="B128" s="170"/>
    </row>
    <row r="129" spans="1:2" x14ac:dyDescent="0.25">
      <c r="A129" s="174"/>
      <c r="B129" s="170"/>
    </row>
    <row r="130" spans="1:2" x14ac:dyDescent="0.25">
      <c r="A130" s="174"/>
      <c r="B130" s="170"/>
    </row>
    <row r="131" spans="1:2" x14ac:dyDescent="0.25">
      <c r="A131" s="174"/>
      <c r="B131" s="170"/>
    </row>
    <row r="132" spans="1:2" x14ac:dyDescent="0.25">
      <c r="A132" s="174"/>
      <c r="B132" s="170"/>
    </row>
    <row r="133" spans="1:2" x14ac:dyDescent="0.25">
      <c r="A133" s="174"/>
      <c r="B133" s="170"/>
    </row>
    <row r="134" spans="1:2" x14ac:dyDescent="0.25">
      <c r="A134" s="174"/>
      <c r="B134" s="170"/>
    </row>
    <row r="135" spans="1:2" x14ac:dyDescent="0.25">
      <c r="A135" s="174"/>
      <c r="B135" s="170"/>
    </row>
    <row r="136" spans="1:2" x14ac:dyDescent="0.25">
      <c r="A136" s="174"/>
      <c r="B136" s="170"/>
    </row>
    <row r="137" spans="1:2" x14ac:dyDescent="0.25">
      <c r="A137" s="174"/>
      <c r="B137" s="170"/>
    </row>
    <row r="138" spans="1:2" x14ac:dyDescent="0.25">
      <c r="A138" s="174"/>
      <c r="B138" s="170"/>
    </row>
    <row r="139" spans="1:2" x14ac:dyDescent="0.25">
      <c r="A139" s="174"/>
      <c r="B139" s="170"/>
    </row>
    <row r="140" spans="1:2" x14ac:dyDescent="0.25">
      <c r="A140" s="174"/>
      <c r="B140" s="170"/>
    </row>
    <row r="141" spans="1:2" x14ac:dyDescent="0.25">
      <c r="A141" s="174"/>
      <c r="B141" s="170"/>
    </row>
    <row r="142" spans="1:2" x14ac:dyDescent="0.25">
      <c r="A142" s="174"/>
      <c r="B142" s="170"/>
    </row>
    <row r="143" spans="1:2" x14ac:dyDescent="0.25">
      <c r="A143" s="174"/>
      <c r="B143" s="170"/>
    </row>
    <row r="144" spans="1:2" x14ac:dyDescent="0.25">
      <c r="A144" s="174"/>
      <c r="B144" s="170"/>
    </row>
    <row r="145" spans="1:2" x14ac:dyDescent="0.25">
      <c r="A145" s="174"/>
      <c r="B145" s="170"/>
    </row>
    <row r="146" spans="1:2" x14ac:dyDescent="0.25">
      <c r="A146" s="174"/>
      <c r="B146" s="170"/>
    </row>
    <row r="147" spans="1:2" x14ac:dyDescent="0.25">
      <c r="A147" s="174"/>
      <c r="B147" s="170"/>
    </row>
    <row r="148" spans="1:2" x14ac:dyDescent="0.25">
      <c r="A148" s="174"/>
      <c r="B148" s="170"/>
    </row>
    <row r="149" spans="1:2" x14ac:dyDescent="0.25">
      <c r="A149" s="174"/>
      <c r="B149" s="170"/>
    </row>
    <row r="150" spans="1:2" x14ac:dyDescent="0.25">
      <c r="A150" s="174"/>
      <c r="B150" s="170"/>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Form</vt:lpstr>
      <vt:lpstr>Process</vt:lpstr>
      <vt:lpstr>Sheet1</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2018-03-01T20:46:22Z</cp:lastPrinted>
  <dcterms:created xsi:type="dcterms:W3CDTF">2007-10-19T12:34:40Z</dcterms:created>
  <dcterms:modified xsi:type="dcterms:W3CDTF">2018-03-01T21:16:29Z</dcterms:modified>
</cp:coreProperties>
</file>