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V33" i="3" l="1"/>
  <c r="V34" i="3"/>
  <c r="V27" i="3" l="1"/>
  <c r="AB34" i="3"/>
  <c r="AB33" i="3"/>
  <c r="AA7" i="3"/>
  <c r="X34" i="3" l="1"/>
  <c r="X33" i="3"/>
  <c r="X28" i="3"/>
  <c r="X27" i="3" l="1"/>
  <c r="AB7" i="3" l="1"/>
  <c r="AA27" i="3" l="1"/>
  <c r="AC6" i="3"/>
  <c r="T29" i="3"/>
  <c r="AC34" i="3" l="1"/>
  <c r="AA6" i="3"/>
  <c r="X29" i="3" l="1"/>
  <c r="AC33" i="3" l="1"/>
  <c r="Z7" i="3"/>
  <c r="AC7" i="3" l="1"/>
  <c r="X16" i="3"/>
  <c r="T28" i="3" l="1"/>
  <c r="T34" i="3" l="1"/>
  <c r="AC27" i="3" l="1"/>
  <c r="T26" i="3"/>
  <c r="T33" i="3" l="1"/>
  <c r="AA16" i="3"/>
  <c r="T16" i="3"/>
  <c r="T27" i="3"/>
  <c r="V19" i="3"/>
  <c r="Z19" i="3" s="1"/>
  <c r="V20" i="3"/>
  <c r="V21" i="3"/>
  <c r="W21" i="3" s="1"/>
  <c r="V22" i="3"/>
  <c r="V24" i="3"/>
  <c r="Z24" i="3" s="1"/>
  <c r="V25" i="3"/>
  <c r="W27" i="3"/>
  <c r="V30" i="3"/>
  <c r="X31" i="3"/>
  <c r="X32" i="3"/>
  <c r="W33" i="3"/>
  <c r="Z33" i="3"/>
  <c r="AA33" i="3"/>
  <c r="AD7" i="3" l="1"/>
  <c r="W25" i="3"/>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37" i="1"/>
  <c r="G37" i="1"/>
  <c r="A38" i="1"/>
  <c r="G38" i="1"/>
  <c r="A39" i="1"/>
  <c r="G39" i="1"/>
  <c r="A40" i="1"/>
  <c r="G40" i="1"/>
  <c r="A41" i="1"/>
  <c r="G41" i="1"/>
  <c r="A42" i="1"/>
  <c r="G42" i="1"/>
  <c r="A43" i="1"/>
  <c r="C43" i="1"/>
  <c r="G43" i="1"/>
  <c r="A44" i="1"/>
  <c r="C44" i="1"/>
  <c r="G44" i="1"/>
  <c r="A45" i="1"/>
  <c r="C45" i="1"/>
  <c r="G45" i="1"/>
  <c r="T31" i="3"/>
  <c r="V31" i="3" s="1"/>
  <c r="T32" i="3"/>
  <c r="V32" i="3" s="1"/>
  <c r="T35" i="3"/>
  <c r="V35" i="3" s="1"/>
  <c r="T36" i="3"/>
  <c r="V36" i="3" s="1"/>
  <c r="T37" i="3"/>
  <c r="V37" i="3" s="1"/>
  <c r="T38" i="3"/>
  <c r="V38" i="3" s="1"/>
  <c r="T39" i="3"/>
  <c r="V39" i="3" s="1"/>
  <c r="T40" i="3"/>
  <c r="V40" i="3" s="1"/>
  <c r="C40" i="1"/>
  <c r="C41" i="1"/>
  <c r="C42" i="1"/>
  <c r="X37" i="3"/>
  <c r="X36" i="3"/>
  <c r="X35" i="3"/>
  <c r="C39" i="1" l="1"/>
  <c r="Z37" i="3"/>
  <c r="C35" i="1"/>
  <c r="C31" i="1"/>
  <c r="C28" i="1"/>
  <c r="C34" i="1"/>
  <c r="C27" i="1"/>
  <c r="W26" i="3"/>
  <c r="Y26" i="3" s="1"/>
  <c r="Z26" i="3"/>
  <c r="AA26" i="3"/>
  <c r="W32" i="3"/>
  <c r="Y32" i="3" s="1"/>
  <c r="Z32" i="3"/>
  <c r="AA32" i="3"/>
  <c r="C36" i="1"/>
  <c r="AA31" i="3"/>
  <c r="W31" i="3"/>
  <c r="Y31" i="3" s="1"/>
  <c r="Z31" i="3"/>
  <c r="C25" i="1"/>
  <c r="W28" i="3"/>
  <c r="Y28" i="3" s="1"/>
  <c r="Z28" i="3"/>
  <c r="AA28" i="3"/>
  <c r="C37" i="1"/>
  <c r="W29" i="3"/>
  <c r="Y29" i="3" s="1"/>
  <c r="Z29" i="3"/>
  <c r="AA29" i="3"/>
  <c r="C38" i="1"/>
  <c r="C30" i="1"/>
  <c r="Z38" i="3"/>
  <c r="Z40" i="3"/>
  <c r="Z39" i="3"/>
  <c r="W35" i="3"/>
  <c r="Y35" i="3" s="1"/>
  <c r="Z35" i="3"/>
  <c r="W36" i="3"/>
  <c r="Y36" i="3" s="1"/>
  <c r="Z36" i="3"/>
  <c r="W37" i="3"/>
  <c r="Y37" i="3" s="1"/>
  <c r="E14" i="3"/>
  <c r="U41"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X40" i="3"/>
  <c r="W40" i="3" s="1"/>
  <c r="Y40" i="3" s="1"/>
  <c r="X39" i="3"/>
  <c r="X38" i="3"/>
  <c r="W38" i="3" s="1"/>
  <c r="Y38" i="3" s="1"/>
  <c r="X15" i="3"/>
  <c r="X14" i="3"/>
  <c r="X12" i="3"/>
  <c r="X11" i="3"/>
  <c r="A20" i="1"/>
  <c r="C20" i="1"/>
  <c r="G20" i="1"/>
  <c r="W39" i="3" l="1"/>
  <c r="Y39" i="3" s="1"/>
  <c r="X41" i="3"/>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19" i="6"/>
  <c r="X44"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Z41" i="3" l="1"/>
  <c r="V41" i="3"/>
  <c r="Y41" i="3"/>
  <c r="AA41" i="3" l="1"/>
  <c r="AA43" i="3" s="1"/>
  <c r="AA45" i="3" s="1"/>
  <c r="W41"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sharedStrings.xml><?xml version="1.0" encoding="utf-8"?>
<sst xmlns="http://schemas.openxmlformats.org/spreadsheetml/2006/main" count="351" uniqueCount="224">
  <si>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</si>
  <si>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</si>
  <si>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</si>
  <si>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</si>
  <si>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</si>
  <si>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</si>
  <si>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</si>
  <si>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</si>
  <si>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</si>
  <si>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</si>
  <si>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</si>
  <si>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</si>
  <si>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</si>
  <si>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</si>
  <si>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</si>
  <si>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</si>
  <si>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</si>
  <si>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</si>
  <si>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</si>
  <si>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</si>
  <si>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</si>
  <si>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</si>
  <si>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</si>
  <si>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</si>
  <si>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</si>
  <si>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</si>
  <si>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</si>
  <si>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</si>
  <si>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</si>
  <si>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</si>
  <si>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</si>
  <si>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</si>
  <si>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</si>
  <si>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</si>
  <si>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</si>
  <si>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</si>
  <si>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</si>
  <si>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</si>
  <si>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</si>
  <si>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</si>
  <si>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</si>
  <si>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</si>
  <si>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</si>
  <si>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</si>
  <si>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</si>
  <si>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</si>
  <si>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</si>
  <si>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</si>
  <si>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</si>
  <si>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</si>
  <si>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</si>
  <si>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</si>
  <si>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</si>
  <si>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</si>
  <si>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</si>
  <si>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</si>
  <si>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</si>
  <si>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</si>
  <si>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</si>
  <si>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</si>
  <si>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</si>
  <si>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</si>
  <si>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</si>
  <si>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</si>
  <si>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</si>
  <si>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</si>
  <si>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</si>
  <si>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</si>
  <si>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</si>
  <si>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</si>
  <si>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</si>
  <si>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</si>
  <si>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</si>
  <si>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</si>
  <si>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</si>
  <si>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</si>
  <si>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</si>
  <si>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</si>
  <si>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</si>
  <si>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</si>
  <si>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</si>
  <si>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</si>
  <si>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</si>
  <si>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</si>
  <si>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</si>
  <si>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</si>
  <si>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</si>
  <si>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</si>
  <si>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</si>
  <si>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</si>
  <si>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</si>
  <si>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</si>
  <si>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</si>
  <si>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</si>
  <si>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</si>
  <si>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</si>
  <si>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</si>
  <si>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</si>
  <si>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</si>
  <si>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</si>
  <si>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</si>
  <si>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</si>
  <si>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</si>
  <si>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</si>
  <si>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</si>
  <si>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</si>
  <si>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</si>
  <si>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</si>
  <si>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</si>
  <si>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</si>
  <si>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</si>
  <si>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</si>
  <si>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</si>
  <si>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</si>
  <si>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</si>
  <si>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</si>
  <si>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</si>
  <si>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</si>
  <si>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</si>
  <si>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</si>
  <si>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</si>
  <si>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</si>
  <si>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</si>
  <si>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</si>
  <si>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</si>
  <si>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</si>
  <si>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</si>
  <si>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</si>
  <si>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</si>
  <si>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</si>
  <si>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</si>
  <si>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</si>
  <si>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</si>
  <si>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</si>
  <si>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</si>
  <si>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</si>
  <si>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</si>
  <si>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</si>
  <si>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</si>
  <si>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</si>
  <si>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</si>
  <si>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</si>
  <si>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</si>
  <si>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</si>
  <si>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</si>
  <si>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</si>
  <si>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</si>
  <si>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</si>
  <si>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</si>
  <si>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</si>
  <si>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</si>
  <si>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</si>
  <si>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</si>
  <si>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</si>
  <si>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</si>
  <si>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</si>
  <si>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</si>
  <si>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</si>
  <si>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</si>
  <si>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</si>
  <si>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</si>
  <si>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</si>
  <si>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</si>
  <si>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</si>
  <si>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</si>
  <si>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</si>
  <si>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</si>
  <si>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</si>
  <si>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</si>
  <si>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</si>
  <si>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</si>
  <si>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</si>
  <si>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</si>
  <si>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</si>
  <si>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</si>
  <si>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</si>
  <si>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</si>
  <si>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</si>
  <si>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</si>
  <si>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</si>
  <si>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</si>
  <si>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</si>
  <si>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</si>
  <si>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</si>
  <si>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</si>
  <si>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</si>
  <si>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</si>
  <si>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</si>
  <si>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</si>
  <si>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</si>
  <si>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</si>
  <si>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</si>
  <si>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</si>
  <si>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</si>
  <si>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</si>
  <si>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</si>
  <si>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</si>
  <si>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</si>
  <si>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</si>
  <si>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</si>
  <si>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</si>
  <si>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</si>
  <si>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C2 CB Assembled @ SLAC</t>
  </si>
  <si>
    <t>Mod 011: C1 CB Assembled @ SLAC</t>
  </si>
  <si>
    <t>No</t>
  </si>
  <si>
    <t>Column2</t>
  </si>
  <si>
    <t>David Clark</t>
  </si>
  <si>
    <t>Multiple Lines paid or drawn down for Fab and mods</t>
  </si>
  <si>
    <t>Multiple Lines paid or drawn down for Fab of all vessels</t>
  </si>
  <si>
    <t>6,16,17,18,23,24</t>
  </si>
  <si>
    <t>6,9,10,11,12,14,15,17,20,23,24</t>
  </si>
  <si>
    <t>John Hogan</t>
  </si>
  <si>
    <t>line 9</t>
  </si>
  <si>
    <t>line 7</t>
  </si>
  <si>
    <t>line 13</t>
  </si>
  <si>
    <t>Multiple Lines paid or drawn down for Fab on all vessels</t>
  </si>
  <si>
    <t>17,18,19 (piad in full),23,24</t>
  </si>
  <si>
    <t>Mod 12: Shipping C2 UCB</t>
  </si>
  <si>
    <t>Mod 12: Shipping C2 LCB</t>
  </si>
  <si>
    <t>Remaining Unfunded (or % complete)</t>
  </si>
  <si>
    <t>Multiple Lines paid or drawn down for Fab of vessels</t>
  </si>
  <si>
    <t>17, 18, 23, 24</t>
  </si>
  <si>
    <t>17, 24</t>
  </si>
  <si>
    <t>18,23,24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</si>
</sst>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
  </numFmts>
  <fonts count="35"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ont>
    <font>
      <b/>
      <sz val="10"/>
      <name val="Arial"/>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95">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5" fillId="14" borderId="4" xfId="0" applyNumberFormat="1" applyFont="1" applyFill="1" applyBorder="1" applyProtection="1">
      <protection locked="0"/>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166" fontId="8" fillId="0" borderId="2" xfId="8" applyFont="1" applyBorder="1" applyAlignment="1" applyProtection="1"/>
    <xf numFmtId="10" fontId="0" fillId="0" borderId="0" xfId="0" applyNumberFormat="1" applyFont="1" applyBorder="1" applyAlignment="1" applyProtection="1">
      <alignment horizontal="center"/>
      <protection locked="0"/>
    </xf>
    <xf numFmtId="168" fontId="0" fillId="0" borderId="0" xfId="0" applyNumberFormat="1" applyFont="1" applyBorder="1" applyAlignment="1" applyProtection="1">
      <alignment horizontal="center"/>
      <protection locked="0"/>
    </xf>
    <xf numFmtId="9" fontId="0" fillId="0" borderId="32" xfId="0" applyNumberFormat="1" applyFont="1" applyBorder="1" applyAlignment="1" applyProtection="1">
      <alignment horizontal="center"/>
      <protection locked="0"/>
    </xf>
    <xf numFmtId="44" fontId="0" fillId="0" borderId="0" xfId="0" applyNumberFormat="1" applyFont="1" applyBorder="1" applyProtection="1">
      <protection locked="0"/>
    </xf>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0" borderId="0" xfId="1" applyNumberFormat="1" applyFont="1" applyAlignment="1">
      <alignment horizontal="center"/>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2" fontId="0" fillId="0" borderId="0" xfId="0" applyNumberFormat="1"/>
    <xf numFmtId="14" fontId="5" fillId="15" borderId="1" xfId="0" applyNumberFormat="1" applyFont="1" applyFill="1" applyBorder="1" applyAlignment="1" applyProtection="1">
      <alignment wrapText="1"/>
      <protection locked="0"/>
    </xf>
    <xf numFmtId="0" fontId="5" fillId="0" borderId="0" xfId="0" applyFont="1" applyFill="1" applyAlignment="1">
      <alignment horizontal="right"/>
    </xf>
    <xf numFmtId="3" fontId="0" fillId="0" borderId="0" xfId="0" applyNumberFormat="1" applyFill="1"/>
    <xf numFmtId="0" fontId="0" fillId="0" borderId="0" xfId="0" applyAlignment="1">
      <alignment horizontal="right" wrapText="1"/>
    </xf>
    <xf numFmtId="3" fontId="0" fillId="14" borderId="4" xfId="0" applyNumberFormat="1" applyFill="1" applyBorder="1" applyProtection="1">
      <protection locked="0"/>
    </xf>
    <xf numFmtId="1" fontId="0" fillId="0" borderId="0" xfId="0" applyNumberFormat="1"/>
    <xf numFmtId="3" fontId="5" fillId="0" borderId="0" xfId="0" applyNumberFormat="1" applyFont="1"/>
    <xf numFmtId="9" fontId="0" fillId="0" borderId="0" xfId="1" applyNumberFormat="1" applyFont="1"/>
    <xf numFmtId="165" fontId="33" fillId="0" borderId="31" xfId="0" applyNumberFormat="1" applyFont="1" applyFill="1" applyBorder="1" applyAlignment="1" applyProtection="1">
      <alignment horizontal="center" vertical="center" wrapText="1"/>
    </xf>
    <xf numFmtId="44" fontId="34" fillId="0" borderId="0" xfId="0" applyNumberFormat="1" applyFont="1" applyFill="1"/>
    <xf numFmtId="0" fontId="34" fillId="0" borderId="0" xfId="0" applyFont="1" applyFill="1"/>
    <xf numFmtId="166" fontId="5" fillId="0" borderId="2" xfId="8" applyFont="1" applyFill="1" applyBorder="1" applyAlignment="1" applyProtection="1"/>
    <xf numFmtId="166" fontId="5" fillId="4" borderId="2" xfId="8" applyNumberFormat="1" applyFont="1" applyFill="1" applyBorder="1" applyAlignment="1" applyProtection="1"/>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74" fontId="0" fillId="0" borderId="0" xfId="1" applyNumberFormat="1" applyFont="1"/>
    <xf numFmtId="166" fontId="8" fillId="0" borderId="2" xfId="8" applyFont="1" applyFill="1" applyBorder="1" applyAlignment="1" applyProtection="1"/>
    <xf numFmtId="9" fontId="5" fillId="4" borderId="1" xfId="1" applyNumberFormat="1" applyFont="1" applyFill="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Fill="1" applyProtection="1"/>
    <xf numFmtId="174" fontId="8" fillId="0" borderId="1" xfId="1" applyNumberFormat="1" applyFont="1" applyFill="1" applyBorder="1" applyAlignment="1" applyProtection="1">
      <alignment horizontal="center"/>
    </xf>
    <xf numFmtId="10" fontId="8" fillId="0" borderId="0" xfId="0" applyNumberFormat="1" applyFont="1" applyFill="1" applyBorder="1" applyProtection="1"/>
    <xf numFmtId="0" fontId="8" fillId="0" borderId="2" xfId="1" applyNumberFormat="1" applyFont="1" applyFill="1" applyBorder="1" applyAlignment="1" applyProtection="1">
      <alignment horizontal="center"/>
    </xf>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84">
    <dxf>
      <font>
        <b/>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border diagonalUp="0" diagonalDown="0" outline="0">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bottom" textRotation="0" wrapText="1"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outline="0">
        <left/>
        <right/>
        <top style="thin">
          <color indexed="64"/>
        </top>
        <bottom/>
      </border>
    </dxf>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numFmt numFmtId="0" formatCode="General"/>
    </dxf>
    <dxf>
      <numFmt numFmtId="0" formatCode="General"/>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style="thin">
          <color indexed="64"/>
        </bottom>
      </border>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C41" totalsRowCount="1" headerRowDxfId="81" totalsRowDxfId="80">
  <autoFilter ref="A10:AC40"/>
  <tableColumns count="29">
    <tableColumn id="2" name="Milestone #" dataDxfId="79" totalsRowDxfId="28"/>
    <tableColumn id="21" name="PO Line #" dataDxfId="78" totalsRowDxfId="27"/>
    <tableColumn id="3" name="Description" dataDxfId="77" totalsRowDxfId="26"/>
    <tableColumn id="4" name="Est Date" dataDxfId="76" totalsRowDxfId="25" dataCellStyle="Normal 4"/>
    <tableColumn id="5" name="Beg % Complete" dataDxfId="75" totalsRowDxfId="24" dataCellStyle="Percent"/>
    <tableColumn id="6" name="Nov-16" dataDxfId="74" totalsRowDxfId="23" dataCellStyle="Percent"/>
    <tableColumn id="7" name="Dec-16" dataDxfId="73" totalsRowDxfId="22" dataCellStyle="Percent"/>
    <tableColumn id="8" name="Jan-17" dataDxfId="72" totalsRowDxfId="21" dataCellStyle="Currency"/>
    <tableColumn id="9" name="Feb-17" dataDxfId="71" totalsRowDxfId="20" dataCellStyle="Percent"/>
    <tableColumn id="10" name="Mar-17" dataDxfId="70" totalsRowDxfId="19" dataCellStyle="Percent"/>
    <tableColumn id="11" name="Apr-17" dataDxfId="69" totalsRowDxfId="18" dataCellStyle="Percent"/>
    <tableColumn id="12" name="May-17" dataDxfId="68" totalsRowDxfId="17" dataCellStyle="Percent"/>
    <tableColumn id="13" name="Jun-17" dataDxfId="67" totalsRowDxfId="16" dataCellStyle="Percent"/>
    <tableColumn id="14" name="Jul-17" dataDxfId="66" totalsRowDxfId="15" dataCellStyle="Percent"/>
    <tableColumn id="15" name="Aug-17" dataDxfId="65" totalsRowDxfId="14" dataCellStyle="Percent"/>
    <tableColumn id="16" name="Sep-17" dataDxfId="64" totalsRowDxfId="13" dataCellStyle="Percent"/>
    <tableColumn id="17" name="Oct-17" dataDxfId="63" totalsRowDxfId="12" dataCellStyle="Percent"/>
    <tableColumn id="18" name="Nov-17" dataDxfId="62" totalsRowDxfId="11" dataCellStyle="Percent"/>
    <tableColumn id="19" name="Dec-17" dataDxfId="61" totalsRowDxfId="10" dataCellStyle="Percent"/>
    <tableColumn id="20" name="% Complete" dataDxfId="60" totalsRowDxfId="9" dataCellStyle="Percent">
      <calculatedColumnFormula>IF(D11&gt;0,SUM(F11:K11)/U11+E11,0)</calculatedColumnFormula>
    </tableColumn>
    <tableColumn id="22" name="PO Line Total" totalsRowFunction="custom" dataDxfId="59" totalsRowDxfId="8" dataCellStyle="Currency">
      <totalsRowFormula>SUM(U11:U40)</totalsRowFormula>
    </tableColumn>
    <tableColumn id="26" name="Work Complete" totalsRowFunction="sum" dataDxfId="58" totalsRowDxfId="7"/>
    <tableColumn id="28" name="Eligible for Voucher Amt" totalsRowFunction="sum" dataDxfId="57" totalsRowDxfId="6"/>
    <tableColumn id="30" name="Total Paid" totalsRowFunction="sum" dataDxfId="56" totalsRowDxfId="5">
      <calculatedColumnFormula>SUMIF(Invoices!$C$2:$C$1048576,' Accting USE Data Entry Form'!$C$11:$C$40,Invoices!$E$2:$E$1048576)</calculatedColumnFormula>
    </tableColumn>
    <tableColumn id="32" name="Completed  Work Retention Amt" totalsRowFunction="sum" dataDxfId="55" totalsRowDxfId="4"/>
    <tableColumn id="1" name="Work Remaining" totalsRowFunction="sum" dataDxfId="54" totalsRowDxfId="3" dataCellStyle="Currency"/>
    <tableColumn id="23" name="Remaining Unfunded (or % complete)" totalsRowFunction="sum" totalsRowDxfId="2" dataCellStyle="Currency"/>
    <tableColumn id="24" name="Column1" dataDxfId="53" totalsRowDxfId="1"/>
    <tableColumn id="25" name="Column2" dataDxfId="52" totalsRowDxfId="0"/>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19" totalsRowCount="1" headerRowDxfId="51">
  <autoFilter ref="A1:G18"/>
  <sortState ref="A2:H13">
    <sortCondition ref="A2:A13"/>
  </sortState>
  <tableColumns count="7">
    <tableColumn id="1" name="Invoice #" totalsRowLabel="Total"/>
    <tableColumn id="2" name="Invoice Date" dataDxfId="50"/>
    <tableColumn id="3" name="Description"/>
    <tableColumn id="7" name="Invoice Amount" dataCellStyle="Currency"/>
    <tableColumn id="4" name="Approved Amount" totalsRowFunction="sum" totalsRowDxfId="49" dataCellStyle="Currency"/>
    <tableColumn id="5" name="Approval Date" dataDxfId="48" totalsRowDxfId="47"/>
    <tableColumn id="6" name="PO line" dataDxfId="46"/>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45">
  <autoFilter ref="A1:H24"/>
  <sortState ref="A2:G15">
    <sortCondition ref="B1:B15"/>
  </sortState>
  <tableColumns count="8">
    <tableColumn id="1" name="C" totalsRowLabel="Total" dataDxfId="44"/>
    <tableColumn id="2" name="Mod#" dataDxfId="43"/>
    <tableColumn id="3" name="New Award Sched Line" dataDxfId="42" totalsRowDxfId="41"/>
    <tableColumn id="8" name="Cost Point PO Line Item" dataDxfId="40" totalsRowDxfId="39"/>
    <tableColumn id="4" name="Description"/>
    <tableColumn id="5" name="Unit" dataDxfId="38" totalsRowDxfId="37"/>
    <tableColumn id="6" name="Unit Amount" totalsRowDxfId="36" dataCellStyle="Currency"/>
    <tableColumn id="7" name="Total" totalsRowFunction="sum" totalsRowDxfId="35"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34"/>
    <tableColumn id="4" name="Issued By" dataDxfId="33"/>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31" totalsRowDxfId="30">
      <calculatedColumnFormula>A3+7</calculatedColumnFormula>
    </tableColumn>
    <tableColumn id="5" name="Time" dataDxfId="29"/>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27" zoomScaleNormal="100" workbookViewId="0">
      <selection activeCell="O48" sqref="O48"/>
    </sheetView>
  </sheetViews>
  <sheetFormatPr defaultColWidth="9.109375" defaultRowHeight="13.2" x14ac:dyDescent="0.25"/>
  <cols>
    <col min="1" max="1" width="8.6640625" style="10" customWidth="1"/>
    <col min="2" max="2" width="3.6640625" style="10" customWidth="1"/>
    <col min="3" max="3" width="12.664062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1" width="10.109375" style="10" bestFit="1" customWidth="1"/>
    <col min="12" max="16384" width="9.109375" style="10"/>
  </cols>
  <sheetData>
    <row r="1" spans="1:12" ht="15.6" x14ac:dyDescent="0.3">
      <c r="A1" s="277" t="s">
        <v>4</v>
      </c>
      <c r="B1" s="277"/>
      <c r="C1" s="277"/>
      <c r="D1" s="277"/>
      <c r="E1" s="277"/>
      <c r="F1" s="277"/>
      <c r="G1" s="277"/>
      <c r="H1" s="277"/>
      <c r="I1" s="277"/>
      <c r="J1" s="277"/>
      <c r="K1" s="277"/>
      <c r="L1" s="277"/>
    </row>
    <row r="2" spans="1:12" ht="15.6" x14ac:dyDescent="0.3">
      <c r="A2" s="277" t="s">
        <v>25</v>
      </c>
      <c r="B2" s="277"/>
      <c r="C2" s="277"/>
      <c r="D2" s="277"/>
      <c r="E2" s="277"/>
      <c r="F2" s="277"/>
      <c r="G2" s="277"/>
      <c r="H2" s="277"/>
      <c r="I2" s="277"/>
      <c r="J2" s="277"/>
      <c r="K2" s="277"/>
      <c r="L2" s="277"/>
    </row>
    <row r="3" spans="1:12" ht="15.6" x14ac:dyDescent="0.3">
      <c r="A3" s="277" t="s">
        <v>12</v>
      </c>
      <c r="B3" s="277"/>
      <c r="C3" s="277"/>
      <c r="D3" s="277"/>
      <c r="E3" s="277"/>
      <c r="F3" s="277"/>
      <c r="G3" s="277"/>
      <c r="H3" s="277"/>
      <c r="I3" s="277"/>
      <c r="J3" s="277"/>
      <c r="K3" s="277"/>
      <c r="L3" s="277"/>
    </row>
    <row r="4" spans="1:12" ht="27.75" customHeight="1" x14ac:dyDescent="0.3">
      <c r="A4" s="277"/>
      <c r="B4" s="277"/>
      <c r="C4" s="277"/>
      <c r="D4" s="277"/>
      <c r="E4" s="277"/>
      <c r="F4" s="277"/>
      <c r="G4" s="277"/>
      <c r="H4" s="277"/>
      <c r="I4" s="277"/>
      <c r="J4" s="277"/>
    </row>
    <row r="5" spans="1:12" ht="23.25" customHeight="1" x14ac:dyDescent="0.25">
      <c r="A5" s="9" t="s">
        <v>0</v>
      </c>
      <c r="B5" s="11"/>
      <c r="C5" s="62" t="str">
        <f>' Accting USE Data Entry Form'!$C$4</f>
        <v>Air Liquide Advanced Technologies, US Inc. (ALATUS)</v>
      </c>
      <c r="D5" s="21"/>
      <c r="E5" s="69"/>
      <c r="F5" s="21"/>
      <c r="G5" s="21"/>
      <c r="H5" s="35"/>
      <c r="I5" s="11"/>
      <c r="J5" s="12"/>
      <c r="K5" s="13" t="s">
        <v>19</v>
      </c>
      <c r="L5" s="70" t="s">
        <v>204</v>
      </c>
    </row>
    <row r="6" spans="1:12" ht="24.75" customHeight="1" x14ac:dyDescent="0.25">
      <c r="G6" s="11"/>
      <c r="H6" s="11"/>
    </row>
    <row r="7" spans="1:12" x14ac:dyDescent="0.25">
      <c r="A7" s="10" t="s">
        <v>2</v>
      </c>
      <c r="B7" s="11"/>
      <c r="C7" s="69" t="str">
        <f>' Accting USE Data Entry Form'!$C$6</f>
        <v>15-C1196</v>
      </c>
      <c r="D7" s="21"/>
      <c r="E7" s="69"/>
      <c r="F7" s="21"/>
      <c r="G7" s="71" t="s">
        <v>32</v>
      </c>
      <c r="H7" s="35" t="str">
        <f>' Accting USE Data Entry Form'!$C$8</f>
        <v>Peshehonoff</v>
      </c>
      <c r="I7" s="35"/>
      <c r="J7" s="14" t="s">
        <v>36</v>
      </c>
      <c r="K7" s="72">
        <f>' Accting USE Data Entry Form'!$X$4</f>
        <v>43373</v>
      </c>
      <c r="L7" s="21"/>
    </row>
    <row r="8" spans="1:12" x14ac:dyDescent="0.25">
      <c r="K8" s="15" t="s">
        <v>14</v>
      </c>
    </row>
    <row r="9" spans="1:12" s="16" customFormat="1" ht="34.5" customHeight="1" x14ac:dyDescent="0.25">
      <c r="A9" s="63" t="s">
        <v>1</v>
      </c>
      <c r="C9" s="63" t="s">
        <v>5</v>
      </c>
      <c r="D9" s="36"/>
      <c r="E9" s="64" t="s">
        <v>33</v>
      </c>
      <c r="G9" s="62" t="s">
        <v>24</v>
      </c>
      <c r="H9" s="17"/>
      <c r="I9" s="18"/>
      <c r="J9" s="18"/>
      <c r="K9" s="18"/>
      <c r="L9" s="18"/>
    </row>
    <row r="10" spans="1:12" ht="13.2" customHeight="1" x14ac:dyDescent="0.25">
      <c r="A10" s="211">
        <f>IF(' Accting USE Data Entry Form'!B11&gt;0,' Accting USE Data Entry Form'!B11,"")</f>
        <v>1</v>
      </c>
      <c r="B10" s="28"/>
      <c r="C10" s="212">
        <f>' Accting USE Data Entry Form'!T11</f>
        <v>1</v>
      </c>
      <c r="D10" s="213"/>
      <c r="E10" s="104"/>
      <c r="F10" s="28"/>
      <c r="G10" s="214" t="str">
        <f>IF(' Accting USE Data Entry Form'!$C11&gt;0,' Accting USE Data Entry Form'!$C11,"")</f>
        <v>Completion of Kick Off Meeting (KOM)</v>
      </c>
      <c r="H10" s="214"/>
      <c r="I10" s="214"/>
      <c r="J10" s="214"/>
      <c r="K10" s="214"/>
      <c r="L10" s="214"/>
    </row>
    <row r="11" spans="1:12" ht="13.2" customHeight="1" x14ac:dyDescent="0.25">
      <c r="A11" s="211">
        <f>IF(' Accting USE Data Entry Form'!B12&gt;0,' Accting USE Data Entry Form'!B12,"")</f>
        <v>2</v>
      </c>
      <c r="B11" s="28"/>
      <c r="C11" s="212">
        <f>' Accting USE Data Entry Form'!T12</f>
        <v>1</v>
      </c>
      <c r="D11" s="215"/>
      <c r="E11" s="104"/>
      <c r="F11" s="28"/>
      <c r="G11" s="214" t="str">
        <f>IF(' Accting USE Data Entry Form'!$C12&gt;0,' Accting USE Data Entry Form'!$C12,"")</f>
        <v>Preliminary Design Review (PDR)</v>
      </c>
      <c r="H11" s="214"/>
      <c r="I11" s="214"/>
      <c r="J11" s="214"/>
      <c r="K11" s="214"/>
      <c r="L11" s="214"/>
    </row>
    <row r="12" spans="1:12" ht="13.2" customHeight="1" x14ac:dyDescent="0.25">
      <c r="A12" s="211">
        <f>IF(' Accting USE Data Entry Form'!B13&gt;0,' Accting USE Data Entry Form'!B13,"")</f>
        <v>3</v>
      </c>
      <c r="B12" s="28"/>
      <c r="C12" s="212">
        <f>' Accting USE Data Entry Form'!T13</f>
        <v>0.99999998285621616</v>
      </c>
      <c r="D12" s="215"/>
      <c r="E12" s="104"/>
      <c r="F12" s="28"/>
      <c r="G12" s="214" t="str">
        <f>IF(' Accting USE Data Entry Form'!$C13&gt;0,' Accting USE Data Entry Form'!$C13,"")</f>
        <v>MOD 002: Issue order for Long Lead Items,  add engineering*</v>
      </c>
      <c r="H12" s="214"/>
      <c r="I12" s="214"/>
      <c r="J12" s="214"/>
      <c r="K12" s="214"/>
      <c r="L12" s="214"/>
    </row>
    <row r="13" spans="1:12" ht="13.2" customHeight="1" x14ac:dyDescent="0.25">
      <c r="A13" s="211">
        <f>IF(' Accting USE Data Entry Form'!B14&gt;0,' Accting USE Data Entry Form'!B14,"")</f>
        <v>4</v>
      </c>
      <c r="B13" s="28"/>
      <c r="C13" s="212">
        <f>' Accting USE Data Entry Form'!T14</f>
        <v>1</v>
      </c>
      <c r="D13" s="215"/>
      <c r="E13" s="104"/>
      <c r="F13" s="28"/>
      <c r="G13" s="214" t="str">
        <f>IF(' Accting USE Data Entry Form'!$C14&gt;0,' Accting USE Data Entry Form'!$C14,"")</f>
        <v>MOD 003: Complete final design review (FDR)</v>
      </c>
      <c r="H13" s="214"/>
      <c r="I13" s="214"/>
      <c r="J13" s="214"/>
      <c r="K13" s="214"/>
      <c r="L13" s="214"/>
    </row>
    <row r="14" spans="1:12" ht="13.2" customHeight="1" x14ac:dyDescent="0.25">
      <c r="A14" s="211">
        <f>IF(' Accting USE Data Entry Form'!B15&gt;0,' Accting USE Data Entry Form'!B15,"")</f>
        <v>5</v>
      </c>
      <c r="B14" s="28"/>
      <c r="C14" s="212">
        <f>' Accting USE Data Entry Form'!T15</f>
        <v>1</v>
      </c>
      <c r="D14" s="215"/>
      <c r="E14" s="104"/>
      <c r="F14" s="28"/>
      <c r="G14" s="214" t="str">
        <f>IF(' Accting USE Data Entry Form'!$C15&gt;0,' Accting USE Data Entry Form'!$C15,"")</f>
        <v>MOD 004: Delivery of main material to start CB manufacturing at factory</v>
      </c>
      <c r="H14" s="214"/>
      <c r="I14" s="214"/>
      <c r="J14" s="214"/>
      <c r="K14" s="214"/>
      <c r="L14" s="214"/>
    </row>
    <row r="15" spans="1:12" ht="13.2" customHeight="1" x14ac:dyDescent="0.25">
      <c r="A15" s="216">
        <f>IF(' Accting USE Data Entry Form'!B16&gt;0,' Accting USE Data Entry Form'!B16,"")</f>
        <v>6</v>
      </c>
      <c r="B15" s="217"/>
      <c r="C15" s="218">
        <f>' Accting USE Data Entry Form'!T16</f>
        <v>1</v>
      </c>
      <c r="D15" s="219"/>
      <c r="E15" s="221"/>
      <c r="F15" s="217"/>
      <c r="G15" s="214" t="str">
        <f>IF(' Accting USE Data Entry Form'!$C16&gt;0,' Accting USE Data Entry Form'!$C16,"")</f>
        <v>MOD 004: CB1 UCB Fabrication</v>
      </c>
      <c r="H15" s="214"/>
      <c r="I15" s="214"/>
      <c r="J15" s="214"/>
      <c r="K15" s="214"/>
      <c r="L15" s="214"/>
    </row>
    <row r="16" spans="1:12" ht="13.2" customHeight="1" x14ac:dyDescent="0.25">
      <c r="A16" s="216">
        <f>IF(' Accting USE Data Entry Form'!B17&gt;0,' Accting USE Data Entry Form'!B17,"")</f>
        <v>7</v>
      </c>
      <c r="B16" s="217"/>
      <c r="C16" s="218">
        <f>' Accting USE Data Entry Form'!T17</f>
        <v>1</v>
      </c>
      <c r="D16" s="219"/>
      <c r="E16" s="104"/>
      <c r="F16" s="217"/>
      <c r="G16" s="214" t="str">
        <f>IF(' Accting USE Data Entry Form'!$C17&gt;0,' Accting USE Data Entry Form'!$C17,"")</f>
        <v>MOD 005: Customs &amp; Duties for Line 5</v>
      </c>
      <c r="H16" s="214"/>
      <c r="I16" s="214"/>
      <c r="J16" s="214"/>
      <c r="K16" s="214"/>
      <c r="L16" s="214"/>
    </row>
    <row r="17" spans="1:12" ht="13.2" customHeight="1" x14ac:dyDescent="0.25">
      <c r="A17" s="216">
        <f>IF(' Accting USE Data Entry Form'!B18&gt;0,' Accting USE Data Entry Form'!B18,"")</f>
        <v>8</v>
      </c>
      <c r="B17" s="217"/>
      <c r="C17" s="218">
        <f>' Accting USE Data Entry Form'!T18</f>
        <v>1</v>
      </c>
      <c r="D17" s="219"/>
      <c r="E17" s="104"/>
      <c r="F17" s="217"/>
      <c r="G17" s="214" t="str">
        <f>IF(' Accting USE Data Entry Form'!$C18&gt;0,' Accting USE Data Entry Form'!$C18,"")</f>
        <v>MOD 005: UL Stamp for ELE Boxes</v>
      </c>
      <c r="H17" s="214"/>
      <c r="I17" s="214"/>
      <c r="J17" s="214"/>
      <c r="K17" s="214"/>
      <c r="L17" s="214"/>
    </row>
    <row r="18" spans="1:12" ht="13.2" customHeight="1" x14ac:dyDescent="0.25">
      <c r="A18" s="216">
        <f>IF(' Accting USE Data Entry Form'!B19&gt;0,' Accting USE Data Entry Form'!B19,"")</f>
        <v>9</v>
      </c>
      <c r="B18" s="217"/>
      <c r="C18" s="218">
        <f>' Accting USE Data Entry Form'!T19</f>
        <v>1</v>
      </c>
      <c r="D18" s="219"/>
      <c r="E18" s="221"/>
      <c r="F18" s="217"/>
      <c r="G18" s="214" t="str">
        <f>IF(' Accting USE Data Entry Form'!$C19&gt;0,' Accting USE Data Entry Form'!$C19,"")</f>
        <v>MOD 007: Bayonet Relocation</v>
      </c>
      <c r="H18" s="214"/>
      <c r="I18" s="214"/>
      <c r="J18" s="214"/>
      <c r="K18" s="214"/>
      <c r="L18" s="214"/>
    </row>
    <row r="19" spans="1:12" ht="13.2" customHeight="1" x14ac:dyDescent="0.25">
      <c r="A19" s="216">
        <f>IF(' Accting USE Data Entry Form'!B20&gt;0,' Accting USE Data Entry Form'!B20,"")</f>
        <v>10</v>
      </c>
      <c r="B19" s="217"/>
      <c r="C19" s="218">
        <f>' Accting USE Data Entry Form'!T20</f>
        <v>1</v>
      </c>
      <c r="D19" s="219"/>
      <c r="E19" s="221"/>
      <c r="F19" s="217"/>
      <c r="G19" s="214" t="str">
        <f>IF(' Accting USE Data Entry Form'!$C20&gt;0,' Accting USE Data Entry Form'!$C20,"")</f>
        <v>MOD 007: Stair Arrangement Relocation</v>
      </c>
      <c r="H19" s="214"/>
      <c r="I19" s="214"/>
      <c r="J19" s="214"/>
      <c r="K19" s="214"/>
      <c r="L19" s="214"/>
    </row>
    <row r="20" spans="1:12" ht="13.2" customHeight="1" x14ac:dyDescent="0.25">
      <c r="A20" s="216">
        <f>IF(' Accting USE Data Entry Form'!B21&gt;0,' Accting USE Data Entry Form'!B21,"")</f>
        <v>11</v>
      </c>
      <c r="B20" s="217"/>
      <c r="C20" s="218">
        <f>' Accting USE Data Entry Form'!T21</f>
        <v>1</v>
      </c>
      <c r="D20" s="219"/>
      <c r="E20" s="221"/>
      <c r="F20" s="217"/>
      <c r="G20" s="214" t="str">
        <f>IF(' Accting USE Data Entry Form'!$C21&gt;0,' Accting USE Data Entry Form'!$C21,"")</f>
        <v>MOD 008: Cold Box 1 Anchor Design Change</v>
      </c>
      <c r="H20" s="214"/>
      <c r="I20" s="214"/>
      <c r="J20" s="214"/>
      <c r="K20" s="214"/>
      <c r="L20" s="214"/>
    </row>
    <row r="21" spans="1:12" ht="13.2" customHeight="1" x14ac:dyDescent="0.25">
      <c r="A21" s="216">
        <f>IF(' Accting USE Data Entry Form'!B22&gt;0,' Accting USE Data Entry Form'!B22,"")</f>
        <v>12</v>
      </c>
      <c r="B21" s="217"/>
      <c r="C21" s="218">
        <f>' Accting USE Data Entry Form'!T22</f>
        <v>1</v>
      </c>
      <c r="D21" s="219"/>
      <c r="E21" s="221"/>
      <c r="F21" s="217"/>
      <c r="G21" s="214" t="str">
        <f>IF(' Accting USE Data Entry Form'!$C22&gt;0,' Accting USE Data Entry Form'!$C22,"")</f>
        <v>MOD 008: Cold Box 2 Anchor Design Change</v>
      </c>
      <c r="H21" s="214"/>
      <c r="I21" s="214"/>
      <c r="J21" s="214"/>
      <c r="K21" s="214"/>
      <c r="L21" s="214"/>
    </row>
    <row r="22" spans="1:12" ht="13.2" customHeight="1" x14ac:dyDescent="0.25">
      <c r="A22" s="216">
        <f>IF(' Accting USE Data Entry Form'!B23&gt;0,' Accting USE Data Entry Form'!B23,"")</f>
        <v>13</v>
      </c>
      <c r="B22" s="217"/>
      <c r="C22" s="218">
        <f>' Accting USE Data Entry Form'!T23</f>
        <v>1</v>
      </c>
      <c r="D22" s="219"/>
      <c r="E22" s="221"/>
      <c r="F22" s="217"/>
      <c r="G22" s="214" t="str">
        <f>IF(' Accting USE Data Entry Form'!$C23&gt;0,' Accting USE Data Entry Form'!$C23,"")</f>
        <v>MOD 009: Factory acceptance of completed turbines - CP1</v>
      </c>
      <c r="H22" s="214"/>
      <c r="I22" s="214"/>
      <c r="J22" s="214"/>
      <c r="K22" s="214"/>
      <c r="L22" s="214"/>
    </row>
    <row r="23" spans="1:12" ht="13.2" customHeight="1" x14ac:dyDescent="0.25">
      <c r="A23" s="211">
        <f>IF(' Accting USE Data Entry Form'!B24&gt;0,' Accting USE Data Entry Form'!B24,"")</f>
        <v>14</v>
      </c>
      <c r="B23" s="28"/>
      <c r="C23" s="212">
        <f>' Accting USE Data Entry Form'!T24</f>
        <v>1</v>
      </c>
      <c r="D23" s="215"/>
      <c r="E23" s="221"/>
      <c r="F23" s="28"/>
      <c r="G23" s="214" t="str">
        <f>IF(' Accting USE Data Entry Form'!$C24&gt;0,' Accting USE Data Entry Form'!$C24,"")</f>
        <v>MOD 010: Process Mode Calculations</v>
      </c>
      <c r="H23" s="214"/>
      <c r="I23" s="214"/>
      <c r="J23" s="214"/>
      <c r="K23" s="214"/>
      <c r="L23" s="214"/>
    </row>
    <row r="24" spans="1:12" ht="13.2" customHeight="1" x14ac:dyDescent="0.25">
      <c r="A24" s="211">
        <f>IF(' Accting USE Data Entry Form'!B25&gt;0,' Accting USE Data Entry Form'!B25,"")</f>
        <v>15</v>
      </c>
      <c r="B24" s="28"/>
      <c r="C24" s="212">
        <f>' Accting USE Data Entry Form'!T25</f>
        <v>1</v>
      </c>
      <c r="D24" s="215"/>
      <c r="E24" s="221"/>
      <c r="F24" s="28"/>
      <c r="G24" s="214" t="str">
        <f>IF(' Accting USE Data Entry Form'!$C25&gt;0,' Accting USE Data Entry Form'!$C25,"")</f>
        <v>MOD 010: GN2 Vent/ LN2 Drain, Process Mode Calcs</v>
      </c>
      <c r="H24" s="214"/>
      <c r="I24" s="214"/>
      <c r="J24" s="214"/>
      <c r="K24" s="214"/>
      <c r="L24" s="214"/>
    </row>
    <row r="25" spans="1:12" ht="13.2" customHeight="1" x14ac:dyDescent="0.25">
      <c r="A25" s="216">
        <f>IF(' Accting USE Data Entry Form'!B26&gt;0,' Accting USE Data Entry Form'!B26,"")</f>
        <v>16</v>
      </c>
      <c r="B25" s="217"/>
      <c r="C25" s="218">
        <f>' Accting USE Data Entry Form'!T26</f>
        <v>1</v>
      </c>
      <c r="D25" s="219"/>
      <c r="E25" s="221"/>
      <c r="F25" s="217"/>
      <c r="G25" s="214" t="str">
        <f>IF(' Accting USE Data Entry Form'!$C26&gt;0,' Accting USE Data Entry Form'!$C26,"")</f>
        <v>MOD 009: Factory acceptance of completed turbines - CP2</v>
      </c>
      <c r="H25" s="214"/>
      <c r="I25" s="214"/>
      <c r="J25" s="214"/>
      <c r="K25" s="214"/>
      <c r="L25" s="214"/>
    </row>
    <row r="26" spans="1:12" ht="13.2" customHeight="1" x14ac:dyDescent="0.25">
      <c r="A26" s="270">
        <f>IF(' Accting USE Data Entry Form'!B27&gt;0,' Accting USE Data Entry Form'!B27,"")</f>
        <v>17</v>
      </c>
      <c r="B26" s="271"/>
      <c r="C26" s="272">
        <f>' Accting USE Data Entry Form'!T27</f>
        <v>0.91073036221610049</v>
      </c>
      <c r="D26" s="273"/>
      <c r="E26" s="274"/>
      <c r="F26" s="271"/>
      <c r="G26" s="268" t="str">
        <f>IF(' Accting USE Data Entry Form'!$C27&gt;0,' Accting USE Data Entry Form'!$C27,"")</f>
        <v>Mod 004: CB1 LCB Fabrication</v>
      </c>
      <c r="H26" s="268"/>
      <c r="I26" s="268"/>
      <c r="J26" s="260"/>
      <c r="K26" s="268"/>
      <c r="L26" s="268"/>
    </row>
    <row r="27" spans="1:12" ht="13.2" customHeight="1" x14ac:dyDescent="0.25">
      <c r="A27" s="216">
        <f>IF(' Accting USE Data Entry Form'!B28&gt;0,' Accting USE Data Entry Form'!B28,"")</f>
        <v>18</v>
      </c>
      <c r="B27" s="217"/>
      <c r="C27" s="269">
        <f>' Accting USE Data Entry Form'!T28</f>
        <v>1</v>
      </c>
      <c r="D27" s="219"/>
      <c r="E27" s="221"/>
      <c r="F27" s="217"/>
      <c r="G27" s="214" t="str">
        <f>IF(' Accting USE Data Entry Form'!$C28&gt;0,' Accting USE Data Entry Form'!$C28,"")</f>
        <v>Mod 011: C1 UCB AWS Lines 23,25,26,28</v>
      </c>
      <c r="H27" s="214"/>
      <c r="I27" s="214"/>
      <c r="J27" s="214"/>
      <c r="K27" s="214"/>
      <c r="L27" s="214"/>
    </row>
    <row r="28" spans="1:12" ht="13.2" customHeight="1" x14ac:dyDescent="0.25">
      <c r="A28" s="211">
        <f>IF(' Accting USE Data Entry Form'!B29&gt;0,' Accting USE Data Entry Form'!B29,"")</f>
        <v>19</v>
      </c>
      <c r="B28" s="28"/>
      <c r="C28" s="212">
        <f>' Accting USE Data Entry Form'!T29</f>
        <v>1</v>
      </c>
      <c r="D28" s="215"/>
      <c r="E28" s="221"/>
      <c r="F28" s="28"/>
      <c r="G28" s="214" t="str">
        <f>IF(' Accting USE Data Entry Form'!$C29&gt;0,' Accting USE Data Entry Form'!$C29,"")</f>
        <v>Mod 011: C1 UCB Delivery to SLAC</v>
      </c>
      <c r="H28" s="214"/>
      <c r="I28" s="214"/>
      <c r="J28" s="214"/>
      <c r="K28" s="214"/>
      <c r="L28" s="214"/>
    </row>
    <row r="29" spans="1:12" ht="13.2" customHeight="1" x14ac:dyDescent="0.25">
      <c r="A29" s="211">
        <f>IF(' Accting USE Data Entry Form'!B30&gt;0,' Accting USE Data Entry Form'!B30,"")</f>
        <v>20</v>
      </c>
      <c r="B29" s="28"/>
      <c r="C29" s="212">
        <f>' Accting USE Data Entry Form'!T30</f>
        <v>1</v>
      </c>
      <c r="D29" s="215"/>
      <c r="E29" s="221"/>
      <c r="F29" s="28"/>
      <c r="G29" s="214" t="str">
        <f>IF(' Accting USE Data Entry Form'!$C30&gt;0,' Accting USE Data Entry Form'!$C30,"")</f>
        <v>Mod 011: C1 LCB AWS Line 27</v>
      </c>
      <c r="H29" s="214"/>
      <c r="I29" s="214"/>
      <c r="J29" s="214"/>
      <c r="K29" s="214"/>
      <c r="L29" s="261"/>
    </row>
    <row r="30" spans="1:12" ht="13.2" customHeight="1" x14ac:dyDescent="0.25">
      <c r="A30" s="184">
        <f>IF(' Accting USE Data Entry Form'!B31&gt;0,' Accting USE Data Entry Form'!B31,"")</f>
        <v>21</v>
      </c>
      <c r="C30" s="73">
        <f>' Accting USE Data Entry Form'!T31</f>
        <v>0</v>
      </c>
      <c r="D30" s="40"/>
      <c r="E30" s="104"/>
      <c r="G30" s="74" t="str">
        <f>IF(' Accting USE Data Entry Form'!$C31&gt;0,' Accting USE Data Entry Form'!$C31,"")</f>
        <v>Mod 011: C1 LCB Delivery to SLAC</v>
      </c>
      <c r="H30" s="74"/>
      <c r="I30" s="74"/>
      <c r="J30" s="74"/>
      <c r="K30" s="74"/>
      <c r="L30" s="74"/>
    </row>
    <row r="31" spans="1:12" ht="13.2" customHeight="1" x14ac:dyDescent="0.25">
      <c r="A31" s="184">
        <f>IF(' Accting USE Data Entry Form'!B32&gt;0,' Accting USE Data Entry Form'!B32,"")</f>
        <v>22</v>
      </c>
      <c r="C31" s="73">
        <f>' Accting USE Data Entry Form'!T32</f>
        <v>0</v>
      </c>
      <c r="D31" s="40"/>
      <c r="E31" s="104"/>
      <c r="G31" s="74" t="str">
        <f>IF(' Accting USE Data Entry Form'!$C32&gt;0,' Accting USE Data Entry Form'!$C32,"")</f>
        <v>Mod 011: C1 CB Assembled @ SLAC</v>
      </c>
      <c r="H31" s="74"/>
      <c r="I31" s="74"/>
      <c r="J31" s="74"/>
      <c r="K31" s="74"/>
      <c r="L31" s="74"/>
    </row>
    <row r="32" spans="1:12" ht="13.2" customHeight="1" x14ac:dyDescent="0.25">
      <c r="A32" s="262">
        <f>IF(' Accting USE Data Entry Form'!B33&gt;0,' Accting USE Data Entry Form'!B33,"")</f>
        <v>23</v>
      </c>
      <c r="B32" s="263"/>
      <c r="C32" s="264">
        <f>' Accting USE Data Entry Form'!T33</f>
        <v>0.91999990731880243</v>
      </c>
      <c r="D32" s="265"/>
      <c r="E32" s="266"/>
      <c r="F32" s="263"/>
      <c r="G32" s="235" t="str">
        <f>IF(' Accting USE Data Entry Form'!$C33&gt;0,' Accting USE Data Entry Form'!$C33,"")</f>
        <v>Mod 011: C2 UCB Fab &amp; AWS Line 24</v>
      </c>
      <c r="H32" s="235"/>
      <c r="I32" s="235"/>
      <c r="J32" s="235"/>
      <c r="K32" s="74"/>
      <c r="L32" s="74"/>
    </row>
    <row r="33" spans="1:12" ht="13.2" customHeight="1" x14ac:dyDescent="0.25">
      <c r="A33" s="262">
        <f>IF(' Accting USE Data Entry Form'!B34&gt;0,' Accting USE Data Entry Form'!B34,"")</f>
        <v>24</v>
      </c>
      <c r="B33" s="263"/>
      <c r="C33" s="264">
        <f>' Accting USE Data Entry Form'!T34</f>
        <v>0.56000053708577258</v>
      </c>
      <c r="D33" s="265"/>
      <c r="E33" s="266"/>
      <c r="F33" s="263"/>
      <c r="G33" s="235" t="str">
        <f>IF(' Accting USE Data Entry Form'!$C34&gt;0,' Accting USE Data Entry Form'!$C34,"")</f>
        <v>Mod 011: C2 LCB Fabrication</v>
      </c>
      <c r="H33" s="235"/>
      <c r="I33" s="235"/>
      <c r="J33" s="235"/>
      <c r="K33" s="74"/>
      <c r="L33" s="74"/>
    </row>
    <row r="34" spans="1:12" ht="13.2" customHeight="1" x14ac:dyDescent="0.25">
      <c r="A34" s="184">
        <f>IF(' Accting USE Data Entry Form'!B35&gt;0,' Accting USE Data Entry Form'!B35,"")</f>
        <v>25</v>
      </c>
      <c r="C34" s="73">
        <f>' Accting USE Data Entry Form'!T35</f>
        <v>0</v>
      </c>
      <c r="D34" s="40"/>
      <c r="E34" s="104"/>
      <c r="G34" s="74" t="str">
        <f>IF(' Accting USE Data Entry Form'!$C35&gt;0,' Accting USE Data Entry Form'!$C35,"")</f>
        <v>Mod 12: Shipping C2 UCB</v>
      </c>
      <c r="H34" s="74"/>
      <c r="I34" s="74"/>
      <c r="J34" s="74"/>
      <c r="K34" s="74"/>
      <c r="L34" s="74"/>
    </row>
    <row r="35" spans="1:12" ht="13.2" customHeight="1" x14ac:dyDescent="0.25">
      <c r="A35" s="184">
        <f>IF(' Accting USE Data Entry Form'!B36&gt;0,' Accting USE Data Entry Form'!B36,"")</f>
        <v>26</v>
      </c>
      <c r="C35" s="73">
        <f>' Accting USE Data Entry Form'!T36</f>
        <v>0</v>
      </c>
      <c r="D35" s="40"/>
      <c r="E35" s="104"/>
      <c r="G35" s="74" t="str">
        <f>IF(' Accting USE Data Entry Form'!$C36&gt;0,' Accting USE Data Entry Form'!$C36,"")</f>
        <v>Mod 12: Shipping C2 LCB</v>
      </c>
      <c r="H35" s="74"/>
      <c r="I35" s="74"/>
      <c r="J35" s="74"/>
      <c r="K35" s="74"/>
      <c r="L35" s="74"/>
    </row>
    <row r="36" spans="1:12" ht="13.2" customHeight="1" x14ac:dyDescent="0.25">
      <c r="A36" s="184" t="str">
        <f>IF(' Accting USE Data Entry Form'!B37&gt;0,' Accting USE Data Entry Form'!B37,"")</f>
        <v>N/A</v>
      </c>
      <c r="C36" s="73" t="e">
        <f>' Accting USE Data Entry Form'!T37</f>
        <v>#DIV/0!</v>
      </c>
      <c r="D36" s="40"/>
      <c r="E36" s="104"/>
      <c r="G36" s="74" t="str">
        <f>IF(' Accting USE Data Entry Form'!$C37&gt;0,' Accting USE Data Entry Form'!$C37,"")</f>
        <v>C2 CB Assembled @ SLAC</v>
      </c>
      <c r="H36" s="74"/>
      <c r="I36" s="74"/>
      <c r="J36" s="74"/>
      <c r="K36" s="74"/>
      <c r="L36" s="74"/>
    </row>
    <row r="37" spans="1:12" ht="13.2" customHeight="1" x14ac:dyDescent="0.25">
      <c r="A37" s="184" t="str">
        <f>IF(' Accting USE Data Entry Form'!B38&gt;0,' Accting USE Data Entry Form'!B38,"")</f>
        <v>N/A</v>
      </c>
      <c r="C37" s="73" t="e">
        <f>' Accting USE Data Entry Form'!T38</f>
        <v>#DIV/0!</v>
      </c>
      <c r="D37" s="40"/>
      <c r="E37" s="104"/>
      <c r="G37" s="74" t="str">
        <f>IF(' Accting USE Data Entry Form'!$C38&gt;0,' Accting USE Data Entry Form'!$C38,"")</f>
        <v>Commissioning, Training, &amp; Acceptance - CB1</v>
      </c>
      <c r="H37" s="74"/>
      <c r="I37" s="74"/>
      <c r="J37" s="74"/>
      <c r="K37" s="74"/>
      <c r="L37" s="74"/>
    </row>
    <row r="38" spans="1:12" ht="13.2" customHeight="1" x14ac:dyDescent="0.25">
      <c r="A38" s="184" t="str">
        <f>IF(' Accting USE Data Entry Form'!B39&gt;0,' Accting USE Data Entry Form'!B39,"")</f>
        <v>N/A</v>
      </c>
      <c r="C38" s="73" t="e">
        <f>' Accting USE Data Entry Form'!T39</f>
        <v>#DIV/0!</v>
      </c>
      <c r="D38" s="40"/>
      <c r="E38" s="104"/>
      <c r="G38" s="74" t="str">
        <f>IF(' Accting USE Data Entry Form'!$C39&gt;0,' Accting USE Data Entry Form'!$C39,"")</f>
        <v>Delivery of operating and maintenance manuals</v>
      </c>
      <c r="H38" s="74"/>
      <c r="I38" s="74"/>
      <c r="J38" s="74"/>
      <c r="K38" s="74"/>
      <c r="L38" s="74"/>
    </row>
    <row r="39" spans="1:12" ht="13.2" customHeight="1" x14ac:dyDescent="0.25">
      <c r="A39" s="184" t="str">
        <f>IF(' Accting USE Data Entry Form'!B40&gt;0,' Accting USE Data Entry Form'!B40,"")</f>
        <v>N/A</v>
      </c>
      <c r="C39" s="73" t="e">
        <f>' Accting USE Data Entry Form'!T40</f>
        <v>#DIV/0!</v>
      </c>
      <c r="D39" s="40"/>
      <c r="E39" s="104"/>
      <c r="G39" s="74" t="str">
        <f>IF(' Accting USE Data Entry Form'!$C40&gt;0,' Accting USE Data Entry Form'!$C40,"")</f>
        <v>Commissioning, Training, &amp; Acceptance - CB2</v>
      </c>
      <c r="H39" s="74"/>
      <c r="I39" s="74"/>
      <c r="J39" s="74"/>
      <c r="K39" s="74"/>
      <c r="L39" s="74"/>
    </row>
    <row r="40" spans="1:12" ht="13.2" customHeight="1" x14ac:dyDescent="0.25">
      <c r="A40" s="184" t="e">
        <f>IF(' Accting USE Data Entry Form'!#REF!&gt;0,' Accting USE Data Entry Form'!#REF!,"")</f>
        <v>#REF!</v>
      </c>
      <c r="C40" s="73" t="e">
        <f>' Accting USE Data Entry Form'!#REF!</f>
        <v>#REF!</v>
      </c>
      <c r="D40" s="40"/>
      <c r="E40" s="104"/>
      <c r="G40" s="74" t="e">
        <f>IF(' Accting USE Data Entry Form'!#REF!&gt;0,' Accting USE Data Entry Form'!#REF!,"")</f>
        <v>#REF!</v>
      </c>
      <c r="H40" s="74"/>
      <c r="I40" s="74"/>
      <c r="J40" s="74"/>
      <c r="K40" s="74"/>
      <c r="L40" s="74"/>
    </row>
    <row r="41" spans="1:12" ht="13.2" customHeight="1" x14ac:dyDescent="0.25">
      <c r="A41" s="184" t="e">
        <f>IF(' Accting USE Data Entry Form'!#REF!&gt;0,' Accting USE Data Entry Form'!#REF!,"")</f>
        <v>#REF!</v>
      </c>
      <c r="C41" s="73" t="e">
        <f>' Accting USE Data Entry Form'!#REF!</f>
        <v>#REF!</v>
      </c>
      <c r="D41" s="40"/>
      <c r="E41" s="104"/>
      <c r="G41" s="74" t="e">
        <f>IF(' Accting USE Data Entry Form'!#REF!&gt;0,' Accting USE Data Entry Form'!#REF!,"")</f>
        <v>#REF!</v>
      </c>
      <c r="H41" s="74"/>
      <c r="I41" s="74"/>
      <c r="J41" s="74"/>
      <c r="K41" s="74"/>
      <c r="L41" s="74"/>
    </row>
    <row r="42" spans="1:12" ht="13.2" customHeight="1" x14ac:dyDescent="0.25">
      <c r="A42" s="184" t="e">
        <f>IF(' Accting USE Data Entry Form'!#REF!&gt;0,' Accting USE Data Entry Form'!#REF!,"")</f>
        <v>#REF!</v>
      </c>
      <c r="C42" s="73" t="e">
        <f>' Accting USE Data Entry Form'!#REF!</f>
        <v>#REF!</v>
      </c>
      <c r="D42" s="40"/>
      <c r="E42" s="104"/>
      <c r="G42" s="74" t="e">
        <f>IF(' Accting USE Data Entry Form'!#REF!&gt;0,' Accting USE Data Entry Form'!#REF!,"")</f>
        <v>#REF!</v>
      </c>
      <c r="H42" s="74"/>
      <c r="I42" s="74"/>
      <c r="J42" s="74"/>
      <c r="K42" s="74"/>
      <c r="L42" s="74"/>
    </row>
    <row r="43" spans="1:12" ht="13.2" customHeight="1" x14ac:dyDescent="0.25">
      <c r="A43" s="184" t="str">
        <f>IF(' Accting USE Data Entry Form'!B41&gt;0,' Accting USE Data Entry Form'!B41,"")</f>
        <v/>
      </c>
      <c r="C43" s="73">
        <f>' Accting USE Data Entry Form'!T41</f>
        <v>0</v>
      </c>
      <c r="D43" s="40"/>
      <c r="E43" s="104"/>
      <c r="G43" s="74" t="str">
        <f>IF(' Accting USE Data Entry Form'!$C41&gt;0,' Accting USE Data Entry Form'!$C41,"")</f>
        <v/>
      </c>
      <c r="H43" s="74"/>
      <c r="I43" s="74"/>
      <c r="J43" s="74"/>
      <c r="K43" s="74"/>
      <c r="L43" s="74"/>
    </row>
    <row r="44" spans="1:12" ht="13.2" customHeight="1" x14ac:dyDescent="0.25">
      <c r="A44" s="184" t="str">
        <f>IF(' Accting USE Data Entry Form'!B42&gt;0,' Accting USE Data Entry Form'!B42,"")</f>
        <v/>
      </c>
      <c r="C44" s="73">
        <f>' Accting USE Data Entry Form'!T42</f>
        <v>0</v>
      </c>
      <c r="D44" s="40"/>
      <c r="E44" s="104"/>
      <c r="G44" s="74" t="str">
        <f>IF(' Accting USE Data Entry Form'!$C42&gt;0,' Accting USE Data Entry Form'!$C42,"")</f>
        <v/>
      </c>
      <c r="H44" s="74"/>
      <c r="I44" s="74"/>
      <c r="J44" s="74"/>
      <c r="K44" s="74"/>
      <c r="L44" s="74"/>
    </row>
    <row r="45" spans="1:12" ht="13.2" customHeight="1" x14ac:dyDescent="0.25">
      <c r="A45" s="184" t="str">
        <f>IF(' Accting USE Data Entry Form'!B43&gt;0,' Accting USE Data Entry Form'!B43,"")</f>
        <v/>
      </c>
      <c r="C45" s="73">
        <f>' Accting USE Data Entry Form'!T43</f>
        <v>0</v>
      </c>
      <c r="D45" s="40"/>
      <c r="E45" s="104"/>
      <c r="G45" s="74" t="str">
        <f>IF(' Accting USE Data Entry Form'!$C43&gt;0,' Accting USE Data Entry Form'!$C43,"")</f>
        <v/>
      </c>
      <c r="H45" s="74"/>
      <c r="I45" s="74"/>
      <c r="J45" s="74"/>
      <c r="K45" s="74"/>
      <c r="L45" s="74"/>
    </row>
    <row r="46" spans="1:12" ht="25.5" customHeight="1" x14ac:dyDescent="0.25">
      <c r="G46" s="11"/>
      <c r="H46" s="11"/>
      <c r="I46" s="11"/>
    </row>
    <row r="47" spans="1:12" ht="20.25" customHeight="1" x14ac:dyDescent="0.25">
      <c r="A47" s="9" t="s">
        <v>21</v>
      </c>
      <c r="C47" s="37"/>
      <c r="D47" s="11"/>
      <c r="E47" s="37"/>
      <c r="F47" s="11"/>
      <c r="G47" s="11"/>
      <c r="H47" s="275" t="s">
        <v>206</v>
      </c>
      <c r="I47" s="275"/>
      <c r="J47" s="275"/>
      <c r="K47" s="35"/>
      <c r="L47" s="247">
        <v>43363</v>
      </c>
    </row>
    <row r="48" spans="1:12" ht="23.25" customHeight="1" x14ac:dyDescent="0.25">
      <c r="F48" s="278" t="s">
        <v>22</v>
      </c>
      <c r="G48" s="279"/>
      <c r="H48" s="279"/>
      <c r="I48" s="279"/>
      <c r="J48" s="279"/>
      <c r="K48" s="19"/>
      <c r="L48" s="19" t="s">
        <v>3</v>
      </c>
    </row>
    <row r="49" spans="1:12" x14ac:dyDescent="0.25">
      <c r="A49" s="9" t="s">
        <v>20</v>
      </c>
      <c r="F49" s="11"/>
      <c r="G49" s="11"/>
      <c r="H49" s="275" t="s">
        <v>211</v>
      </c>
      <c r="I49" s="276"/>
      <c r="J49" s="276"/>
      <c r="K49" s="35"/>
      <c r="L49" s="75">
        <v>43362</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6"/>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6"/>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83" priority="3">
      <formula>$L$5="no"</formula>
    </cfRule>
  </conditionalFormatting>
  <conditionalFormatting sqref="C10:C45">
    <cfRule type="expression" dxfId="82"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85"/>
      <c r="B1" s="285"/>
      <c r="C1" s="285"/>
      <c r="D1" s="285"/>
      <c r="E1" s="285"/>
      <c r="F1" s="285"/>
      <c r="G1" s="285"/>
      <c r="H1" s="285"/>
    </row>
    <row r="2" spans="1:11" ht="15.6" x14ac:dyDescent="0.3">
      <c r="A2" s="286" t="s">
        <v>4</v>
      </c>
      <c r="B2" s="286"/>
      <c r="C2" s="286"/>
      <c r="D2" s="286"/>
      <c r="E2" s="286"/>
      <c r="F2" s="286"/>
      <c r="G2" s="286"/>
      <c r="H2" s="286"/>
      <c r="I2" s="286"/>
      <c r="J2" s="286"/>
    </row>
    <row r="3" spans="1:11" ht="15.6" x14ac:dyDescent="0.3">
      <c r="A3" s="286" t="s">
        <v>25</v>
      </c>
      <c r="B3" s="286"/>
      <c r="C3" s="286"/>
      <c r="D3" s="286"/>
      <c r="E3" s="286"/>
      <c r="F3" s="286"/>
      <c r="G3" s="286"/>
      <c r="H3" s="286"/>
      <c r="I3" s="286"/>
      <c r="J3" s="286"/>
    </row>
    <row r="4" spans="1:11" ht="15.6" x14ac:dyDescent="0.3">
      <c r="A4" s="286" t="s">
        <v>35</v>
      </c>
      <c r="B4" s="286"/>
      <c r="C4" s="286"/>
      <c r="D4" s="286"/>
      <c r="E4" s="286"/>
      <c r="F4" s="286"/>
      <c r="G4" s="286"/>
      <c r="H4" s="286"/>
      <c r="I4" s="286"/>
      <c r="J4" s="286"/>
    </row>
    <row r="6" spans="1:11" ht="30.75" customHeight="1" x14ac:dyDescent="0.25">
      <c r="A6" s="280" t="s">
        <v>28</v>
      </c>
      <c r="B6" s="281"/>
      <c r="C6" s="281"/>
      <c r="D6" s="281"/>
      <c r="E6" s="281"/>
      <c r="F6" s="281"/>
      <c r="G6" s="281"/>
      <c r="H6" s="281"/>
      <c r="I6" s="281"/>
      <c r="J6" s="281"/>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280" t="s">
        <v>27</v>
      </c>
      <c r="B10" s="281"/>
      <c r="C10" s="281"/>
      <c r="D10" s="281"/>
      <c r="E10" s="281"/>
      <c r="F10" s="281"/>
      <c r="G10" s="281"/>
      <c r="H10" s="281"/>
      <c r="I10" s="281"/>
      <c r="J10" s="281"/>
    </row>
    <row r="11" spans="1:11" ht="65.25" customHeight="1" x14ac:dyDescent="0.25">
      <c r="B11" s="280" t="s">
        <v>37</v>
      </c>
      <c r="C11" s="281"/>
      <c r="D11" s="281"/>
      <c r="E11" s="281"/>
      <c r="F11" s="281"/>
      <c r="G11" s="281"/>
      <c r="H11" s="281"/>
      <c r="I11" s="281"/>
      <c r="J11" s="34"/>
      <c r="K11" s="34"/>
    </row>
    <row r="12" spans="1:11" ht="19.5" customHeight="1" x14ac:dyDescent="0.25">
      <c r="A12" s="8"/>
      <c r="B12" s="8"/>
      <c r="C12" s="8"/>
      <c r="D12" s="8"/>
      <c r="E12" s="8"/>
      <c r="F12" s="8"/>
      <c r="G12" s="8"/>
      <c r="H12" s="8"/>
    </row>
    <row r="13" spans="1:11" ht="43.5" customHeight="1" x14ac:dyDescent="0.25">
      <c r="A13" s="280" t="s">
        <v>34</v>
      </c>
      <c r="B13" s="280"/>
      <c r="C13" s="280"/>
      <c r="D13" s="280"/>
      <c r="E13" s="280"/>
      <c r="F13" s="280"/>
      <c r="G13" s="280"/>
      <c r="H13" s="280"/>
      <c r="I13" s="280"/>
      <c r="J13" s="280"/>
    </row>
    <row r="14" spans="1:11" ht="19.5" customHeight="1" x14ac:dyDescent="0.25">
      <c r="A14" s="8"/>
      <c r="B14" s="8"/>
      <c r="C14" s="8"/>
      <c r="D14" s="8"/>
      <c r="E14" s="8"/>
      <c r="F14" s="8"/>
      <c r="G14" s="8"/>
      <c r="H14" s="8"/>
    </row>
    <row r="15" spans="1:11" ht="54.75" customHeight="1" x14ac:dyDescent="0.25">
      <c r="A15" s="280" t="s">
        <v>29</v>
      </c>
      <c r="B15" s="283"/>
      <c r="C15" s="283"/>
      <c r="D15" s="283"/>
      <c r="E15" s="283"/>
      <c r="F15" s="283"/>
      <c r="G15" s="283"/>
      <c r="H15" s="283"/>
      <c r="I15" s="283"/>
      <c r="J15" s="283"/>
    </row>
    <row r="16" spans="1:11" ht="19.5" customHeight="1" x14ac:dyDescent="0.25"/>
    <row r="17" spans="1:10" ht="39" customHeight="1" x14ac:dyDescent="0.25">
      <c r="A17" s="282" t="s">
        <v>30</v>
      </c>
      <c r="B17" s="284"/>
      <c r="C17" s="284"/>
      <c r="D17" s="284"/>
      <c r="E17" s="284"/>
      <c r="F17" s="284"/>
      <c r="G17" s="284"/>
      <c r="H17" s="284"/>
      <c r="I17" s="284"/>
      <c r="J17" s="284"/>
    </row>
    <row r="18" spans="1:10" ht="19.5" customHeight="1" x14ac:dyDescent="0.25"/>
    <row r="19" spans="1:10" ht="56.25" customHeight="1" x14ac:dyDescent="0.25">
      <c r="A19" s="282" t="s">
        <v>31</v>
      </c>
      <c r="B19" s="284"/>
      <c r="C19" s="284"/>
      <c r="D19" s="284"/>
      <c r="E19" s="284"/>
      <c r="F19" s="284"/>
      <c r="G19" s="284"/>
      <c r="H19" s="284"/>
      <c r="I19" s="284"/>
      <c r="J19" s="284"/>
    </row>
    <row r="20" spans="1:10" ht="20.25" customHeight="1" x14ac:dyDescent="0.25"/>
    <row r="21" spans="1:10" ht="27.75" customHeight="1" x14ac:dyDescent="0.25">
      <c r="A21" s="282" t="s">
        <v>13</v>
      </c>
      <c r="B21" s="282"/>
      <c r="C21" s="282"/>
      <c r="D21" s="282"/>
      <c r="E21" s="282"/>
      <c r="F21" s="282"/>
      <c r="G21" s="282"/>
      <c r="H21" s="282"/>
      <c r="I21" s="282"/>
      <c r="J21" s="28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D48"/>
  <sheetViews>
    <sheetView showGridLines="0" topLeftCell="A2" zoomScale="80" zoomScaleNormal="80" workbookViewId="0">
      <pane xSplit="4" ySplit="9" topLeftCell="V26" activePane="bottomRight" state="frozen"/>
      <selection activeCell="G9" sqref="G9"/>
      <selection pane="topRight" activeCell="G9" sqref="G9"/>
      <selection pane="bottomLeft" activeCell="G9" sqref="G9"/>
      <selection pane="bottomRight" activeCell="V34" sqref="V34"/>
    </sheetView>
  </sheetViews>
  <sheetFormatPr defaultColWidth="29.5546875" defaultRowHeight="13.2" outlineLevelCol="1" x14ac:dyDescent="0.25"/>
  <cols>
    <col min="1" max="1" width="17.6640625" style="100" customWidth="1"/>
    <col min="2" max="2" width="17.6640625" style="145" customWidth="1"/>
    <col min="3" max="3" width="25.77734375" customWidth="1"/>
    <col min="4" max="4" width="17.6640625" customWidth="1"/>
    <col min="5" max="5" width="13" style="43" customWidth="1" collapsed="1"/>
    <col min="6" max="7" width="12.33203125" style="79" hidden="1" customWidth="1" outlineLevel="1"/>
    <col min="8" max="8" width="12.21875" style="102" hidden="1" customWidth="1" outlineLevel="1"/>
    <col min="9" max="10" width="12.33203125" style="79" hidden="1" customWidth="1" outlineLevel="1"/>
    <col min="11" max="11" width="12.109375" style="79" hidden="1" customWidth="1" outlineLevel="1"/>
    <col min="12" max="12" width="12.6640625" style="138" hidden="1" customWidth="1" outlineLevel="1"/>
    <col min="13" max="16" width="12.44140625" style="138" hidden="1" customWidth="1" outlineLevel="1"/>
    <col min="17" max="17" width="11.88671875" style="138" hidden="1" customWidth="1" outlineLevel="1"/>
    <col min="18" max="19" width="12.33203125" style="138" hidden="1" customWidth="1" outlineLevel="1"/>
    <col min="20" max="20" width="17.6640625" style="79" customWidth="1"/>
    <col min="21" max="22" width="17.6640625" customWidth="1"/>
    <col min="23" max="25" width="17.6640625" style="41" customWidth="1"/>
    <col min="26" max="26" width="14.6640625" customWidth="1"/>
    <col min="27" max="27" width="17.33203125" customWidth="1"/>
  </cols>
  <sheetData>
    <row r="1" spans="1:30" ht="15.6" x14ac:dyDescent="0.3">
      <c r="A1" s="286"/>
      <c r="B1" s="286"/>
      <c r="C1" s="287"/>
      <c r="D1" s="287"/>
      <c r="E1" s="287"/>
      <c r="F1" s="287"/>
      <c r="G1" s="287"/>
      <c r="H1" s="287"/>
      <c r="I1" s="287"/>
      <c r="J1" s="287"/>
      <c r="K1" s="287"/>
      <c r="L1" s="287"/>
      <c r="M1" s="287"/>
      <c r="N1" s="287"/>
      <c r="O1" s="287"/>
      <c r="P1" s="287"/>
      <c r="Q1" s="287"/>
      <c r="R1" s="287"/>
      <c r="S1" s="287"/>
      <c r="T1" s="287"/>
      <c r="U1" s="287"/>
      <c r="V1" s="287"/>
      <c r="W1" s="287"/>
      <c r="X1" s="287"/>
      <c r="Y1" s="287"/>
    </row>
    <row r="2" spans="1:30" ht="15.6" x14ac:dyDescent="0.3">
      <c r="A2" s="286"/>
      <c r="B2" s="286"/>
      <c r="C2" s="287"/>
      <c r="D2" s="287"/>
      <c r="E2" s="287"/>
      <c r="F2" s="287"/>
      <c r="G2" s="287"/>
      <c r="H2" s="287"/>
      <c r="I2" s="287"/>
      <c r="J2" s="287"/>
      <c r="K2" s="287"/>
      <c r="L2" s="287"/>
      <c r="M2" s="287"/>
      <c r="N2" s="287"/>
      <c r="O2" s="287"/>
      <c r="P2" s="287"/>
      <c r="Q2" s="287"/>
      <c r="R2" s="287"/>
      <c r="S2" s="287"/>
      <c r="T2" s="287"/>
      <c r="U2" s="287"/>
      <c r="V2" s="287"/>
      <c r="W2" s="287"/>
      <c r="X2" s="287"/>
      <c r="Y2" s="287"/>
    </row>
    <row r="3" spans="1:30" ht="15.6" x14ac:dyDescent="0.3">
      <c r="A3" s="99"/>
      <c r="B3" s="144"/>
      <c r="C3" s="34"/>
      <c r="D3" s="34"/>
      <c r="E3" s="34"/>
      <c r="F3" s="34"/>
      <c r="G3" s="34"/>
      <c r="H3" s="34"/>
      <c r="I3" s="34"/>
      <c r="J3" s="34"/>
      <c r="K3" s="34"/>
      <c r="L3" s="34"/>
      <c r="M3" s="34"/>
      <c r="N3" s="34"/>
      <c r="O3" s="34"/>
      <c r="P3" s="34"/>
      <c r="Q3" s="34"/>
      <c r="R3" s="34"/>
      <c r="S3" s="34"/>
      <c r="T3" s="34"/>
      <c r="U3" s="34"/>
      <c r="V3" s="34"/>
      <c r="W3" s="34"/>
      <c r="X3" s="34"/>
      <c r="Y3" s="34"/>
      <c r="AB3" s="61"/>
    </row>
    <row r="4" spans="1:30" ht="17.399999999999999" x14ac:dyDescent="0.3">
      <c r="A4" s="290" t="s">
        <v>0</v>
      </c>
      <c r="B4" s="290"/>
      <c r="C4" s="65" t="s">
        <v>45</v>
      </c>
      <c r="D4" s="54"/>
      <c r="H4" s="79"/>
      <c r="U4" s="5"/>
      <c r="V4" s="2"/>
      <c r="X4" s="249">
        <v>43373</v>
      </c>
    </row>
    <row r="5" spans="1:30" x14ac:dyDescent="0.25">
      <c r="A5" s="53"/>
      <c r="B5" s="1"/>
      <c r="C5" s="34"/>
      <c r="D5" s="54"/>
      <c r="H5" s="79"/>
      <c r="X5" s="1" t="s">
        <v>6</v>
      </c>
      <c r="AB5" s="248"/>
    </row>
    <row r="6" spans="1:30" x14ac:dyDescent="0.25">
      <c r="A6" s="290" t="s">
        <v>2</v>
      </c>
      <c r="B6" s="290"/>
      <c r="C6" s="66" t="s">
        <v>46</v>
      </c>
      <c r="D6" s="54"/>
      <c r="F6" s="88"/>
      <c r="G6" s="88"/>
      <c r="H6" s="88"/>
      <c r="I6" s="88"/>
      <c r="J6" s="88"/>
      <c r="K6" s="88"/>
      <c r="L6" s="88"/>
      <c r="M6" s="88"/>
      <c r="N6" s="88"/>
      <c r="O6" s="88"/>
      <c r="P6" s="88"/>
      <c r="Q6" s="88"/>
      <c r="R6" s="88"/>
      <c r="S6" s="88"/>
      <c r="U6" s="5"/>
      <c r="W6" s="51" t="s">
        <v>11</v>
      </c>
      <c r="X6" s="47"/>
      <c r="Y6" s="252" t="s">
        <v>213</v>
      </c>
      <c r="Z6">
        <v>1048633</v>
      </c>
      <c r="AA6">
        <f>Z6*99%</f>
        <v>1038146.67</v>
      </c>
      <c r="AB6" s="254"/>
      <c r="AC6">
        <f>AA6/Z6</f>
        <v>0.99</v>
      </c>
    </row>
    <row r="7" spans="1:30" x14ac:dyDescent="0.25">
      <c r="A7" s="44"/>
      <c r="C7" s="67"/>
      <c r="D7" s="2"/>
      <c r="H7" s="79"/>
      <c r="U7" s="6"/>
      <c r="W7" s="42"/>
      <c r="X7" s="47"/>
      <c r="Y7" s="250" t="s">
        <v>212</v>
      </c>
      <c r="Z7" s="251">
        <f>U27+U30</f>
        <v>742963</v>
      </c>
      <c r="AA7" s="61">
        <f>Z7*91%</f>
        <v>676096.33000000007</v>
      </c>
      <c r="AB7" s="255">
        <f>AA7-X27-X30</f>
        <v>74295.330000000075</v>
      </c>
      <c r="AC7">
        <f>Z7*0.79</f>
        <v>586940.77</v>
      </c>
      <c r="AD7" s="61">
        <f>AA7-AC7</f>
        <v>89155.560000000056</v>
      </c>
    </row>
    <row r="8" spans="1:30" x14ac:dyDescent="0.25">
      <c r="A8" s="289" t="s">
        <v>32</v>
      </c>
      <c r="B8" s="289"/>
      <c r="C8" s="68" t="s">
        <v>178</v>
      </c>
      <c r="D8" s="2"/>
      <c r="F8" s="143"/>
      <c r="G8" s="143"/>
      <c r="H8" s="143"/>
      <c r="I8" s="143"/>
      <c r="J8" s="143"/>
      <c r="K8" s="143"/>
      <c r="L8" s="143"/>
      <c r="M8" s="143"/>
      <c r="N8" s="143"/>
      <c r="O8" s="143"/>
      <c r="P8" s="143"/>
      <c r="Q8" s="143"/>
      <c r="R8" s="143"/>
      <c r="S8" s="143"/>
      <c r="T8" s="143"/>
      <c r="U8" s="5"/>
      <c r="W8" s="42"/>
      <c r="X8" s="48"/>
      <c r="Y8" s="41" t="s">
        <v>214</v>
      </c>
    </row>
    <row r="9" spans="1:30" x14ac:dyDescent="0.25">
      <c r="A9" s="86"/>
      <c r="B9" s="86"/>
      <c r="C9" s="68"/>
      <c r="D9" s="2"/>
      <c r="E9" s="143"/>
      <c r="F9" s="143"/>
      <c r="G9" s="143"/>
      <c r="H9" s="143"/>
      <c r="I9" s="143"/>
      <c r="J9" s="143"/>
      <c r="K9" s="143"/>
      <c r="L9" s="143"/>
      <c r="M9" s="143"/>
      <c r="N9" s="143"/>
      <c r="O9" s="143"/>
      <c r="P9" s="143"/>
      <c r="Q9" s="143"/>
      <c r="R9" s="143"/>
      <c r="S9" s="143"/>
      <c r="T9" s="143"/>
      <c r="U9" s="5"/>
      <c r="W9" s="142"/>
      <c r="X9" s="48"/>
      <c r="Y9" s="141"/>
    </row>
    <row r="10" spans="1:30" s="150" customFormat="1" ht="39.6" x14ac:dyDescent="0.25">
      <c r="A10" s="147" t="s">
        <v>68</v>
      </c>
      <c r="B10" s="147" t="s">
        <v>1</v>
      </c>
      <c r="C10" s="147" t="s">
        <v>38</v>
      </c>
      <c r="D10" s="147" t="s">
        <v>39</v>
      </c>
      <c r="E10" s="147" t="s">
        <v>73</v>
      </c>
      <c r="F10" s="148" t="s">
        <v>131</v>
      </c>
      <c r="G10" s="148" t="s">
        <v>132</v>
      </c>
      <c r="H10" s="148" t="s">
        <v>133</v>
      </c>
      <c r="I10" s="148" t="s">
        <v>134</v>
      </c>
      <c r="J10" s="148" t="s">
        <v>135</v>
      </c>
      <c r="K10" s="148" t="s">
        <v>136</v>
      </c>
      <c r="L10" s="148" t="s">
        <v>137</v>
      </c>
      <c r="M10" s="148" t="s">
        <v>138</v>
      </c>
      <c r="N10" s="148" t="s">
        <v>139</v>
      </c>
      <c r="O10" s="148" t="s">
        <v>140</v>
      </c>
      <c r="P10" s="148" t="s">
        <v>141</v>
      </c>
      <c r="Q10" s="148" t="s">
        <v>142</v>
      </c>
      <c r="R10" s="148" t="s">
        <v>143</v>
      </c>
      <c r="S10" s="148" t="s">
        <v>144</v>
      </c>
      <c r="T10" s="149" t="s">
        <v>40</v>
      </c>
      <c r="U10" s="147" t="s">
        <v>17</v>
      </c>
      <c r="V10" s="147" t="s">
        <v>145</v>
      </c>
      <c r="W10" s="147" t="s">
        <v>10</v>
      </c>
      <c r="X10" s="147" t="s">
        <v>146</v>
      </c>
      <c r="Y10" s="147" t="s">
        <v>9</v>
      </c>
      <c r="Z10" s="182" t="s">
        <v>193</v>
      </c>
      <c r="AA10" s="150" t="s">
        <v>219</v>
      </c>
      <c r="AB10" s="150" t="s">
        <v>161</v>
      </c>
      <c r="AC10" s="150" t="s">
        <v>205</v>
      </c>
    </row>
    <row r="11" spans="1:30" ht="26.4" x14ac:dyDescent="0.25">
      <c r="A11" s="191">
        <v>1</v>
      </c>
      <c r="B11" s="191">
        <v>1</v>
      </c>
      <c r="C11" s="192" t="s">
        <v>41</v>
      </c>
      <c r="D11" s="193">
        <v>42285</v>
      </c>
      <c r="E11" s="194">
        <v>1</v>
      </c>
      <c r="F11" s="195"/>
      <c r="G11" s="195"/>
      <c r="H11" s="196"/>
      <c r="I11" s="195"/>
      <c r="J11" s="195"/>
      <c r="K11" s="195"/>
      <c r="L11" s="195"/>
      <c r="M11" s="195"/>
      <c r="N11" s="197"/>
      <c r="O11" s="197"/>
      <c r="P11" s="197"/>
      <c r="Q11" s="197"/>
      <c r="R11" s="197"/>
      <c r="S11" s="197"/>
      <c r="T11" s="198">
        <f t="shared" ref="T11:T18" si="0">IF(D11&gt;0,SUM(F11:S11)/U11+E11,0)</f>
        <v>1</v>
      </c>
      <c r="U11" s="199">
        <v>502100</v>
      </c>
      <c r="V11" s="200">
        <f t="shared" ref="V11:V32" si="1">IF(U11&gt;0,T11*U11,0)</f>
        <v>502100</v>
      </c>
      <c r="W11" s="201">
        <f t="shared" ref="W11:W40" si="2">V11-X11</f>
        <v>0</v>
      </c>
      <c r="X11" s="201">
        <f>SUMIF(Invoices!$C$2:$C$1048576,' Accting USE Data Entry Form'!$C$11:$C$40,Invoices!$E$2:$E$1048576)</f>
        <v>502100</v>
      </c>
      <c r="Y11" s="231">
        <f>+V11-W11-X11</f>
        <v>0</v>
      </c>
      <c r="Z11" s="188">
        <f>Table4[[#This Row],[PO Line Total]]-Table4[[#This Row],[Work Complete]]</f>
        <v>0</v>
      </c>
    </row>
    <row r="12" spans="1:30" ht="26.4" x14ac:dyDescent="0.25">
      <c r="A12" s="191">
        <v>2</v>
      </c>
      <c r="B12" s="191">
        <v>2</v>
      </c>
      <c r="C12" s="192" t="s">
        <v>42</v>
      </c>
      <c r="D12" s="193">
        <v>42439</v>
      </c>
      <c r="E12" s="194">
        <v>1</v>
      </c>
      <c r="F12" s="195"/>
      <c r="G12" s="195"/>
      <c r="H12" s="196"/>
      <c r="I12" s="195"/>
      <c r="J12" s="195"/>
      <c r="K12" s="195"/>
      <c r="L12" s="195"/>
      <c r="M12" s="195"/>
      <c r="N12" s="197"/>
      <c r="O12" s="197"/>
      <c r="P12" s="197"/>
      <c r="Q12" s="197"/>
      <c r="R12" s="197"/>
      <c r="S12" s="197"/>
      <c r="T12" s="198">
        <f t="shared" si="0"/>
        <v>1</v>
      </c>
      <c r="U12" s="199">
        <v>502100</v>
      </c>
      <c r="V12" s="200">
        <f t="shared" si="1"/>
        <v>502100</v>
      </c>
      <c r="W12" s="201">
        <f t="shared" si="2"/>
        <v>0</v>
      </c>
      <c r="X12" s="201">
        <f>SUMIF(Invoices!$C$2:$C$1048576,' Accting USE Data Entry Form'!$C$11:$C$40,Invoices!$E$2:$E$1048576)</f>
        <v>502100</v>
      </c>
      <c r="Y12" s="231">
        <f>+V12-W12-X12</f>
        <v>0</v>
      </c>
      <c r="Z12" s="188">
        <f>Table4[[#This Row],[PO Line Total]]-Table4[[#This Row],[Work Complete]]</f>
        <v>0</v>
      </c>
    </row>
    <row r="13" spans="1:30" ht="39.6" x14ac:dyDescent="0.25">
      <c r="A13" s="191">
        <v>3</v>
      </c>
      <c r="B13" s="191">
        <v>3</v>
      </c>
      <c r="C13" s="202" t="s">
        <v>155</v>
      </c>
      <c r="D13" s="193">
        <v>42468</v>
      </c>
      <c r="E13" s="194">
        <v>0.82251510359474489</v>
      </c>
      <c r="F13" s="195"/>
      <c r="G13" s="195"/>
      <c r="H13" s="196">
        <v>936680</v>
      </c>
      <c r="I13" s="195"/>
      <c r="J13" s="195"/>
      <c r="K13" s="195"/>
      <c r="L13" s="195"/>
      <c r="M13" s="195"/>
      <c r="N13" s="197"/>
      <c r="O13" s="197"/>
      <c r="P13" s="197"/>
      <c r="Q13" s="197"/>
      <c r="R13" s="197"/>
      <c r="S13" s="197"/>
      <c r="T13" s="198">
        <f t="shared" si="0"/>
        <v>0.99999998285621616</v>
      </c>
      <c r="U13" s="199">
        <v>5277520</v>
      </c>
      <c r="V13" s="200">
        <v>5277520</v>
      </c>
      <c r="W13" s="201">
        <f t="shared" si="2"/>
        <v>0</v>
      </c>
      <c r="X13" s="201">
        <v>5277520</v>
      </c>
      <c r="Y13" s="231">
        <f>+V13-W13-X13</f>
        <v>0</v>
      </c>
      <c r="Z13" s="190">
        <f>Table4[[#This Row],[PO Line Total]]-Table4[[#This Row],[Work Complete]]</f>
        <v>0</v>
      </c>
    </row>
    <row r="14" spans="1:30" ht="26.4" x14ac:dyDescent="0.25">
      <c r="A14" s="191">
        <v>4</v>
      </c>
      <c r="B14" s="191">
        <v>4</v>
      </c>
      <c r="C14" s="202" t="s">
        <v>154</v>
      </c>
      <c r="D14" s="193">
        <v>42562</v>
      </c>
      <c r="E14" s="194">
        <f>82/91</f>
        <v>0.90109890109890112</v>
      </c>
      <c r="F14" s="195"/>
      <c r="G14" s="195"/>
      <c r="H14" s="196"/>
      <c r="I14" s="195"/>
      <c r="J14" s="195"/>
      <c r="K14" s="195"/>
      <c r="L14" s="195"/>
      <c r="M14" s="197">
        <v>184143.9560439561</v>
      </c>
      <c r="N14" s="197"/>
      <c r="O14" s="197"/>
      <c r="P14" s="197"/>
      <c r="Q14" s="197"/>
      <c r="R14" s="197"/>
      <c r="S14" s="197"/>
      <c r="T14" s="198">
        <f t="shared" si="0"/>
        <v>1</v>
      </c>
      <c r="U14" s="199">
        <v>1861900</v>
      </c>
      <c r="V14" s="200">
        <f t="shared" si="1"/>
        <v>1861900</v>
      </c>
      <c r="W14" s="201">
        <f t="shared" si="2"/>
        <v>0</v>
      </c>
      <c r="X14" s="201">
        <f>SUMIF(Invoices!$C$2:$C$1048576,' Accting USE Data Entry Form'!$C$11:$C$40,Invoices!$E$2:$E$1048576)</f>
        <v>1861900</v>
      </c>
      <c r="Y14" s="231">
        <f>+V14-W14-X14</f>
        <v>0</v>
      </c>
      <c r="Z14" s="190">
        <f>Table4[[#This Row],[PO Line Total]]-Table4[[#This Row],[Work Complete]]</f>
        <v>0</v>
      </c>
      <c r="AA14" s="61"/>
    </row>
    <row r="15" spans="1:30" ht="39.6" x14ac:dyDescent="0.25">
      <c r="A15" s="191">
        <v>5</v>
      </c>
      <c r="B15" s="191">
        <v>5</v>
      </c>
      <c r="C15" s="203" t="s">
        <v>153</v>
      </c>
      <c r="D15" s="193">
        <v>42685</v>
      </c>
      <c r="E15" s="194">
        <v>0</v>
      </c>
      <c r="F15" s="204"/>
      <c r="G15" s="195"/>
      <c r="H15" s="196">
        <v>910806.01803750009</v>
      </c>
      <c r="I15" s="196">
        <v>1515207.9819624999</v>
      </c>
      <c r="J15" s="195"/>
      <c r="K15" s="195"/>
      <c r="L15" s="195"/>
      <c r="M15" s="195"/>
      <c r="N15" s="197"/>
      <c r="O15" s="197"/>
      <c r="P15" s="197"/>
      <c r="Q15" s="197"/>
      <c r="R15" s="197"/>
      <c r="S15" s="197"/>
      <c r="T15" s="198">
        <f t="shared" si="0"/>
        <v>1</v>
      </c>
      <c r="U15" s="199">
        <v>2426014</v>
      </c>
      <c r="V15" s="200">
        <f t="shared" si="1"/>
        <v>2426014</v>
      </c>
      <c r="W15" s="201">
        <f t="shared" si="2"/>
        <v>0</v>
      </c>
      <c r="X15" s="201">
        <f>SUMIF(Invoices!$C$2:$C$1048576,' Accting USE Data Entry Form'!$C$11:$C$40,Invoices!$E$2:$E$1048576)</f>
        <v>2426014</v>
      </c>
      <c r="Y15" s="231">
        <f>+V15-W15-X15</f>
        <v>0</v>
      </c>
      <c r="Z15" s="190">
        <f>Table4[[#This Row],[PO Line Total]]-Table4[[#This Row],[Work Complete]]</f>
        <v>0</v>
      </c>
    </row>
    <row r="16" spans="1:30" ht="26.4" x14ac:dyDescent="0.25">
      <c r="A16" s="191">
        <v>7</v>
      </c>
      <c r="B16" s="191">
        <v>6</v>
      </c>
      <c r="C16" s="202" t="s">
        <v>194</v>
      </c>
      <c r="D16" s="193">
        <v>43125</v>
      </c>
      <c r="E16" s="194">
        <v>0</v>
      </c>
      <c r="F16" s="81"/>
      <c r="G16" s="81"/>
      <c r="H16" s="90"/>
      <c r="I16" s="81"/>
      <c r="J16" s="81"/>
      <c r="K16" s="81"/>
      <c r="L16" s="81"/>
      <c r="M16" s="81"/>
      <c r="N16" s="139"/>
      <c r="O16" s="139"/>
      <c r="P16" s="139"/>
      <c r="Q16" s="139"/>
      <c r="R16" s="139"/>
      <c r="S16" s="139"/>
      <c r="T16" s="245">
        <f>Table4[[#This Row],[Work Complete]]/Table4[[#This Row],[PO Line Total]]</f>
        <v>1</v>
      </c>
      <c r="U16" s="199">
        <v>741988</v>
      </c>
      <c r="V16" s="199">
        <v>741988</v>
      </c>
      <c r="W16" s="201">
        <f t="shared" si="2"/>
        <v>0</v>
      </c>
      <c r="X16" s="201">
        <f>717582+24406</f>
        <v>741988</v>
      </c>
      <c r="Y16" s="231">
        <v>0</v>
      </c>
      <c r="Z16" s="227">
        <f>Table4[[#This Row],[PO Line Total]]-Table4[[#This Row],[Work Complete]]</f>
        <v>0</v>
      </c>
      <c r="AA16" s="228">
        <f>Table4[[#This Row],[Work Complete]]/Table4[[#This Row],[PO Line Total]]</f>
        <v>1</v>
      </c>
      <c r="AB16" s="232"/>
    </row>
    <row r="17" spans="1:29" ht="26.4" x14ac:dyDescent="0.25">
      <c r="A17" s="191">
        <v>5</v>
      </c>
      <c r="B17" s="191">
        <v>7</v>
      </c>
      <c r="C17" s="192" t="s">
        <v>71</v>
      </c>
      <c r="D17" s="193">
        <v>43507</v>
      </c>
      <c r="E17" s="194">
        <v>0</v>
      </c>
      <c r="F17" s="195"/>
      <c r="G17" s="195"/>
      <c r="H17" s="196"/>
      <c r="I17" s="195"/>
      <c r="J17" s="195"/>
      <c r="K17" s="195"/>
      <c r="L17" s="195"/>
      <c r="M17" s="195"/>
      <c r="N17" s="197"/>
      <c r="O17" s="197"/>
      <c r="P17" s="197"/>
      <c r="Q17" s="197">
        <v>40816</v>
      </c>
      <c r="R17" s="197"/>
      <c r="S17" s="197"/>
      <c r="T17" s="198">
        <f t="shared" si="0"/>
        <v>1</v>
      </c>
      <c r="U17" s="199">
        <v>40816</v>
      </c>
      <c r="V17" s="200">
        <f t="shared" si="1"/>
        <v>40816</v>
      </c>
      <c r="W17" s="201">
        <f t="shared" si="2"/>
        <v>0</v>
      </c>
      <c r="X17" s="201">
        <v>40816</v>
      </c>
      <c r="Y17" s="231">
        <f>+V17-W17-X17</f>
        <v>0</v>
      </c>
      <c r="Z17" s="190">
        <f>Table4[[#This Row],[PO Line Total]]-Table4[[#This Row],[Work Complete]]</f>
        <v>0</v>
      </c>
      <c r="AA17" s="220">
        <f>Table4[[#This Row],[Work Complete]]/Table4[[#This Row],[PO Line Total]]</f>
        <v>1</v>
      </c>
    </row>
    <row r="18" spans="1:29" ht="26.4" x14ac:dyDescent="0.25">
      <c r="A18" s="191">
        <v>5</v>
      </c>
      <c r="B18" s="191">
        <v>8</v>
      </c>
      <c r="C18" s="192" t="s">
        <v>72</v>
      </c>
      <c r="D18" s="193">
        <v>43507</v>
      </c>
      <c r="E18" s="194">
        <v>0</v>
      </c>
      <c r="F18" s="195"/>
      <c r="G18" s="195"/>
      <c r="H18" s="196"/>
      <c r="I18" s="195"/>
      <c r="J18" s="195"/>
      <c r="K18" s="195"/>
      <c r="L18" s="195"/>
      <c r="M18" s="195"/>
      <c r="N18" s="197"/>
      <c r="O18" s="197"/>
      <c r="P18" s="197"/>
      <c r="Q18" s="197">
        <v>5544</v>
      </c>
      <c r="R18" s="197"/>
      <c r="S18" s="197"/>
      <c r="T18" s="198">
        <f t="shared" si="0"/>
        <v>1</v>
      </c>
      <c r="U18" s="199">
        <v>5544</v>
      </c>
      <c r="V18" s="200">
        <f t="shared" si="1"/>
        <v>5544</v>
      </c>
      <c r="W18" s="201">
        <f t="shared" si="2"/>
        <v>0</v>
      </c>
      <c r="X18" s="201">
        <v>5544</v>
      </c>
      <c r="Y18" s="231">
        <f>+V18-W18-X18</f>
        <v>0</v>
      </c>
      <c r="Z18" s="190">
        <f>Table4[[#This Row],[PO Line Total]]-Table4[[#This Row],[Work Complete]]</f>
        <v>0</v>
      </c>
      <c r="AA18" s="220">
        <f>Table4[[#This Row],[Work Complete]]/Table4[[#This Row],[PO Line Total]]</f>
        <v>1</v>
      </c>
    </row>
    <row r="19" spans="1:29" s="232" customFormat="1" ht="26.4" x14ac:dyDescent="0.25">
      <c r="A19" s="191">
        <v>7</v>
      </c>
      <c r="B19" s="191">
        <v>9</v>
      </c>
      <c r="C19" s="230" t="s">
        <v>148</v>
      </c>
      <c r="D19" s="193">
        <v>43507</v>
      </c>
      <c r="E19" s="194"/>
      <c r="F19" s="195"/>
      <c r="G19" s="195"/>
      <c r="H19" s="196"/>
      <c r="I19" s="195"/>
      <c r="J19" s="195"/>
      <c r="K19" s="195"/>
      <c r="L19" s="195"/>
      <c r="M19" s="195"/>
      <c r="N19" s="195"/>
      <c r="O19" s="195"/>
      <c r="P19" s="195"/>
      <c r="Q19" s="195"/>
      <c r="R19" s="195"/>
      <c r="S19" s="195"/>
      <c r="T19" s="198">
        <v>1</v>
      </c>
      <c r="U19" s="233">
        <v>8572</v>
      </c>
      <c r="V19" s="233">
        <f t="shared" si="1"/>
        <v>8572</v>
      </c>
      <c r="W19" s="201">
        <f t="shared" si="2"/>
        <v>0</v>
      </c>
      <c r="X19" s="233">
        <v>8572</v>
      </c>
      <c r="Y19" s="234"/>
      <c r="Z19" s="227">
        <f>Table4[[#This Row],[PO Line Total]]-Table4[[#This Row],[Work Complete]]</f>
        <v>0</v>
      </c>
      <c r="AA19" s="228">
        <f>Table4[[#This Row],[Work Complete]]/Table4[[#This Row],[PO Line Total]]</f>
        <v>1</v>
      </c>
    </row>
    <row r="20" spans="1:29" s="232" customFormat="1" ht="26.4" x14ac:dyDescent="0.25">
      <c r="A20" s="191">
        <v>7</v>
      </c>
      <c r="B20" s="191">
        <v>10</v>
      </c>
      <c r="C20" s="230" t="s">
        <v>149</v>
      </c>
      <c r="D20" s="193">
        <v>43507</v>
      </c>
      <c r="E20" s="194"/>
      <c r="F20" s="195"/>
      <c r="G20" s="195"/>
      <c r="H20" s="196"/>
      <c r="I20" s="195"/>
      <c r="J20" s="195"/>
      <c r="K20" s="195"/>
      <c r="L20" s="195"/>
      <c r="M20" s="195"/>
      <c r="N20" s="195"/>
      <c r="O20" s="195"/>
      <c r="P20" s="195"/>
      <c r="Q20" s="195"/>
      <c r="R20" s="195"/>
      <c r="S20" s="195"/>
      <c r="T20" s="198">
        <v>1</v>
      </c>
      <c r="U20" s="199">
        <v>11962</v>
      </c>
      <c r="V20" s="199">
        <f t="shared" si="1"/>
        <v>11962</v>
      </c>
      <c r="W20" s="201">
        <f t="shared" si="2"/>
        <v>0</v>
      </c>
      <c r="X20" s="201">
        <v>11962</v>
      </c>
      <c r="Y20" s="231"/>
      <c r="Z20" s="227">
        <f>Table4[[#This Row],[PO Line Total]]-Table4[[#This Row],[Work Complete]]</f>
        <v>0</v>
      </c>
      <c r="AA20" s="228">
        <f>Table4[[#This Row],[Work Complete]]/Table4[[#This Row],[PO Line Total]]</f>
        <v>1</v>
      </c>
    </row>
    <row r="21" spans="1:29" s="232" customFormat="1" ht="26.4" x14ac:dyDescent="0.25">
      <c r="A21" s="191">
        <v>7</v>
      </c>
      <c r="B21" s="191">
        <v>11</v>
      </c>
      <c r="C21" s="230" t="s">
        <v>150</v>
      </c>
      <c r="D21" s="193">
        <v>43507</v>
      </c>
      <c r="E21" s="194"/>
      <c r="F21" s="195"/>
      <c r="G21" s="195"/>
      <c r="H21" s="196"/>
      <c r="I21" s="195"/>
      <c r="J21" s="195"/>
      <c r="K21" s="195"/>
      <c r="L21" s="195"/>
      <c r="M21" s="195"/>
      <c r="N21" s="195"/>
      <c r="O21" s="195"/>
      <c r="P21" s="195"/>
      <c r="Q21" s="195"/>
      <c r="R21" s="195"/>
      <c r="S21" s="195"/>
      <c r="T21" s="198">
        <v>1</v>
      </c>
      <c r="U21" s="199">
        <v>57670</v>
      </c>
      <c r="V21" s="199">
        <f t="shared" si="1"/>
        <v>57670</v>
      </c>
      <c r="W21" s="201">
        <f t="shared" si="2"/>
        <v>0</v>
      </c>
      <c r="X21" s="201">
        <v>57670</v>
      </c>
      <c r="Y21" s="231"/>
      <c r="Z21" s="227">
        <f>Table4[[#This Row],[PO Line Total]]-Table4[[#This Row],[Work Complete]]</f>
        <v>0</v>
      </c>
      <c r="AA21" s="228">
        <f>Table4[[#This Row],[Work Complete]]/Table4[[#This Row],[PO Line Total]]</f>
        <v>1</v>
      </c>
    </row>
    <row r="22" spans="1:29" s="232" customFormat="1" ht="26.4" x14ac:dyDescent="0.25">
      <c r="A22" s="191">
        <v>7</v>
      </c>
      <c r="B22" s="191">
        <v>12</v>
      </c>
      <c r="C22" s="230" t="s">
        <v>151</v>
      </c>
      <c r="D22" s="193">
        <v>43507</v>
      </c>
      <c r="E22" s="194"/>
      <c r="F22" s="195"/>
      <c r="G22" s="195"/>
      <c r="H22" s="196"/>
      <c r="I22" s="195"/>
      <c r="J22" s="195"/>
      <c r="K22" s="195"/>
      <c r="L22" s="195"/>
      <c r="M22" s="195"/>
      <c r="N22" s="195"/>
      <c r="O22" s="195"/>
      <c r="P22" s="195"/>
      <c r="Q22" s="195"/>
      <c r="R22" s="195"/>
      <c r="S22" s="195"/>
      <c r="T22" s="198">
        <v>1</v>
      </c>
      <c r="U22" s="199">
        <v>57670</v>
      </c>
      <c r="V22" s="199">
        <f t="shared" si="1"/>
        <v>57670</v>
      </c>
      <c r="W22" s="201">
        <f t="shared" si="2"/>
        <v>0</v>
      </c>
      <c r="X22" s="201">
        <v>57670</v>
      </c>
      <c r="Y22" s="231"/>
      <c r="Z22" s="227">
        <f>Table4[[#This Row],[PO Line Total]]-Table4[[#This Row],[Work Complete]]</f>
        <v>0</v>
      </c>
      <c r="AA22" s="228">
        <f>Table4[[#This Row],[Work Complete]]/Table4[[#This Row],[PO Line Total]]</f>
        <v>1</v>
      </c>
    </row>
    <row r="23" spans="1:29" ht="27.6" customHeight="1" x14ac:dyDescent="0.25">
      <c r="A23" s="191">
        <v>6</v>
      </c>
      <c r="B23" s="191">
        <v>13</v>
      </c>
      <c r="C23" s="202" t="s">
        <v>156</v>
      </c>
      <c r="D23" s="193">
        <v>42972</v>
      </c>
      <c r="E23" s="194">
        <v>0</v>
      </c>
      <c r="F23" s="195"/>
      <c r="G23" s="195"/>
      <c r="H23" s="196"/>
      <c r="I23" s="195"/>
      <c r="J23" s="195"/>
      <c r="K23" s="195"/>
      <c r="L23" s="195"/>
      <c r="M23" s="195"/>
      <c r="N23" s="197">
        <f>930950*0.5</f>
        <v>465475</v>
      </c>
      <c r="O23" s="197"/>
      <c r="P23" s="197"/>
      <c r="Q23" s="197"/>
      <c r="R23" s="197"/>
      <c r="S23" s="197"/>
      <c r="T23" s="198">
        <f>IF(D23&gt;0,SUM(F23:S23)/U23+E23,0)</f>
        <v>1</v>
      </c>
      <c r="U23" s="199">
        <v>465475</v>
      </c>
      <c r="V23" s="199">
        <f t="shared" si="1"/>
        <v>465475</v>
      </c>
      <c r="W23" s="201">
        <f t="shared" si="2"/>
        <v>0</v>
      </c>
      <c r="X23" s="201">
        <v>465475</v>
      </c>
      <c r="Y23" s="231">
        <f>+V23-W23-X23</f>
        <v>0</v>
      </c>
      <c r="Z23" s="190">
        <f>Table4[[#This Row],[PO Line Total]]-Table4[[#This Row],[Work Complete]]</f>
        <v>0</v>
      </c>
      <c r="AA23" s="220">
        <f>Table4[[#This Row],[Work Complete]]/Table4[[#This Row],[PO Line Total]]</f>
        <v>1</v>
      </c>
    </row>
    <row r="24" spans="1:29" s="232" customFormat="1" ht="26.4" x14ac:dyDescent="0.25">
      <c r="A24" s="191">
        <v>7</v>
      </c>
      <c r="B24" s="191">
        <v>14</v>
      </c>
      <c r="C24" s="230" t="s">
        <v>152</v>
      </c>
      <c r="D24" s="193">
        <v>43507</v>
      </c>
      <c r="E24" s="194"/>
      <c r="F24" s="195"/>
      <c r="G24" s="195"/>
      <c r="H24" s="196"/>
      <c r="I24" s="195"/>
      <c r="J24" s="195"/>
      <c r="K24" s="195"/>
      <c r="L24" s="195"/>
      <c r="M24" s="195"/>
      <c r="N24" s="195"/>
      <c r="O24" s="195"/>
      <c r="P24" s="195"/>
      <c r="Q24" s="195"/>
      <c r="R24" s="195"/>
      <c r="S24" s="195"/>
      <c r="T24" s="198">
        <v>1</v>
      </c>
      <c r="U24" s="199">
        <v>33433</v>
      </c>
      <c r="V24" s="199">
        <f t="shared" si="1"/>
        <v>33433</v>
      </c>
      <c r="W24" s="201">
        <f t="shared" si="2"/>
        <v>0</v>
      </c>
      <c r="X24" s="201">
        <v>33433</v>
      </c>
      <c r="Y24" s="231">
        <f t="shared" ref="Y24:Y26" si="3">+V24-W24-X24</f>
        <v>0</v>
      </c>
      <c r="Z24" s="227">
        <f>Table4[[#This Row],[PO Line Total]]-Table4[[#This Row],[Work Complete]]</f>
        <v>0</v>
      </c>
      <c r="AA24" s="228">
        <f>Table4[[#This Row],[Work Complete]]/Table4[[#This Row],[PO Line Total]]</f>
        <v>1</v>
      </c>
    </row>
    <row r="25" spans="1:29" s="232" customFormat="1" ht="26.4" x14ac:dyDescent="0.25">
      <c r="A25" s="191">
        <v>7</v>
      </c>
      <c r="B25" s="191">
        <v>15</v>
      </c>
      <c r="C25" s="230" t="s">
        <v>147</v>
      </c>
      <c r="D25" s="193">
        <v>43507</v>
      </c>
      <c r="E25" s="194">
        <v>0</v>
      </c>
      <c r="F25" s="195"/>
      <c r="G25" s="195"/>
      <c r="H25" s="196"/>
      <c r="I25" s="195"/>
      <c r="J25" s="195"/>
      <c r="K25" s="195"/>
      <c r="L25" s="195"/>
      <c r="M25" s="195"/>
      <c r="N25" s="195"/>
      <c r="O25" s="195"/>
      <c r="P25" s="195"/>
      <c r="Q25" s="195"/>
      <c r="R25" s="195"/>
      <c r="S25" s="195"/>
      <c r="T25" s="198">
        <v>1</v>
      </c>
      <c r="U25" s="199">
        <v>14935</v>
      </c>
      <c r="V25" s="199">
        <f t="shared" si="1"/>
        <v>14935</v>
      </c>
      <c r="W25" s="201">
        <f t="shared" si="2"/>
        <v>0</v>
      </c>
      <c r="X25" s="201">
        <v>14935</v>
      </c>
      <c r="Y25" s="231">
        <f t="shared" si="3"/>
        <v>0</v>
      </c>
      <c r="Z25" s="227">
        <f>Table4[[#This Row],[PO Line Total]]-Table4[[#This Row],[Work Complete]]</f>
        <v>0</v>
      </c>
      <c r="AA25" s="228">
        <f>Table4[[#This Row],[Work Complete]]/Table4[[#This Row],[PO Line Total]]</f>
        <v>1</v>
      </c>
    </row>
    <row r="26" spans="1:29" ht="25.8" customHeight="1" x14ac:dyDescent="0.25">
      <c r="A26" s="191">
        <v>12</v>
      </c>
      <c r="B26" s="222">
        <v>16</v>
      </c>
      <c r="C26" s="203" t="s">
        <v>177</v>
      </c>
      <c r="D26" s="193">
        <v>43174</v>
      </c>
      <c r="E26" s="194"/>
      <c r="F26" s="81"/>
      <c r="G26" s="81"/>
      <c r="H26" s="90"/>
      <c r="I26" s="81"/>
      <c r="J26" s="81"/>
      <c r="K26" s="81"/>
      <c r="L26" s="81"/>
      <c r="M26" s="81"/>
      <c r="N26" s="81"/>
      <c r="O26" s="81"/>
      <c r="P26" s="81"/>
      <c r="Q26" s="81"/>
      <c r="R26" s="81"/>
      <c r="S26" s="81"/>
      <c r="T26" s="243">
        <f>Table4[[#This Row],[Work Complete]]/Table4[[#This Row],[PO Line Total]]</f>
        <v>1</v>
      </c>
      <c r="U26" s="240">
        <v>465475</v>
      </c>
      <c r="V26" s="240">
        <v>465475</v>
      </c>
      <c r="W26" s="241">
        <f t="shared" si="2"/>
        <v>0</v>
      </c>
      <c r="X26" s="241">
        <v>465475</v>
      </c>
      <c r="Y26" s="242">
        <f t="shared" si="3"/>
        <v>0</v>
      </c>
      <c r="Z26" s="227">
        <f>Table4[[#This Row],[PO Line Total]]-Table4[[#This Row],[Work Complete]]</f>
        <v>0</v>
      </c>
      <c r="AA26" s="228">
        <f>Table4[[#This Row],[Work Complete]]/Table4[[#This Row],[PO Line Total]]</f>
        <v>1</v>
      </c>
      <c r="AB26" s="232"/>
    </row>
    <row r="27" spans="1:29" ht="26.4" x14ac:dyDescent="0.25">
      <c r="A27" s="103">
        <v>9</v>
      </c>
      <c r="B27" s="103">
        <v>17</v>
      </c>
      <c r="C27" s="57" t="s">
        <v>195</v>
      </c>
      <c r="D27" s="58">
        <v>43213</v>
      </c>
      <c r="E27" s="52">
        <v>0</v>
      </c>
      <c r="F27" s="81"/>
      <c r="G27" s="81"/>
      <c r="H27" s="90"/>
      <c r="I27" s="81"/>
      <c r="J27" s="81"/>
      <c r="K27" s="81"/>
      <c r="L27" s="81"/>
      <c r="M27" s="81"/>
      <c r="N27" s="139"/>
      <c r="O27" s="139"/>
      <c r="P27" s="139"/>
      <c r="Q27" s="139"/>
      <c r="R27" s="139"/>
      <c r="S27" s="139"/>
      <c r="T27" s="91">
        <f>Table4[[#This Row],[Work Complete]]/Table4[[#This Row],[PO Line Total]]</f>
        <v>0.91073036221610049</v>
      </c>
      <c r="U27" s="185">
        <v>741988</v>
      </c>
      <c r="V27" s="185">
        <f>526811+14577+37362+7216+7430+7430+74925</f>
        <v>675751</v>
      </c>
      <c r="W27" s="187">
        <f t="shared" si="2"/>
        <v>74925</v>
      </c>
      <c r="X27" s="187">
        <f>511669+29719+44578+7430+7430</f>
        <v>600826</v>
      </c>
      <c r="Y27" s="189">
        <f t="shared" ref="Y27:Y40" si="4">+V27-W27-X27</f>
        <v>0</v>
      </c>
      <c r="Z27" s="190">
        <f>Table4[[#This Row],[PO Line Total]]-Table4[[#This Row],[Work Complete]]</f>
        <v>66237</v>
      </c>
      <c r="AA27" s="256">
        <f>Table4[[#This Row],[Work Complete]]/Table4[[#This Row],[PO Line Total]]</f>
        <v>0.91073036221610049</v>
      </c>
      <c r="AB27">
        <v>526811</v>
      </c>
      <c r="AC27">
        <f>Table4[[#This Row],[Work Complete]]-Table4[[#This Row],[Column1]]</f>
        <v>148940</v>
      </c>
    </row>
    <row r="28" spans="1:29" ht="26.4" x14ac:dyDescent="0.25">
      <c r="A28" s="191">
        <v>7</v>
      </c>
      <c r="B28" s="191">
        <v>18</v>
      </c>
      <c r="C28" s="192" t="s">
        <v>196</v>
      </c>
      <c r="D28" s="193">
        <v>43125</v>
      </c>
      <c r="E28" s="194">
        <v>0</v>
      </c>
      <c r="F28" s="195"/>
      <c r="G28" s="195"/>
      <c r="H28" s="196"/>
      <c r="I28" s="195"/>
      <c r="J28" s="195"/>
      <c r="K28" s="195"/>
      <c r="L28" s="195"/>
      <c r="M28" s="195"/>
      <c r="N28" s="197"/>
      <c r="O28" s="197"/>
      <c r="P28" s="197"/>
      <c r="Q28" s="197"/>
      <c r="R28" s="197"/>
      <c r="S28" s="197"/>
      <c r="T28" s="245">
        <f>Table4[[#This Row],[Work Complete]]/Table4[[#This Row],[PO Line Total]]</f>
        <v>1</v>
      </c>
      <c r="U28" s="253">
        <v>122403</v>
      </c>
      <c r="V28" s="253">
        <v>122403</v>
      </c>
      <c r="W28" s="225">
        <f t="shared" si="2"/>
        <v>0</v>
      </c>
      <c r="X28" s="225">
        <f>28026+52432+31459+10486</f>
        <v>122403</v>
      </c>
      <c r="Y28" s="189">
        <f t="shared" si="4"/>
        <v>0</v>
      </c>
      <c r="Z28" s="227">
        <f>Table4[[#This Row],[PO Line Total]]-Table4[[#This Row],[Work Complete]]</f>
        <v>0</v>
      </c>
      <c r="AA28" s="228">
        <f>Table4[[#This Row],[Work Complete]]/Table4[[#This Row],[PO Line Total]]</f>
        <v>1</v>
      </c>
      <c r="AB28" s="232"/>
      <c r="AC28" s="232"/>
    </row>
    <row r="29" spans="1:29" ht="26.4" x14ac:dyDescent="0.25">
      <c r="A29" s="191">
        <v>8</v>
      </c>
      <c r="B29" s="191">
        <v>19</v>
      </c>
      <c r="C29" s="192" t="s">
        <v>197</v>
      </c>
      <c r="D29" s="193">
        <v>43146</v>
      </c>
      <c r="E29" s="195">
        <v>0</v>
      </c>
      <c r="F29" s="195"/>
      <c r="G29" s="195"/>
      <c r="H29" s="196"/>
      <c r="I29" s="195"/>
      <c r="J29" s="195"/>
      <c r="K29" s="195"/>
      <c r="L29" s="195"/>
      <c r="M29" s="195"/>
      <c r="N29" s="197"/>
      <c r="O29" s="197"/>
      <c r="P29" s="197"/>
      <c r="Q29" s="197"/>
      <c r="R29" s="197"/>
      <c r="S29" s="197"/>
      <c r="T29" s="198">
        <f>Table4[[#This Row],[Work Complete]]/Table4[[#This Row],[PO Line Total]]</f>
        <v>1</v>
      </c>
      <c r="U29" s="253">
        <v>232737</v>
      </c>
      <c r="V29" s="253">
        <v>232737</v>
      </c>
      <c r="W29" s="225">
        <f t="shared" si="2"/>
        <v>0</v>
      </c>
      <c r="X29" s="225">
        <f>232737</f>
        <v>232737</v>
      </c>
      <c r="Y29" s="226">
        <f t="shared" si="4"/>
        <v>0</v>
      </c>
      <c r="Z29" s="227">
        <f>Table4[[#This Row],[PO Line Total]]-Table4[[#This Row],[Work Complete]]</f>
        <v>0</v>
      </c>
      <c r="AA29" s="228">
        <f>Table4[[#This Row],[Work Complete]]/Table4[[#This Row],[PO Line Total]]</f>
        <v>1</v>
      </c>
      <c r="AB29" s="232"/>
      <c r="AC29" s="232"/>
    </row>
    <row r="30" spans="1:29" s="229" customFormat="1" ht="26.4" x14ac:dyDescent="0.25">
      <c r="A30" s="222">
        <v>9</v>
      </c>
      <c r="B30" s="222">
        <v>20</v>
      </c>
      <c r="C30" s="223" t="s">
        <v>198</v>
      </c>
      <c r="D30" s="193">
        <v>43213</v>
      </c>
      <c r="E30" s="195">
        <v>0</v>
      </c>
      <c r="F30" s="195"/>
      <c r="G30" s="195"/>
      <c r="H30" s="196"/>
      <c r="I30" s="195"/>
      <c r="J30" s="195"/>
      <c r="K30" s="195"/>
      <c r="L30" s="195"/>
      <c r="M30" s="195"/>
      <c r="N30" s="197"/>
      <c r="O30" s="197"/>
      <c r="P30" s="197"/>
      <c r="Q30" s="197"/>
      <c r="R30" s="197"/>
      <c r="S30" s="197"/>
      <c r="T30" s="198">
        <v>1</v>
      </c>
      <c r="U30" s="224">
        <v>975</v>
      </c>
      <c r="V30" s="224">
        <f t="shared" si="1"/>
        <v>975</v>
      </c>
      <c r="W30" s="225">
        <f t="shared" si="2"/>
        <v>0</v>
      </c>
      <c r="X30" s="225">
        <v>975</v>
      </c>
      <c r="Y30" s="226">
        <f t="shared" si="4"/>
        <v>0</v>
      </c>
      <c r="Z30" s="227">
        <f>Table4[[#This Row],[PO Line Total]]-Table4[[#This Row],[Work Complete]]</f>
        <v>0</v>
      </c>
      <c r="AA30" s="228">
        <f>Table4[[#This Row],[Work Complete]]/Table4[[#This Row],[PO Line Total]]</f>
        <v>1</v>
      </c>
    </row>
    <row r="31" spans="1:29" ht="26.4" x14ac:dyDescent="0.25">
      <c r="A31" s="151">
        <v>10</v>
      </c>
      <c r="B31" s="151">
        <v>21</v>
      </c>
      <c r="C31" s="205" t="s">
        <v>199</v>
      </c>
      <c r="D31" s="58">
        <v>43227</v>
      </c>
      <c r="E31" s="81">
        <v>0</v>
      </c>
      <c r="F31" s="81"/>
      <c r="G31" s="81"/>
      <c r="H31" s="90"/>
      <c r="I31" s="81"/>
      <c r="J31" s="81"/>
      <c r="K31" s="81"/>
      <c r="L31" s="81"/>
      <c r="M31" s="81"/>
      <c r="N31" s="139"/>
      <c r="O31" s="139"/>
      <c r="P31" s="139"/>
      <c r="Q31" s="139"/>
      <c r="R31" s="139"/>
      <c r="S31" s="139"/>
      <c r="T31" s="91">
        <f t="shared" ref="T31:T40" si="5">IF(D31&gt;0,SUM(F31:K31)/U31+E31,0)</f>
        <v>0</v>
      </c>
      <c r="U31" s="185">
        <v>232738</v>
      </c>
      <c r="V31" s="185">
        <f t="shared" si="1"/>
        <v>0</v>
      </c>
      <c r="W31" s="187">
        <f t="shared" si="2"/>
        <v>0</v>
      </c>
      <c r="X31" s="187">
        <f>SUMIF(Invoices!$C$2:$C$1048576,' Accting USE Data Entry Form'!$C$11:$C$40,Invoices!$E$2:$E$1048576)</f>
        <v>0</v>
      </c>
      <c r="Y31" s="189">
        <f t="shared" si="4"/>
        <v>0</v>
      </c>
      <c r="Z31" s="190">
        <f>Table4[[#This Row],[PO Line Total]]-Table4[[#This Row],[Work Complete]]</f>
        <v>232738</v>
      </c>
      <c r="AA31" s="220">
        <f>Table4[[#This Row],[Work Complete]]/Table4[[#This Row],[PO Line Total]]</f>
        <v>0</v>
      </c>
    </row>
    <row r="32" spans="1:29" ht="26.4" x14ac:dyDescent="0.25">
      <c r="A32" s="103">
        <v>11</v>
      </c>
      <c r="B32" s="151">
        <v>22</v>
      </c>
      <c r="C32" s="161" t="s">
        <v>203</v>
      </c>
      <c r="D32" s="206">
        <v>43313</v>
      </c>
      <c r="E32" s="207"/>
      <c r="F32" s="208"/>
      <c r="G32" s="208"/>
      <c r="H32" s="209"/>
      <c r="I32" s="208"/>
      <c r="J32" s="208"/>
      <c r="K32" s="208"/>
      <c r="L32" s="208"/>
      <c r="M32" s="208"/>
      <c r="N32" s="208"/>
      <c r="O32" s="208"/>
      <c r="P32" s="208"/>
      <c r="Q32" s="208"/>
      <c r="R32" s="208"/>
      <c r="S32" s="208"/>
      <c r="T32" s="91">
        <f t="shared" si="5"/>
        <v>0</v>
      </c>
      <c r="U32" s="185">
        <v>465475</v>
      </c>
      <c r="V32" s="185">
        <f t="shared" si="1"/>
        <v>0</v>
      </c>
      <c r="W32" s="187">
        <f t="shared" si="2"/>
        <v>0</v>
      </c>
      <c r="X32" s="146">
        <f>SUMIF(Invoices!$C$2:$C$1048576,' Accting USE Data Entry Form'!$C$11:$C$40,Invoices!$E$2:$E$1048576)</f>
        <v>0</v>
      </c>
      <c r="Y32" s="189">
        <f t="shared" si="4"/>
        <v>0</v>
      </c>
      <c r="Z32" s="190">
        <f>Table4[[#This Row],[PO Line Total]]-Table4[[#This Row],[Work Complete]]</f>
        <v>465475</v>
      </c>
      <c r="AA32" s="220">
        <f>Table4[[#This Row],[Work Complete]]/Table4[[#This Row],[PO Line Total]]</f>
        <v>0</v>
      </c>
    </row>
    <row r="33" spans="1:29" ht="26.4" x14ac:dyDescent="0.25">
      <c r="A33" s="103">
        <v>13</v>
      </c>
      <c r="B33" s="151">
        <v>23</v>
      </c>
      <c r="C33" s="161" t="s">
        <v>200</v>
      </c>
      <c r="D33" s="206">
        <v>43216</v>
      </c>
      <c r="E33" s="207"/>
      <c r="F33" s="208"/>
      <c r="G33" s="208"/>
      <c r="H33" s="209"/>
      <c r="I33" s="208"/>
      <c r="J33" s="208"/>
      <c r="K33" s="208"/>
      <c r="L33" s="208"/>
      <c r="M33" s="208"/>
      <c r="N33" s="208"/>
      <c r="O33" s="208"/>
      <c r="P33" s="208"/>
      <c r="Q33" s="208"/>
      <c r="R33" s="208"/>
      <c r="S33" s="208"/>
      <c r="T33" s="246">
        <f>Table4[[#This Row],[Work Complete]]/Table4[[#This Row],[PO Line Total]]</f>
        <v>0.91999990731880243</v>
      </c>
      <c r="U33" s="185">
        <v>863174</v>
      </c>
      <c r="V33" s="185">
        <f>233057+250320+94950+86317+43159+86317</f>
        <v>794120</v>
      </c>
      <c r="W33" s="187">
        <f t="shared" si="2"/>
        <v>86317</v>
      </c>
      <c r="X33" s="146">
        <f>155371+77686+345270+86317+43159</f>
        <v>707803</v>
      </c>
      <c r="Y33" s="189">
        <f t="shared" si="4"/>
        <v>0</v>
      </c>
      <c r="Z33" s="190">
        <f>Table4[[#This Row],[PO Line Total]]-Table4[[#This Row],[Work Complete]]</f>
        <v>69054</v>
      </c>
      <c r="AA33" s="256">
        <f>Table4[[#This Row],[Work Complete]]/Table4[[#This Row],[PO Line Total]]</f>
        <v>0.91999990731880243</v>
      </c>
      <c r="AB33">
        <f>Table4[[#This Row],[PO Line Total]]*0.92</f>
        <v>794120.08000000007</v>
      </c>
      <c r="AC33" s="254">
        <f>Table4[[#This Row],[Column1]]-Table4[[#This Row],[Work Complete]]</f>
        <v>8.0000000074505806E-2</v>
      </c>
    </row>
    <row r="34" spans="1:29" ht="15.6" x14ac:dyDescent="0.25">
      <c r="A34" s="103">
        <v>15</v>
      </c>
      <c r="B34" s="151">
        <v>24</v>
      </c>
      <c r="C34" s="161" t="s">
        <v>201</v>
      </c>
      <c r="D34" s="206">
        <v>43354</v>
      </c>
      <c r="E34" s="207"/>
      <c r="F34" s="208"/>
      <c r="G34" s="208"/>
      <c r="H34" s="209"/>
      <c r="I34" s="208"/>
      <c r="J34" s="208"/>
      <c r="K34" s="208"/>
      <c r="L34" s="208"/>
      <c r="M34" s="208"/>
      <c r="N34" s="208"/>
      <c r="O34" s="208"/>
      <c r="P34" s="208"/>
      <c r="Q34" s="208"/>
      <c r="R34" s="208"/>
      <c r="S34" s="208"/>
      <c r="T34" s="244">
        <f>Table4[[#This Row],[Work Complete]]/Table4[[#This Row],[PO Line Total]]</f>
        <v>0.56000053708577258</v>
      </c>
      <c r="U34" s="185">
        <v>744760</v>
      </c>
      <c r="V34" s="185">
        <f>74476+52133+74476+44686+52133+37238+81924</f>
        <v>417066</v>
      </c>
      <c r="W34" s="187">
        <f t="shared" si="2"/>
        <v>81924</v>
      </c>
      <c r="X34" s="146">
        <f>37238+37238+126609+44686+52133+37238</f>
        <v>335142</v>
      </c>
      <c r="Y34" s="189">
        <f t="shared" si="4"/>
        <v>0</v>
      </c>
      <c r="Z34" s="190">
        <f>Table4[[#This Row],[PO Line Total]]-Table4[[#This Row],[Work Complete]]</f>
        <v>327694</v>
      </c>
      <c r="AA34" s="220">
        <f>Table4[[#This Row],[Work Complete]]/Table4[[#This Row],[PO Line Total]]</f>
        <v>0.56000053708577258</v>
      </c>
      <c r="AB34">
        <f>Table4[[#This Row],[PO Line Total]]*56%</f>
        <v>417065.60000000003</v>
      </c>
      <c r="AC34" s="254">
        <f>Table4[[#This Row],[Column1]]-Table4[[#This Row],[Work Complete]]</f>
        <v>-0.3999999999650754</v>
      </c>
    </row>
    <row r="35" spans="1:29" ht="15.6" x14ac:dyDescent="0.25">
      <c r="A35" s="103">
        <v>14</v>
      </c>
      <c r="B35" s="210">
        <v>25</v>
      </c>
      <c r="C35" s="161" t="s">
        <v>217</v>
      </c>
      <c r="D35" s="206">
        <v>43359</v>
      </c>
      <c r="E35" s="207"/>
      <c r="F35" s="208"/>
      <c r="G35" s="208"/>
      <c r="H35" s="209"/>
      <c r="I35" s="208"/>
      <c r="J35" s="208"/>
      <c r="K35" s="208"/>
      <c r="L35" s="208"/>
      <c r="M35" s="208"/>
      <c r="N35" s="208"/>
      <c r="O35" s="208"/>
      <c r="P35" s="208"/>
      <c r="Q35" s="208"/>
      <c r="R35" s="208"/>
      <c r="S35" s="208"/>
      <c r="T35" s="91">
        <f t="shared" si="5"/>
        <v>0</v>
      </c>
      <c r="U35" s="185">
        <v>232737</v>
      </c>
      <c r="V35" s="186">
        <f t="shared" ref="V35:V40" si="6">IF(AA35&gt;0,T35*AA35,0)</f>
        <v>0</v>
      </c>
      <c r="W35" s="187">
        <f t="shared" si="2"/>
        <v>0</v>
      </c>
      <c r="X35" s="187">
        <f>SUMIF(Invoices!$C$2:$C$1048576,' Accting USE Data Entry Form'!$C$11:$C$40,Invoices!$E$2:$E$1048576)</f>
        <v>0</v>
      </c>
      <c r="Y35" s="189">
        <f t="shared" si="4"/>
        <v>0</v>
      </c>
      <c r="Z35" s="190">
        <f>Table4[[#This Row],[PO Line Total]]-Table4[[#This Row],[Work Complete]]</f>
        <v>232737</v>
      </c>
      <c r="AA35" s="152"/>
    </row>
    <row r="36" spans="1:29" ht="15.6" x14ac:dyDescent="0.25">
      <c r="A36" s="103">
        <v>16</v>
      </c>
      <c r="B36" s="210">
        <v>26</v>
      </c>
      <c r="C36" s="161" t="s">
        <v>218</v>
      </c>
      <c r="D36" s="206">
        <v>43537</v>
      </c>
      <c r="E36" s="207"/>
      <c r="F36" s="208"/>
      <c r="G36" s="208"/>
      <c r="H36" s="209"/>
      <c r="I36" s="208"/>
      <c r="J36" s="208"/>
      <c r="K36" s="208"/>
      <c r="L36" s="208"/>
      <c r="M36" s="208"/>
      <c r="N36" s="208"/>
      <c r="O36" s="208"/>
      <c r="P36" s="208"/>
      <c r="Q36" s="208"/>
      <c r="R36" s="208"/>
      <c r="S36" s="208"/>
      <c r="T36" s="91">
        <f t="shared" si="5"/>
        <v>0</v>
      </c>
      <c r="U36" s="185">
        <v>232738</v>
      </c>
      <c r="V36" s="186">
        <f t="shared" si="6"/>
        <v>0</v>
      </c>
      <c r="W36" s="187">
        <f t="shared" si="2"/>
        <v>0</v>
      </c>
      <c r="X36" s="187">
        <f>SUMIF(Invoices!$C$2:$C$1048576,' Accting USE Data Entry Form'!$C$11:$C$40,Invoices!$E$2:$E$1048576)</f>
        <v>0</v>
      </c>
      <c r="Y36" s="189">
        <f t="shared" si="4"/>
        <v>0</v>
      </c>
      <c r="Z36" s="190">
        <f>Table4[[#This Row],[PO Line Total]]-Table4[[#This Row],[Work Complete]]</f>
        <v>232738</v>
      </c>
      <c r="AA36" s="152"/>
    </row>
    <row r="37" spans="1:29" ht="15.6" x14ac:dyDescent="0.25">
      <c r="A37" s="103">
        <v>17</v>
      </c>
      <c r="B37" s="210" t="s">
        <v>60</v>
      </c>
      <c r="C37" s="161" t="s">
        <v>202</v>
      </c>
      <c r="D37" s="206">
        <v>43501</v>
      </c>
      <c r="E37" s="207"/>
      <c r="F37" s="208"/>
      <c r="G37" s="208"/>
      <c r="H37" s="209"/>
      <c r="I37" s="208"/>
      <c r="J37" s="208"/>
      <c r="K37" s="208"/>
      <c r="L37" s="208"/>
      <c r="M37" s="208"/>
      <c r="N37" s="208"/>
      <c r="O37" s="208"/>
      <c r="P37" s="208"/>
      <c r="Q37" s="208"/>
      <c r="R37" s="208"/>
      <c r="S37" s="208"/>
      <c r="T37" s="91" t="e">
        <f t="shared" si="5"/>
        <v>#DIV/0!</v>
      </c>
      <c r="U37" s="185"/>
      <c r="V37" s="186" t="e">
        <f t="shared" si="6"/>
        <v>#DIV/0!</v>
      </c>
      <c r="W37" s="187" t="e">
        <f t="shared" si="2"/>
        <v>#DIV/0!</v>
      </c>
      <c r="X37" s="146">
        <f>SUMIF(Invoices!$C$2:$C$1048576,' Accting USE Data Entry Form'!$C$11:$C$40,Invoices!$E$2:$E$1048576)</f>
        <v>0</v>
      </c>
      <c r="Y37" s="189" t="e">
        <f t="shared" si="4"/>
        <v>#DIV/0!</v>
      </c>
      <c r="Z37" s="190" t="e">
        <f>Table4[[#This Row],[PO Line Total]]-Table4[[#This Row],[Work Complete]]</f>
        <v>#DIV/0!</v>
      </c>
      <c r="AA37" s="152">
        <v>465475</v>
      </c>
    </row>
    <row r="38" spans="1:29" ht="26.4" x14ac:dyDescent="0.25">
      <c r="A38" s="151">
        <v>18</v>
      </c>
      <c r="B38" s="151" t="s">
        <v>60</v>
      </c>
      <c r="C38" s="160" t="s">
        <v>69</v>
      </c>
      <c r="D38" s="58">
        <v>43384</v>
      </c>
      <c r="E38" s="81">
        <v>0</v>
      </c>
      <c r="F38" s="81"/>
      <c r="G38" s="81"/>
      <c r="H38" s="90"/>
      <c r="I38" s="81"/>
      <c r="J38" s="81"/>
      <c r="K38" s="81"/>
      <c r="L38" s="81"/>
      <c r="M38" s="81"/>
      <c r="N38" s="139"/>
      <c r="O38" s="139"/>
      <c r="P38" s="139"/>
      <c r="Q38" s="139"/>
      <c r="R38" s="139"/>
      <c r="S38" s="139"/>
      <c r="T38" s="91" t="e">
        <f t="shared" si="5"/>
        <v>#DIV/0!</v>
      </c>
      <c r="U38" s="185"/>
      <c r="V38" s="186" t="e">
        <f t="shared" si="6"/>
        <v>#DIV/0!</v>
      </c>
      <c r="W38" s="187" t="e">
        <f t="shared" si="2"/>
        <v>#DIV/0!</v>
      </c>
      <c r="X38" s="187">
        <f>SUMIF(Invoices!$C$2:$C$1048576,' Accting USE Data Entry Form'!$C$11:$C$40,Invoices!$E$2:$E$1048576)</f>
        <v>0</v>
      </c>
      <c r="Y38" s="189" t="e">
        <f t="shared" si="4"/>
        <v>#DIV/0!</v>
      </c>
      <c r="Z38" s="190" t="e">
        <f>Table4[[#This Row],[PO Line Total]]-Table4[[#This Row],[Work Complete]]</f>
        <v>#DIV/0!</v>
      </c>
      <c r="AA38" s="152">
        <v>930950.4</v>
      </c>
    </row>
    <row r="39" spans="1:29" ht="26.4" x14ac:dyDescent="0.25">
      <c r="A39" s="151">
        <v>19</v>
      </c>
      <c r="B39" s="151" t="s">
        <v>60</v>
      </c>
      <c r="C39" s="160" t="s">
        <v>43</v>
      </c>
      <c r="D39" s="58">
        <v>43476</v>
      </c>
      <c r="E39" s="81">
        <v>0</v>
      </c>
      <c r="F39" s="81"/>
      <c r="G39" s="81"/>
      <c r="H39" s="90"/>
      <c r="I39" s="81"/>
      <c r="J39" s="81"/>
      <c r="K39" s="81"/>
      <c r="L39" s="81"/>
      <c r="M39" s="81"/>
      <c r="N39" s="139"/>
      <c r="O39" s="139"/>
      <c r="P39" s="139"/>
      <c r="Q39" s="139"/>
      <c r="R39" s="139"/>
      <c r="S39" s="139"/>
      <c r="T39" s="91" t="e">
        <f t="shared" si="5"/>
        <v>#DIV/0!</v>
      </c>
      <c r="U39" s="185"/>
      <c r="V39" s="186" t="e">
        <f t="shared" si="6"/>
        <v>#DIV/0!</v>
      </c>
      <c r="W39" s="187" t="e">
        <f>V39-X39</f>
        <v>#DIV/0!</v>
      </c>
      <c r="X39" s="187">
        <f>SUMIF(Invoices!$C$2:$C$1048576,' Accting USE Data Entry Form'!$C$11:$C$40,Invoices!$E$2:$E$1048576)</f>
        <v>0</v>
      </c>
      <c r="Y39" s="189" t="e">
        <f t="shared" si="4"/>
        <v>#DIV/0!</v>
      </c>
      <c r="Z39" s="190" t="e">
        <f>Table4[[#This Row],[PO Line Total]]-Table4[[#This Row],[Work Complete]]</f>
        <v>#DIV/0!</v>
      </c>
      <c r="AA39" s="152">
        <v>485319.2</v>
      </c>
    </row>
    <row r="40" spans="1:29" ht="26.4" x14ac:dyDescent="0.25">
      <c r="A40" s="151">
        <v>20</v>
      </c>
      <c r="B40" s="151" t="s">
        <v>60</v>
      </c>
      <c r="C40" s="160" t="s">
        <v>70</v>
      </c>
      <c r="D40" s="58">
        <v>43507</v>
      </c>
      <c r="E40" s="81">
        <v>0</v>
      </c>
      <c r="F40" s="81"/>
      <c r="G40" s="81"/>
      <c r="H40" s="90"/>
      <c r="I40" s="81"/>
      <c r="J40" s="81"/>
      <c r="K40" s="81"/>
      <c r="L40" s="81"/>
      <c r="M40" s="81"/>
      <c r="N40" s="139"/>
      <c r="O40" s="139"/>
      <c r="P40" s="139"/>
      <c r="Q40" s="139"/>
      <c r="R40" s="139"/>
      <c r="S40" s="139"/>
      <c r="T40" s="91" t="e">
        <f t="shared" si="5"/>
        <v>#DIV/0!</v>
      </c>
      <c r="U40" s="185"/>
      <c r="V40" s="186" t="e">
        <f t="shared" si="6"/>
        <v>#DIV/0!</v>
      </c>
      <c r="W40" s="187" t="e">
        <f t="shared" si="2"/>
        <v>#DIV/0!</v>
      </c>
      <c r="X40" s="187">
        <f>SUMIF(Invoices!$C$2:$C$1048576,' Accting USE Data Entry Form'!$C$11:$C$40,Invoices!$E$2:$E$1048576)</f>
        <v>0</v>
      </c>
      <c r="Y40" s="189" t="e">
        <f t="shared" si="4"/>
        <v>#DIV/0!</v>
      </c>
      <c r="Z40" s="190" t="e">
        <f>Table4[[#This Row],[PO Line Total]]-Table4[[#This Row],[Work Complete]]</f>
        <v>#DIV/0!</v>
      </c>
      <c r="AA40" s="152">
        <v>930950.4</v>
      </c>
    </row>
    <row r="41" spans="1:29" ht="15.6" x14ac:dyDescent="0.25">
      <c r="A41" s="151"/>
      <c r="B41" s="151"/>
      <c r="C41" s="183"/>
      <c r="D41" s="257"/>
      <c r="E41" s="236"/>
      <c r="F41" s="236"/>
      <c r="G41" s="236"/>
      <c r="H41" s="237"/>
      <c r="I41" s="236"/>
      <c r="J41" s="236"/>
      <c r="K41" s="236"/>
      <c r="L41" s="236"/>
      <c r="M41" s="236"/>
      <c r="N41" s="236"/>
      <c r="O41" s="236"/>
      <c r="P41" s="236"/>
      <c r="Q41" s="236"/>
      <c r="R41" s="236"/>
      <c r="S41" s="236"/>
      <c r="T41" s="238"/>
      <c r="U41" s="239">
        <f>SUM(U11:U40)</f>
        <v>16342899</v>
      </c>
      <c r="V41" s="153" t="e">
        <f>SUBTOTAL(109,Table4[Work Complete])</f>
        <v>#DIV/0!</v>
      </c>
      <c r="W41" s="154" t="e">
        <f>SUBTOTAL(109,Table4[Eligible for Voucher Amt])</f>
        <v>#DIV/0!</v>
      </c>
      <c r="X41" s="155">
        <f>SUBTOTAL(109,Table4[Total Paid])</f>
        <v>14473060</v>
      </c>
      <c r="Y41" s="156" t="e">
        <f>SUBTOTAL(109,Table4[Completed  Work Retention Amt])</f>
        <v>#DIV/0!</v>
      </c>
      <c r="Z41" s="155" t="e">
        <f>SUBTOTAL(109,Table4[Work Remaining])</f>
        <v>#DIV/0!</v>
      </c>
      <c r="AA41" s="258">
        <f>SUBTOTAL(109,Table4[Remaining Unfunded (or % complete)])</f>
        <v>2812711.3907308066</v>
      </c>
      <c r="AB41" s="259"/>
      <c r="AC41" s="259"/>
    </row>
    <row r="42" spans="1:29" ht="15.6" x14ac:dyDescent="0.25">
      <c r="A42" s="157"/>
      <c r="B42" s="157"/>
      <c r="C42" s="47"/>
      <c r="D42" s="158"/>
      <c r="E42" s="80"/>
      <c r="F42" s="80"/>
      <c r="G42" s="80"/>
      <c r="H42" s="101"/>
      <c r="I42" s="80"/>
      <c r="J42" s="80"/>
      <c r="K42" s="80"/>
      <c r="L42" s="80"/>
      <c r="M42" s="80"/>
      <c r="N42" s="80"/>
      <c r="O42" s="80"/>
      <c r="P42" s="80"/>
      <c r="Q42" s="80"/>
      <c r="R42" s="80"/>
      <c r="S42" s="80"/>
      <c r="T42" s="159"/>
      <c r="U42" s="152"/>
      <c r="V42" s="153"/>
      <c r="W42" s="154"/>
      <c r="X42" s="155"/>
      <c r="Y42" s="156"/>
    </row>
    <row r="43" spans="1:29" ht="15.6" x14ac:dyDescent="0.25">
      <c r="A43" s="157"/>
      <c r="B43" s="157"/>
      <c r="C43" s="47"/>
      <c r="D43" s="158"/>
      <c r="E43" s="80"/>
      <c r="F43" s="80"/>
      <c r="G43" s="80"/>
      <c r="H43" s="101"/>
      <c r="I43" s="80"/>
      <c r="J43" s="80"/>
      <c r="K43" s="80"/>
      <c r="L43" s="80"/>
      <c r="M43" s="80"/>
      <c r="N43" s="80"/>
      <c r="O43" s="80"/>
      <c r="P43" s="80"/>
      <c r="Q43" s="80"/>
      <c r="R43" s="80"/>
      <c r="S43" s="80"/>
      <c r="T43" s="159"/>
      <c r="U43" s="152"/>
      <c r="V43" s="153"/>
      <c r="W43" s="154"/>
      <c r="X43" s="155"/>
      <c r="Y43" s="156"/>
      <c r="AA43" s="140">
        <f>Table4[[#Totals],[PO Line Total]]+Table4[[#Totals],[Remaining Unfunded (or % complete)]]</f>
        <v>19155610.390730806</v>
      </c>
    </row>
    <row r="44" spans="1:29" ht="13.8" thickBot="1" x14ac:dyDescent="0.3">
      <c r="A44" s="45" t="s">
        <v>7</v>
      </c>
      <c r="B44" s="4"/>
      <c r="V44" s="288"/>
      <c r="W44" s="288"/>
      <c r="X44" s="46">
        <f>$X$4</f>
        <v>43373</v>
      </c>
    </row>
    <row r="45" spans="1:29" x14ac:dyDescent="0.25">
      <c r="A45" s="44"/>
      <c r="V45" s="3"/>
      <c r="X45" s="49" t="s">
        <v>3</v>
      </c>
      <c r="Z45" t="s">
        <v>5</v>
      </c>
      <c r="AA45" s="267">
        <f>Table4[[#Totals],[Total Paid]]/AA43</f>
        <v>0.7555520134719047</v>
      </c>
    </row>
    <row r="46" spans="1:29" x14ac:dyDescent="0.25">
      <c r="A46" s="44"/>
      <c r="V46" s="3"/>
      <c r="X46" s="49"/>
    </row>
    <row r="47" spans="1:29" x14ac:dyDescent="0.25">
      <c r="A47" s="45" t="s">
        <v>8</v>
      </c>
      <c r="B47" s="4"/>
      <c r="V47" s="7"/>
      <c r="W47" s="50"/>
      <c r="X47" s="48"/>
    </row>
    <row r="48" spans="1:29" x14ac:dyDescent="0.25">
      <c r="X48" s="49" t="s">
        <v>3</v>
      </c>
    </row>
  </sheetData>
  <sheetProtection selectLockedCells="1"/>
  <mergeCells count="6">
    <mergeCell ref="A1:Y1"/>
    <mergeCell ref="A2:Y2"/>
    <mergeCell ref="V44:W44"/>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4 G44:G46 I44:I46 H44:H46 K44:K46 J44:J46"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E25" sqref="E25"/>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77" customWidth="1"/>
    <col min="7" max="7" width="27" bestFit="1" customWidth="1"/>
    <col min="8" max="8" width="12.44140625" bestFit="1" customWidth="1"/>
  </cols>
  <sheetData>
    <row r="1" spans="1:7" x14ac:dyDescent="0.25">
      <c r="A1" s="59" t="s">
        <v>47</v>
      </c>
      <c r="B1" s="59" t="s">
        <v>48</v>
      </c>
      <c r="C1" s="59" t="s">
        <v>38</v>
      </c>
      <c r="D1" s="59" t="s">
        <v>49</v>
      </c>
      <c r="E1" s="59" t="s">
        <v>130</v>
      </c>
      <c r="F1" s="176" t="s">
        <v>50</v>
      </c>
      <c r="G1" s="106" t="s">
        <v>76</v>
      </c>
    </row>
    <row r="2" spans="1:7" x14ac:dyDescent="0.25">
      <c r="A2">
        <v>63449614</v>
      </c>
      <c r="B2" s="78">
        <v>42356</v>
      </c>
      <c r="C2" t="s">
        <v>41</v>
      </c>
      <c r="D2" s="140">
        <v>502100</v>
      </c>
      <c r="E2" s="60">
        <v>502100</v>
      </c>
      <c r="F2" s="180" t="s">
        <v>182</v>
      </c>
      <c r="G2" s="107">
        <v>1</v>
      </c>
    </row>
    <row r="3" spans="1:7" x14ac:dyDescent="0.25">
      <c r="A3">
        <v>64678952</v>
      </c>
      <c r="B3" s="78">
        <v>42496</v>
      </c>
      <c r="C3" s="59" t="s">
        <v>44</v>
      </c>
      <c r="D3" s="140">
        <v>4340840</v>
      </c>
      <c r="E3" s="60">
        <v>4340840</v>
      </c>
      <c r="F3" s="179" t="s">
        <v>182</v>
      </c>
      <c r="G3" s="107">
        <v>3</v>
      </c>
    </row>
    <row r="4" spans="1:7" x14ac:dyDescent="0.25">
      <c r="A4">
        <v>64737390</v>
      </c>
      <c r="B4" s="78">
        <v>42508</v>
      </c>
      <c r="C4" t="s">
        <v>42</v>
      </c>
      <c r="D4" s="140">
        <v>502100</v>
      </c>
      <c r="E4" s="60">
        <v>502100</v>
      </c>
      <c r="F4" s="179" t="s">
        <v>182</v>
      </c>
      <c r="G4" s="107">
        <v>2</v>
      </c>
    </row>
    <row r="5" spans="1:7" x14ac:dyDescent="0.25">
      <c r="A5">
        <v>65699321</v>
      </c>
      <c r="B5" s="78">
        <v>42644</v>
      </c>
      <c r="C5" t="s">
        <v>154</v>
      </c>
      <c r="D5" s="140">
        <v>1677756</v>
      </c>
      <c r="E5" s="60">
        <v>1677756</v>
      </c>
      <c r="F5" s="178">
        <v>42669</v>
      </c>
      <c r="G5" s="107">
        <v>4</v>
      </c>
    </row>
    <row r="6" spans="1:7" x14ac:dyDescent="0.25">
      <c r="A6">
        <v>66002927</v>
      </c>
      <c r="B6" s="78">
        <v>42709</v>
      </c>
      <c r="C6" t="s">
        <v>44</v>
      </c>
      <c r="D6" s="140">
        <v>936680</v>
      </c>
      <c r="E6" s="60">
        <v>936680</v>
      </c>
      <c r="F6" s="178">
        <v>42762</v>
      </c>
      <c r="G6" s="107">
        <v>3</v>
      </c>
    </row>
    <row r="7" spans="1:7" x14ac:dyDescent="0.25">
      <c r="A7">
        <v>66210090</v>
      </c>
      <c r="B7" s="78">
        <v>42761</v>
      </c>
      <c r="C7" s="174" t="s">
        <v>154</v>
      </c>
      <c r="D7" s="140">
        <v>184144</v>
      </c>
      <c r="E7" s="60">
        <v>184144</v>
      </c>
      <c r="F7" s="178">
        <v>42916</v>
      </c>
      <c r="G7" s="107">
        <v>4</v>
      </c>
    </row>
    <row r="8" spans="1:7" ht="26.4" x14ac:dyDescent="0.25">
      <c r="A8">
        <v>66311061</v>
      </c>
      <c r="B8" s="78">
        <v>42774</v>
      </c>
      <c r="C8" s="175" t="s">
        <v>153</v>
      </c>
      <c r="D8" s="140">
        <v>2426014</v>
      </c>
      <c r="E8" s="60">
        <v>2426014</v>
      </c>
      <c r="F8" s="178">
        <v>42795</v>
      </c>
      <c r="G8" s="107">
        <v>5</v>
      </c>
    </row>
    <row r="9" spans="1:7" x14ac:dyDescent="0.25">
      <c r="A9">
        <v>67491271</v>
      </c>
      <c r="B9" s="78">
        <v>43032</v>
      </c>
      <c r="C9" t="s">
        <v>156</v>
      </c>
      <c r="D9" s="140">
        <v>465475</v>
      </c>
      <c r="E9" s="60">
        <v>465475</v>
      </c>
      <c r="F9" s="178">
        <v>43034</v>
      </c>
      <c r="G9" s="107">
        <v>13</v>
      </c>
    </row>
    <row r="10" spans="1:7" x14ac:dyDescent="0.25">
      <c r="A10">
        <v>67495210</v>
      </c>
      <c r="B10" s="78">
        <v>43033</v>
      </c>
      <c r="C10" t="s">
        <v>71</v>
      </c>
      <c r="D10" s="140">
        <v>40816</v>
      </c>
      <c r="E10" s="60">
        <v>40816</v>
      </c>
      <c r="F10" s="178">
        <v>43038</v>
      </c>
      <c r="G10" s="107">
        <v>7</v>
      </c>
    </row>
    <row r="11" spans="1:7" x14ac:dyDescent="0.25">
      <c r="A11">
        <v>67495210</v>
      </c>
      <c r="B11" s="78">
        <v>43034</v>
      </c>
      <c r="C11" t="s">
        <v>72</v>
      </c>
      <c r="D11" s="140">
        <v>5544</v>
      </c>
      <c r="E11" s="60">
        <v>5544</v>
      </c>
      <c r="F11" s="178">
        <v>43038</v>
      </c>
      <c r="G11" s="107">
        <v>8</v>
      </c>
    </row>
    <row r="12" spans="1:7" x14ac:dyDescent="0.25">
      <c r="A12">
        <v>67849414</v>
      </c>
      <c r="B12" s="78">
        <v>43115</v>
      </c>
      <c r="C12" s="59" t="s">
        <v>207</v>
      </c>
      <c r="D12" s="140">
        <v>1607077</v>
      </c>
      <c r="E12" s="60">
        <v>1607077</v>
      </c>
      <c r="F12" s="178">
        <v>43117</v>
      </c>
      <c r="G12" s="107" t="s">
        <v>210</v>
      </c>
    </row>
    <row r="13" spans="1:7" x14ac:dyDescent="0.25">
      <c r="A13">
        <v>68073557</v>
      </c>
      <c r="B13" s="78">
        <v>43161</v>
      </c>
      <c r="C13" s="59" t="s">
        <v>208</v>
      </c>
      <c r="D13" s="140">
        <v>662550</v>
      </c>
      <c r="E13" s="140">
        <v>662550</v>
      </c>
      <c r="F13" s="178">
        <v>43165</v>
      </c>
      <c r="G13" s="107" t="s">
        <v>209</v>
      </c>
    </row>
    <row r="14" spans="1:7" x14ac:dyDescent="0.25">
      <c r="A14">
        <v>68374783</v>
      </c>
      <c r="B14" s="78">
        <v>43235</v>
      </c>
      <c r="C14" s="59" t="s">
        <v>215</v>
      </c>
      <c r="D14" s="140">
        <v>801626</v>
      </c>
      <c r="E14" s="140">
        <v>801626</v>
      </c>
      <c r="F14" s="178">
        <v>43242</v>
      </c>
      <c r="G14" s="107" t="s">
        <v>216</v>
      </c>
    </row>
    <row r="15" spans="1:7" x14ac:dyDescent="0.25">
      <c r="A15">
        <v>68519890</v>
      </c>
      <c r="B15" s="78">
        <v>43270</v>
      </c>
      <c r="C15" s="59" t="s">
        <v>215</v>
      </c>
      <c r="D15" s="140">
        <v>169892</v>
      </c>
      <c r="E15" s="60">
        <v>169892</v>
      </c>
      <c r="F15" s="178">
        <v>43286</v>
      </c>
      <c r="G15" s="107" t="s">
        <v>221</v>
      </c>
    </row>
    <row r="16" spans="1:7" x14ac:dyDescent="0.25">
      <c r="A16">
        <v>68654441</v>
      </c>
      <c r="B16" s="78">
        <v>43301</v>
      </c>
      <c r="C16" s="59" t="s">
        <v>220</v>
      </c>
      <c r="D16" s="140">
        <v>59563</v>
      </c>
      <c r="E16" s="140">
        <v>59563</v>
      </c>
      <c r="F16" s="178">
        <v>43306</v>
      </c>
      <c r="G16" s="107" t="s">
        <v>222</v>
      </c>
    </row>
    <row r="17" spans="1:7" x14ac:dyDescent="0.25">
      <c r="A17">
        <v>68800436</v>
      </c>
      <c r="B17" s="78">
        <v>43339</v>
      </c>
      <c r="C17" s="59" t="s">
        <v>220</v>
      </c>
      <c r="D17" s="140">
        <v>90883</v>
      </c>
      <c r="E17" s="140">
        <v>90883</v>
      </c>
      <c r="F17" s="178">
        <v>43341</v>
      </c>
      <c r="G17" s="107" t="s">
        <v>223</v>
      </c>
    </row>
    <row r="18" spans="1:7" x14ac:dyDescent="0.25">
      <c r="B18" s="78"/>
      <c r="C18" s="59"/>
      <c r="D18" s="140"/>
      <c r="E18" s="140"/>
      <c r="F18" s="178"/>
      <c r="G18" s="107"/>
    </row>
    <row r="19" spans="1:7" x14ac:dyDescent="0.25">
      <c r="A19" t="s">
        <v>53</v>
      </c>
      <c r="E19" s="89">
        <f>SUBTOTAL(109,Table3[Approved Amount])</f>
        <v>14473060</v>
      </c>
    </row>
    <row r="20" spans="1:7" x14ac:dyDescent="0.25">
      <c r="D20" s="140"/>
    </row>
    <row r="21" spans="1:7" x14ac:dyDescent="0.25">
      <c r="D21" s="140"/>
    </row>
  </sheetData>
  <dataValidations count="2">
    <dataValidation allowBlank="1" showErrorMessage="1" error="Must choose from Drop Down Menu" sqref="D2:D18 D20:D1048576"/>
    <dataValidation type="list" allowBlank="1" showErrorMessage="1" error="Must choose from Drop Down Menu" sqref="C20:C1048576">
      <formula1>$C$11:$C$29</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F20:F1048576 F5:F11</xm:sqref>
        </x14:dataValidation>
        <x14:dataValidation type="list" allowBlank="1" showInputMessage="1" showErrorMessage="1">
          <x14:formula1>
            <xm:f>' Accting USE Data Entry Form'!$C$11:$C$40</xm:f>
          </x14:formula1>
          <xm:sqref>C2:C11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workbookViewId="0">
      <selection activeCell="K24" sqref="K24"/>
    </sheetView>
  </sheetViews>
  <sheetFormatPr defaultRowHeight="13.2" x14ac:dyDescent="0.25"/>
  <cols>
    <col min="1" max="1" width="10" customWidth="1"/>
    <col min="3" max="3" width="9.33203125" style="84" customWidth="1"/>
    <col min="4" max="4" width="9.33203125" style="169" customWidth="1"/>
    <col min="5" max="5" width="59.109375" customWidth="1"/>
    <col min="6" max="6" width="12.33203125" style="84" customWidth="1"/>
    <col min="7" max="7" width="17.5546875" customWidth="1"/>
    <col min="8" max="8" width="17.6640625" customWidth="1"/>
  </cols>
  <sheetData>
    <row r="1" spans="1:11" s="83" customFormat="1" ht="52.8" x14ac:dyDescent="0.25">
      <c r="A1" s="83" t="s">
        <v>62</v>
      </c>
      <c r="B1" s="82" t="s">
        <v>51</v>
      </c>
      <c r="C1" s="87" t="s">
        <v>175</v>
      </c>
      <c r="D1" s="87" t="s">
        <v>174</v>
      </c>
      <c r="E1" s="82" t="s">
        <v>38</v>
      </c>
      <c r="F1" s="87" t="s">
        <v>54</v>
      </c>
      <c r="G1" s="87" t="s">
        <v>52</v>
      </c>
      <c r="H1" s="87" t="s">
        <v>53</v>
      </c>
    </row>
    <row r="2" spans="1:11" x14ac:dyDescent="0.25">
      <c r="B2" s="171">
        <v>1</v>
      </c>
      <c r="C2" s="86" t="s">
        <v>60</v>
      </c>
      <c r="D2" s="86"/>
      <c r="E2" s="59" t="s">
        <v>61</v>
      </c>
      <c r="F2" s="84">
        <v>0</v>
      </c>
      <c r="G2" s="140">
        <v>0</v>
      </c>
      <c r="H2" s="140">
        <f t="shared" ref="H2:H24" si="0">F2*G2</f>
        <v>0</v>
      </c>
    </row>
    <row r="3" spans="1:11" x14ac:dyDescent="0.25">
      <c r="B3" s="171">
        <v>2</v>
      </c>
      <c r="C3" s="84">
        <v>5</v>
      </c>
      <c r="E3" s="59" t="s">
        <v>55</v>
      </c>
      <c r="F3" s="84">
        <v>1</v>
      </c>
      <c r="G3" s="140">
        <v>7719000</v>
      </c>
      <c r="H3" s="140">
        <f t="shared" si="0"/>
        <v>7719000</v>
      </c>
    </row>
    <row r="4" spans="1:11" x14ac:dyDescent="0.25">
      <c r="B4" s="171">
        <v>2</v>
      </c>
      <c r="C4" s="84">
        <v>6</v>
      </c>
      <c r="E4" s="59" t="s">
        <v>56</v>
      </c>
      <c r="F4" s="84">
        <v>1</v>
      </c>
      <c r="G4" s="140">
        <v>90000</v>
      </c>
      <c r="H4" s="140">
        <f t="shared" si="0"/>
        <v>90000</v>
      </c>
    </row>
    <row r="5" spans="1:11" x14ac:dyDescent="0.25">
      <c r="B5" s="171">
        <v>2</v>
      </c>
      <c r="C5" s="84">
        <v>7</v>
      </c>
      <c r="E5" s="59" t="s">
        <v>57</v>
      </c>
      <c r="F5" s="84">
        <v>1</v>
      </c>
      <c r="G5" s="140">
        <v>228000</v>
      </c>
      <c r="H5" s="140">
        <f t="shared" si="0"/>
        <v>228000</v>
      </c>
    </row>
    <row r="6" spans="1:11" x14ac:dyDescent="0.25">
      <c r="B6" s="171">
        <v>2</v>
      </c>
      <c r="C6" s="84">
        <v>8</v>
      </c>
      <c r="E6" s="59" t="s">
        <v>58</v>
      </c>
      <c r="F6" s="84">
        <v>2</v>
      </c>
      <c r="G6" s="140">
        <v>270000</v>
      </c>
      <c r="H6" s="140">
        <f t="shared" si="0"/>
        <v>540000</v>
      </c>
    </row>
    <row r="7" spans="1:11" x14ac:dyDescent="0.25">
      <c r="B7" s="171">
        <v>2</v>
      </c>
      <c r="C7" s="84">
        <v>9</v>
      </c>
      <c r="E7" s="59" t="s">
        <v>59</v>
      </c>
      <c r="F7" s="84">
        <v>4</v>
      </c>
      <c r="G7" s="140">
        <v>16050</v>
      </c>
      <c r="H7" s="140">
        <f t="shared" si="0"/>
        <v>64200</v>
      </c>
    </row>
    <row r="8" spans="1:11" x14ac:dyDescent="0.25">
      <c r="B8" s="171">
        <v>3</v>
      </c>
      <c r="C8" s="86" t="s">
        <v>60</v>
      </c>
      <c r="D8" s="86">
        <v>5</v>
      </c>
      <c r="E8" s="59" t="s">
        <v>176</v>
      </c>
      <c r="F8" s="84">
        <v>0</v>
      </c>
      <c r="G8" s="140">
        <v>0</v>
      </c>
      <c r="H8" s="140">
        <f t="shared" si="0"/>
        <v>0</v>
      </c>
    </row>
    <row r="9" spans="1:11" x14ac:dyDescent="0.25">
      <c r="B9" s="171">
        <v>4</v>
      </c>
      <c r="C9" s="86" t="s">
        <v>60</v>
      </c>
      <c r="D9" s="86">
        <v>6</v>
      </c>
      <c r="E9" s="59" t="s">
        <v>176</v>
      </c>
      <c r="F9" s="84">
        <v>0</v>
      </c>
      <c r="G9" s="140">
        <v>0</v>
      </c>
      <c r="H9" s="140">
        <f t="shared" si="0"/>
        <v>0</v>
      </c>
    </row>
    <row r="10" spans="1:11" x14ac:dyDescent="0.25">
      <c r="A10" s="85">
        <v>42759</v>
      </c>
      <c r="B10" s="171">
        <v>5</v>
      </c>
      <c r="C10" s="84">
        <v>11</v>
      </c>
      <c r="D10" s="169">
        <v>7</v>
      </c>
      <c r="E10" s="59" t="s">
        <v>183</v>
      </c>
      <c r="F10" s="84">
        <v>1</v>
      </c>
      <c r="G10" s="140">
        <v>114453</v>
      </c>
      <c r="H10" s="140">
        <f t="shared" si="0"/>
        <v>114453</v>
      </c>
      <c r="J10" s="59"/>
    </row>
    <row r="11" spans="1:11" ht="13.8" thickBot="1" x14ac:dyDescent="0.3">
      <c r="A11" s="85">
        <v>42759</v>
      </c>
      <c r="B11" s="171">
        <v>5</v>
      </c>
      <c r="C11" s="84">
        <v>11</v>
      </c>
      <c r="D11" s="169">
        <v>7</v>
      </c>
      <c r="E11" s="59" t="s">
        <v>184</v>
      </c>
      <c r="F11" s="84">
        <v>1</v>
      </c>
      <c r="G11" s="140">
        <v>19420</v>
      </c>
      <c r="H11" s="140">
        <f t="shared" si="0"/>
        <v>19420</v>
      </c>
      <c r="J11" s="59"/>
      <c r="K11" s="170"/>
    </row>
    <row r="12" spans="1:11" ht="13.8" thickTop="1" x14ac:dyDescent="0.25">
      <c r="A12" s="85">
        <v>42759</v>
      </c>
      <c r="B12" s="171">
        <v>5</v>
      </c>
      <c r="C12" s="84">
        <v>11</v>
      </c>
      <c r="D12" s="169">
        <v>7</v>
      </c>
      <c r="E12" s="59" t="s">
        <v>185</v>
      </c>
      <c r="F12" s="84">
        <v>1</v>
      </c>
      <c r="G12" s="140">
        <v>19846</v>
      </c>
      <c r="H12" s="140">
        <f t="shared" si="0"/>
        <v>19846</v>
      </c>
      <c r="K12" s="172"/>
    </row>
    <row r="13" spans="1:11" x14ac:dyDescent="0.25">
      <c r="A13" s="85">
        <v>42759</v>
      </c>
      <c r="B13" s="171">
        <v>5</v>
      </c>
      <c r="C13" s="84">
        <v>11</v>
      </c>
      <c r="D13" s="169">
        <v>7</v>
      </c>
      <c r="E13" s="59" t="s">
        <v>186</v>
      </c>
      <c r="F13" s="84">
        <v>1</v>
      </c>
      <c r="G13" s="140">
        <v>91648</v>
      </c>
      <c r="H13" s="140">
        <f t="shared" si="0"/>
        <v>91648</v>
      </c>
    </row>
    <row r="14" spans="1:11" x14ac:dyDescent="0.25">
      <c r="A14" s="85">
        <v>42759</v>
      </c>
      <c r="B14" s="171">
        <v>5</v>
      </c>
      <c r="C14" s="84">
        <v>11</v>
      </c>
      <c r="D14" s="169">
        <v>7</v>
      </c>
      <c r="E14" s="59" t="s">
        <v>187</v>
      </c>
      <c r="F14" s="84">
        <v>1</v>
      </c>
      <c r="G14" s="140">
        <v>17218</v>
      </c>
      <c r="H14" s="140">
        <f t="shared" si="0"/>
        <v>17218</v>
      </c>
    </row>
    <row r="15" spans="1:11" x14ac:dyDescent="0.25">
      <c r="A15" s="85">
        <v>42759</v>
      </c>
      <c r="B15" s="171">
        <v>5</v>
      </c>
      <c r="C15" s="163">
        <v>11</v>
      </c>
      <c r="D15" s="169">
        <v>7</v>
      </c>
      <c r="E15" s="59" t="s">
        <v>188</v>
      </c>
      <c r="F15" s="163">
        <v>1</v>
      </c>
      <c r="G15" s="140">
        <v>15481</v>
      </c>
      <c r="H15" s="140">
        <f t="shared" si="0"/>
        <v>15481</v>
      </c>
    </row>
    <row r="16" spans="1:11" x14ac:dyDescent="0.25">
      <c r="A16" s="85">
        <v>42759</v>
      </c>
      <c r="B16" s="171">
        <v>5</v>
      </c>
      <c r="C16" s="84">
        <v>10</v>
      </c>
      <c r="D16" s="169">
        <v>8</v>
      </c>
      <c r="E16" s="59" t="s">
        <v>172</v>
      </c>
      <c r="F16" s="84">
        <v>1</v>
      </c>
      <c r="G16" s="140">
        <v>5544</v>
      </c>
      <c r="H16" s="140">
        <f t="shared" si="0"/>
        <v>5544</v>
      </c>
    </row>
    <row r="17" spans="1:12" x14ac:dyDescent="0.25">
      <c r="A17" s="85"/>
      <c r="B17" s="171">
        <v>6</v>
      </c>
      <c r="C17" s="86" t="s">
        <v>60</v>
      </c>
      <c r="D17" s="86"/>
      <c r="E17" s="59" t="s">
        <v>173</v>
      </c>
      <c r="F17" s="163"/>
      <c r="G17" s="140"/>
      <c r="H17" s="140">
        <f t="shared" si="0"/>
        <v>0</v>
      </c>
    </row>
    <row r="18" spans="1:12" x14ac:dyDescent="0.25">
      <c r="A18" s="85"/>
      <c r="B18" s="171">
        <v>7</v>
      </c>
      <c r="C18" s="169">
        <v>12</v>
      </c>
      <c r="D18" s="169">
        <v>9</v>
      </c>
      <c r="E18" s="59" t="s">
        <v>189</v>
      </c>
      <c r="F18" s="169"/>
      <c r="G18" s="140"/>
      <c r="H18" s="140">
        <f t="shared" si="0"/>
        <v>0</v>
      </c>
    </row>
    <row r="19" spans="1:12" x14ac:dyDescent="0.25">
      <c r="A19" s="85"/>
      <c r="B19" s="171">
        <v>7</v>
      </c>
      <c r="C19" s="169"/>
      <c r="D19" s="169">
        <v>10</v>
      </c>
      <c r="E19" s="59" t="s">
        <v>190</v>
      </c>
      <c r="F19" s="169"/>
      <c r="G19" s="140"/>
      <c r="H19" s="140">
        <f t="shared" si="0"/>
        <v>0</v>
      </c>
    </row>
    <row r="20" spans="1:12" x14ac:dyDescent="0.25">
      <c r="A20" s="85"/>
      <c r="B20" s="171">
        <v>8</v>
      </c>
      <c r="C20" s="169"/>
      <c r="D20" s="169">
        <v>11</v>
      </c>
      <c r="E20" s="59" t="s">
        <v>191</v>
      </c>
      <c r="F20" s="169"/>
      <c r="G20" s="140"/>
      <c r="H20" s="140">
        <f t="shared" si="0"/>
        <v>0</v>
      </c>
    </row>
    <row r="21" spans="1:12" x14ac:dyDescent="0.25">
      <c r="A21" s="85"/>
      <c r="B21" s="171">
        <v>8</v>
      </c>
      <c r="C21" s="169"/>
      <c r="D21" s="169">
        <v>12</v>
      </c>
      <c r="E21" s="59" t="s">
        <v>192</v>
      </c>
      <c r="F21" s="169"/>
      <c r="G21" s="140"/>
      <c r="H21" s="140">
        <f t="shared" si="0"/>
        <v>0</v>
      </c>
    </row>
    <row r="22" spans="1:12" x14ac:dyDescent="0.25">
      <c r="A22" s="85"/>
      <c r="B22" s="171"/>
      <c r="C22" s="173"/>
      <c r="D22" s="173"/>
      <c r="E22" s="59"/>
      <c r="F22" s="173"/>
      <c r="G22" s="140"/>
      <c r="H22" s="140">
        <f t="shared" si="0"/>
        <v>0</v>
      </c>
    </row>
    <row r="23" spans="1:12" x14ac:dyDescent="0.25">
      <c r="A23" s="85"/>
      <c r="B23" s="171"/>
      <c r="C23" s="173"/>
      <c r="D23" s="173"/>
      <c r="E23" s="59"/>
      <c r="F23" s="173"/>
      <c r="G23" s="140"/>
      <c r="H23" s="140">
        <f t="shared" si="0"/>
        <v>0</v>
      </c>
    </row>
    <row r="24" spans="1:12" x14ac:dyDescent="0.25">
      <c r="A24" s="85"/>
      <c r="B24" s="171"/>
      <c r="C24" s="169"/>
      <c r="F24" s="169"/>
      <c r="G24" s="140"/>
      <c r="H24" s="140">
        <f t="shared" si="0"/>
        <v>0</v>
      </c>
    </row>
    <row r="25" spans="1:12" x14ac:dyDescent="0.25">
      <c r="A25" t="s">
        <v>53</v>
      </c>
      <c r="C25" s="173"/>
      <c r="D25" s="173"/>
      <c r="F25" s="173"/>
      <c r="G25" s="181"/>
      <c r="H25" s="181">
        <f>SUBTOTAL(109,ModsTable[Total])</f>
        <v>8924810</v>
      </c>
      <c r="K25" s="59"/>
    </row>
    <row r="26" spans="1:12" ht="13.8" thickBot="1" x14ac:dyDescent="0.3">
      <c r="K26" s="59"/>
      <c r="L26" s="170"/>
    </row>
    <row r="27" spans="1:12" ht="13.8" thickTop="1" x14ac:dyDescent="0.25">
      <c r="K27" s="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5" customWidth="1"/>
    <col min="4" max="4" width="11.44140625" style="105"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5" t="s">
        <v>79</v>
      </c>
      <c r="D3" s="105"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8">
        <v>42775</v>
      </c>
      <c r="D9" s="105"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7" customWidth="1"/>
    <col min="2" max="2" width="60.6640625" style="97" bestFit="1" customWidth="1"/>
    <col min="3" max="3" width="14.6640625" style="97" customWidth="1"/>
    <col min="4" max="4" width="10.6640625" style="97" customWidth="1"/>
    <col min="5" max="5" width="7.5546875" style="97" customWidth="1"/>
    <col min="6" max="6" width="46.44140625" style="98" customWidth="1"/>
    <col min="7" max="16384" width="8.88671875" style="97"/>
  </cols>
  <sheetData>
    <row r="1" spans="1:6" s="127" customFormat="1" ht="28.95" customHeight="1" x14ac:dyDescent="0.25">
      <c r="A1" s="125" t="s">
        <v>63</v>
      </c>
      <c r="B1" s="130" t="s">
        <v>127</v>
      </c>
      <c r="C1" s="130" t="s">
        <v>123</v>
      </c>
      <c r="D1" s="293" t="s">
        <v>97</v>
      </c>
      <c r="E1" s="294"/>
      <c r="F1" s="126" t="s">
        <v>64</v>
      </c>
    </row>
    <row r="2" spans="1:6" ht="20.399999999999999" hidden="1" customHeight="1" x14ac:dyDescent="0.25">
      <c r="A2" s="108">
        <v>1</v>
      </c>
      <c r="B2" s="109" t="s">
        <v>124</v>
      </c>
      <c r="C2" s="110">
        <v>42285</v>
      </c>
      <c r="D2" s="111" t="s">
        <v>75</v>
      </c>
      <c r="E2" s="92">
        <v>1</v>
      </c>
      <c r="F2" s="122"/>
    </row>
    <row r="3" spans="1:6" ht="20.399999999999999" hidden="1" customHeight="1" x14ac:dyDescent="0.25">
      <c r="A3" s="108">
        <v>2</v>
      </c>
      <c r="B3" s="112" t="s">
        <v>101</v>
      </c>
      <c r="C3" s="113">
        <v>42439</v>
      </c>
      <c r="D3" s="111" t="s">
        <v>75</v>
      </c>
      <c r="E3" s="93">
        <v>1</v>
      </c>
      <c r="F3" s="122"/>
    </row>
    <row r="4" spans="1:6" ht="20.399999999999999" hidden="1" customHeight="1" x14ac:dyDescent="0.25">
      <c r="A4" s="108">
        <v>3</v>
      </c>
      <c r="B4" s="109" t="s">
        <v>122</v>
      </c>
      <c r="C4" s="110">
        <v>42468</v>
      </c>
      <c r="D4" s="114" t="s">
        <v>75</v>
      </c>
      <c r="E4" s="94">
        <v>1</v>
      </c>
      <c r="F4" s="122" t="s">
        <v>65</v>
      </c>
    </row>
    <row r="5" spans="1:6" ht="20.399999999999999" customHeight="1" x14ac:dyDescent="0.25">
      <c r="A5" s="108">
        <v>4</v>
      </c>
      <c r="B5" s="112" t="s">
        <v>102</v>
      </c>
      <c r="C5" s="113">
        <v>42562</v>
      </c>
      <c r="D5" s="114" t="s">
        <v>67</v>
      </c>
      <c r="E5" s="95">
        <v>0.9</v>
      </c>
      <c r="F5" s="122" t="s">
        <v>99</v>
      </c>
    </row>
    <row r="6" spans="1:6" ht="20.399999999999999" hidden="1" customHeight="1" x14ac:dyDescent="0.25">
      <c r="A6" s="108">
        <v>5</v>
      </c>
      <c r="B6" s="109" t="s">
        <v>121</v>
      </c>
      <c r="C6" s="110">
        <v>42685</v>
      </c>
      <c r="D6" s="114" t="s">
        <v>75</v>
      </c>
      <c r="E6" s="94">
        <v>1</v>
      </c>
      <c r="F6" s="122" t="s">
        <v>96</v>
      </c>
    </row>
    <row r="7" spans="1:6" ht="20.399999999999999" customHeight="1" x14ac:dyDescent="0.25">
      <c r="A7" s="108">
        <v>6</v>
      </c>
      <c r="B7" s="112" t="s">
        <v>103</v>
      </c>
      <c r="C7" s="113">
        <v>42958</v>
      </c>
      <c r="D7" s="115" t="s">
        <v>66</v>
      </c>
      <c r="E7" s="95">
        <v>0.1</v>
      </c>
      <c r="F7" s="122" t="s">
        <v>74</v>
      </c>
    </row>
    <row r="8" spans="1:6" ht="20.399999999999999" hidden="1" customHeight="1" x14ac:dyDescent="0.25">
      <c r="A8" s="108"/>
      <c r="B8" s="116" t="s">
        <v>104</v>
      </c>
      <c r="C8" s="113">
        <v>42706</v>
      </c>
      <c r="D8" s="115" t="s">
        <v>75</v>
      </c>
      <c r="E8" s="95">
        <v>1</v>
      </c>
      <c r="F8" s="122"/>
    </row>
    <row r="9" spans="1:6" ht="20.399999999999999" customHeight="1" x14ac:dyDescent="0.25">
      <c r="A9" s="108"/>
      <c r="B9" s="116" t="s">
        <v>105</v>
      </c>
      <c r="C9" s="113">
        <v>42838</v>
      </c>
      <c r="D9" s="115" t="s">
        <v>75</v>
      </c>
      <c r="E9" s="95">
        <v>1</v>
      </c>
      <c r="F9" s="122" t="s">
        <v>128</v>
      </c>
    </row>
    <row r="10" spans="1:6" ht="20.399999999999999" hidden="1" customHeight="1" x14ac:dyDescent="0.25">
      <c r="A10" s="108"/>
      <c r="B10" s="116" t="s">
        <v>106</v>
      </c>
      <c r="C10" s="113">
        <v>42802</v>
      </c>
      <c r="D10" s="115" t="s">
        <v>75</v>
      </c>
      <c r="E10" s="95">
        <v>1</v>
      </c>
      <c r="F10" s="122"/>
    </row>
    <row r="11" spans="1:6" ht="20.399999999999999" hidden="1" customHeight="1" x14ac:dyDescent="0.25">
      <c r="A11" s="108"/>
      <c r="B11" s="116" t="s">
        <v>107</v>
      </c>
      <c r="C11" s="113">
        <v>42811</v>
      </c>
      <c r="D11" s="115" t="s">
        <v>75</v>
      </c>
      <c r="E11" s="95">
        <v>1</v>
      </c>
      <c r="F11" s="122"/>
    </row>
    <row r="12" spans="1:6" ht="20.399999999999999" customHeight="1" x14ac:dyDescent="0.25">
      <c r="A12" s="108"/>
      <c r="B12" s="116" t="s">
        <v>100</v>
      </c>
      <c r="C12" s="113">
        <v>42898</v>
      </c>
      <c r="D12" s="115" t="s">
        <v>180</v>
      </c>
      <c r="E12" s="95">
        <v>1</v>
      </c>
      <c r="F12" s="122" t="s">
        <v>181</v>
      </c>
    </row>
    <row r="13" spans="1:6" ht="20.399999999999999" customHeight="1" x14ac:dyDescent="0.25">
      <c r="A13" s="108"/>
      <c r="B13" s="116" t="s">
        <v>108</v>
      </c>
      <c r="C13" s="113">
        <v>42944</v>
      </c>
      <c r="D13" s="115" t="s">
        <v>180</v>
      </c>
      <c r="E13" s="95">
        <v>0</v>
      </c>
      <c r="F13" s="122"/>
    </row>
    <row r="14" spans="1:6" ht="20.399999999999999" customHeight="1" x14ac:dyDescent="0.25">
      <c r="A14" s="108"/>
      <c r="B14" s="116" t="s">
        <v>109</v>
      </c>
      <c r="C14" s="113">
        <v>42882</v>
      </c>
      <c r="D14" s="115" t="s">
        <v>180</v>
      </c>
      <c r="E14" s="95">
        <v>0</v>
      </c>
      <c r="F14" s="122"/>
    </row>
    <row r="15" spans="1:6" ht="20.399999999999999" customHeight="1" x14ac:dyDescent="0.25">
      <c r="A15" s="108"/>
      <c r="B15" s="116" t="s">
        <v>110</v>
      </c>
      <c r="C15" s="113">
        <v>42967</v>
      </c>
      <c r="D15" s="115" t="s">
        <v>180</v>
      </c>
      <c r="E15" s="95">
        <v>0</v>
      </c>
      <c r="F15" s="122"/>
    </row>
    <row r="16" spans="1:6" ht="20.399999999999999" customHeight="1" x14ac:dyDescent="0.25">
      <c r="A16" s="108"/>
      <c r="B16" s="116" t="s">
        <v>111</v>
      </c>
      <c r="C16" s="113">
        <v>42853</v>
      </c>
      <c r="D16" s="115" t="s">
        <v>75</v>
      </c>
      <c r="E16" s="95">
        <v>1</v>
      </c>
      <c r="F16" s="131" t="s">
        <v>129</v>
      </c>
    </row>
    <row r="17" spans="1:6" ht="20.399999999999999" customHeight="1" x14ac:dyDescent="0.25">
      <c r="A17" s="118">
        <v>7</v>
      </c>
      <c r="B17" s="119" t="s">
        <v>112</v>
      </c>
      <c r="C17" s="120">
        <v>42972</v>
      </c>
      <c r="D17" s="121" t="s">
        <v>180</v>
      </c>
      <c r="E17" s="96">
        <v>0.5</v>
      </c>
      <c r="F17" s="137" t="s">
        <v>179</v>
      </c>
    </row>
    <row r="18" spans="1:6" ht="20.399999999999999" hidden="1" customHeight="1" x14ac:dyDescent="0.25">
      <c r="A18" s="117">
        <v>8</v>
      </c>
      <c r="B18" s="132" t="s">
        <v>113</v>
      </c>
      <c r="C18" s="133">
        <v>42989</v>
      </c>
      <c r="D18" s="134" t="s">
        <v>98</v>
      </c>
      <c r="E18" s="135">
        <v>0</v>
      </c>
      <c r="F18" s="136"/>
    </row>
    <row r="19" spans="1:6" ht="20.399999999999999" hidden="1" customHeight="1" x14ac:dyDescent="0.25">
      <c r="A19" s="108">
        <v>9</v>
      </c>
      <c r="B19" s="109" t="s">
        <v>114</v>
      </c>
      <c r="C19" s="110">
        <v>43080</v>
      </c>
      <c r="D19" s="114" t="s">
        <v>98</v>
      </c>
      <c r="E19" s="94">
        <v>0</v>
      </c>
      <c r="F19" s="123"/>
    </row>
    <row r="20" spans="1:6" ht="20.399999999999999" hidden="1" customHeight="1" x14ac:dyDescent="0.25">
      <c r="A20" s="108">
        <v>10</v>
      </c>
      <c r="B20" s="112" t="s">
        <v>115</v>
      </c>
      <c r="C20" s="113">
        <v>43143</v>
      </c>
      <c r="D20" s="115" t="s">
        <v>98</v>
      </c>
      <c r="E20" s="95">
        <v>0</v>
      </c>
      <c r="F20" s="123"/>
    </row>
    <row r="21" spans="1:6" ht="20.399999999999999" hidden="1" customHeight="1" x14ac:dyDescent="0.25">
      <c r="A21" s="108">
        <v>11</v>
      </c>
      <c r="B21" s="109" t="s">
        <v>116</v>
      </c>
      <c r="C21" s="110">
        <v>43171</v>
      </c>
      <c r="D21" s="114" t="s">
        <v>98</v>
      </c>
      <c r="E21" s="94">
        <v>0</v>
      </c>
      <c r="F21" s="123"/>
    </row>
    <row r="22" spans="1:6" ht="20.399999999999999" hidden="1" customHeight="1" x14ac:dyDescent="0.25">
      <c r="A22" s="108">
        <v>12</v>
      </c>
      <c r="B22" s="112" t="s">
        <v>117</v>
      </c>
      <c r="C22" s="113">
        <v>43262</v>
      </c>
      <c r="D22" s="115" t="s">
        <v>98</v>
      </c>
      <c r="E22" s="95">
        <v>0</v>
      </c>
      <c r="F22" s="123"/>
    </row>
    <row r="23" spans="1:6" ht="20.399999999999999" hidden="1" customHeight="1" x14ac:dyDescent="0.25">
      <c r="A23" s="108">
        <v>13</v>
      </c>
      <c r="B23" s="109" t="s">
        <v>118</v>
      </c>
      <c r="C23" s="110">
        <v>43384</v>
      </c>
      <c r="D23" s="114" t="s">
        <v>98</v>
      </c>
      <c r="E23" s="94">
        <v>0</v>
      </c>
      <c r="F23" s="123"/>
    </row>
    <row r="24" spans="1:6" ht="20.399999999999999" hidden="1" customHeight="1" x14ac:dyDescent="0.25">
      <c r="A24" s="108">
        <v>14</v>
      </c>
      <c r="B24" s="112" t="s">
        <v>119</v>
      </c>
      <c r="C24" s="113">
        <v>43476</v>
      </c>
      <c r="D24" s="115" t="s">
        <v>98</v>
      </c>
      <c r="E24" s="95">
        <v>0</v>
      </c>
      <c r="F24" s="122"/>
    </row>
    <row r="25" spans="1:6" ht="20.399999999999999" hidden="1" customHeight="1" x14ac:dyDescent="0.25">
      <c r="A25" s="118">
        <v>15</v>
      </c>
      <c r="B25" s="119" t="s">
        <v>120</v>
      </c>
      <c r="C25" s="120">
        <v>43507</v>
      </c>
      <c r="D25" s="121" t="s">
        <v>98</v>
      </c>
      <c r="E25" s="96">
        <v>0</v>
      </c>
      <c r="F25" s="124"/>
    </row>
    <row r="26" spans="1:6" ht="3.6" customHeight="1" x14ac:dyDescent="0.25">
      <c r="F26" s="97"/>
    </row>
    <row r="27" spans="1:6" ht="22.95" customHeight="1" x14ac:dyDescent="0.25">
      <c r="A27" s="129" t="s">
        <v>125</v>
      </c>
      <c r="B27" s="291" t="s">
        <v>126</v>
      </c>
      <c r="C27" s="291"/>
      <c r="D27" s="291"/>
      <c r="E27" s="291"/>
      <c r="F27" s="128"/>
    </row>
    <row r="28" spans="1:6" ht="22.95" customHeight="1" x14ac:dyDescent="0.25">
      <c r="B28" s="292"/>
      <c r="C28" s="292"/>
      <c r="D28" s="292"/>
      <c r="E28" s="292"/>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2"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9" t="s">
        <v>162</v>
      </c>
      <c r="C3" t="s">
        <v>38</v>
      </c>
      <c r="D3" t="s">
        <v>97</v>
      </c>
      <c r="E3" s="59" t="s">
        <v>160</v>
      </c>
      <c r="F3" t="s">
        <v>161</v>
      </c>
    </row>
    <row r="4" spans="1:6" x14ac:dyDescent="0.25">
      <c r="A4" s="166">
        <v>42690</v>
      </c>
      <c r="B4" s="164">
        <v>0.33333333333333331</v>
      </c>
      <c r="C4" t="s">
        <v>158</v>
      </c>
      <c r="E4" s="59" t="s">
        <v>60</v>
      </c>
    </row>
    <row r="5" spans="1:6" x14ac:dyDescent="0.25">
      <c r="A5" s="166">
        <v>42656</v>
      </c>
      <c r="B5" s="165">
        <v>0.41666666666666669</v>
      </c>
      <c r="C5" t="s">
        <v>159</v>
      </c>
    </row>
    <row r="6" spans="1:6" x14ac:dyDescent="0.25">
      <c r="A6" s="166">
        <v>42663</v>
      </c>
      <c r="B6" s="165">
        <v>0.41666666666666669</v>
      </c>
      <c r="C6" t="s">
        <v>159</v>
      </c>
    </row>
    <row r="7" spans="1:6" x14ac:dyDescent="0.25">
      <c r="A7" s="166">
        <v>42670</v>
      </c>
      <c r="B7" s="165">
        <v>0.41666666666666669</v>
      </c>
      <c r="C7" t="s">
        <v>159</v>
      </c>
    </row>
    <row r="8" spans="1:6" x14ac:dyDescent="0.25">
      <c r="A8" s="166">
        <v>42677</v>
      </c>
      <c r="B8" s="165">
        <v>0.41666666666666669</v>
      </c>
      <c r="C8" t="s">
        <v>159</v>
      </c>
      <c r="D8" s="59" t="s">
        <v>163</v>
      </c>
    </row>
    <row r="9" spans="1:6" x14ac:dyDescent="0.25">
      <c r="A9" s="166">
        <v>42684</v>
      </c>
      <c r="B9" s="165">
        <v>0.41666666666666669</v>
      </c>
      <c r="C9" t="s">
        <v>159</v>
      </c>
    </row>
    <row r="10" spans="1:6" x14ac:dyDescent="0.25">
      <c r="A10" s="166">
        <v>42691</v>
      </c>
      <c r="B10" s="165">
        <v>0.41666666666666669</v>
      </c>
      <c r="C10" t="s">
        <v>159</v>
      </c>
    </row>
    <row r="11" spans="1:6" x14ac:dyDescent="0.25">
      <c r="A11" s="166">
        <v>42698</v>
      </c>
      <c r="B11" s="165">
        <v>0.41666666666666669</v>
      </c>
      <c r="C11" t="s">
        <v>159</v>
      </c>
    </row>
    <row r="12" spans="1:6" x14ac:dyDescent="0.25">
      <c r="A12" s="166">
        <v>42705</v>
      </c>
      <c r="B12" s="165">
        <v>0.41666666666666669</v>
      </c>
      <c r="C12" t="s">
        <v>159</v>
      </c>
      <c r="D12" s="59" t="s">
        <v>163</v>
      </c>
      <c r="F12" t="s">
        <v>164</v>
      </c>
    </row>
    <row r="13" spans="1:6" x14ac:dyDescent="0.25">
      <c r="A13" s="166">
        <v>42712</v>
      </c>
      <c r="B13" s="165">
        <v>0.41666666666666669</v>
      </c>
      <c r="C13" t="s">
        <v>159</v>
      </c>
    </row>
    <row r="14" spans="1:6" x14ac:dyDescent="0.25">
      <c r="A14" s="166">
        <v>42719</v>
      </c>
      <c r="B14" s="165">
        <v>0.41666666666666669</v>
      </c>
      <c r="C14" t="s">
        <v>159</v>
      </c>
      <c r="D14" s="59" t="s">
        <v>171</v>
      </c>
    </row>
    <row r="15" spans="1:6" x14ac:dyDescent="0.25">
      <c r="A15" s="166">
        <v>42726</v>
      </c>
      <c r="B15" s="165">
        <v>0.41666666666666669</v>
      </c>
      <c r="C15" t="s">
        <v>159</v>
      </c>
    </row>
    <row r="16" spans="1:6" x14ac:dyDescent="0.25">
      <c r="A16" s="166">
        <v>42733</v>
      </c>
      <c r="B16" s="165">
        <v>0.41666666666666669</v>
      </c>
      <c r="C16" t="s">
        <v>159</v>
      </c>
    </row>
    <row r="17" spans="1:6" x14ac:dyDescent="0.25">
      <c r="A17" s="166">
        <v>42740</v>
      </c>
      <c r="B17" s="165">
        <v>0.41666666666666669</v>
      </c>
      <c r="C17" t="s">
        <v>159</v>
      </c>
      <c r="D17" s="59" t="s">
        <v>171</v>
      </c>
    </row>
    <row r="18" spans="1:6" x14ac:dyDescent="0.25">
      <c r="A18" s="166">
        <v>42747</v>
      </c>
      <c r="B18" s="165">
        <v>0.41666666666666669</v>
      </c>
      <c r="C18" t="s">
        <v>159</v>
      </c>
    </row>
    <row r="19" spans="1:6" x14ac:dyDescent="0.25">
      <c r="A19" s="166">
        <v>42754</v>
      </c>
      <c r="B19" s="165">
        <v>0.41666666666666669</v>
      </c>
      <c r="C19" t="s">
        <v>159</v>
      </c>
    </row>
    <row r="20" spans="1:6" x14ac:dyDescent="0.25">
      <c r="A20" s="166">
        <v>42761</v>
      </c>
      <c r="B20" s="165">
        <v>0.41666666666666669</v>
      </c>
      <c r="C20" t="s">
        <v>159</v>
      </c>
    </row>
    <row r="21" spans="1:6" x14ac:dyDescent="0.25">
      <c r="A21" s="166">
        <v>42768</v>
      </c>
      <c r="B21" s="165">
        <v>0.41666666666666669</v>
      </c>
      <c r="C21" t="s">
        <v>159</v>
      </c>
    </row>
    <row r="22" spans="1:6" x14ac:dyDescent="0.25">
      <c r="A22" s="166">
        <v>42775</v>
      </c>
      <c r="B22" s="165">
        <v>0.41666666666666669</v>
      </c>
      <c r="C22" t="s">
        <v>159</v>
      </c>
    </row>
    <row r="23" spans="1:6" x14ac:dyDescent="0.25">
      <c r="A23" s="166">
        <v>42782</v>
      </c>
      <c r="B23" s="165">
        <v>0.41666666666666669</v>
      </c>
      <c r="C23" t="s">
        <v>159</v>
      </c>
    </row>
    <row r="24" spans="1:6" x14ac:dyDescent="0.25">
      <c r="A24" s="166">
        <v>42789</v>
      </c>
      <c r="B24" s="165">
        <v>0.41666666666666669</v>
      </c>
      <c r="C24" t="s">
        <v>159</v>
      </c>
      <c r="D24" s="59" t="s">
        <v>171</v>
      </c>
    </row>
    <row r="25" spans="1:6" x14ac:dyDescent="0.25">
      <c r="A25" s="166">
        <v>42796</v>
      </c>
      <c r="B25" s="165">
        <v>0.41666666666666669</v>
      </c>
      <c r="C25" t="s">
        <v>159</v>
      </c>
    </row>
    <row r="26" spans="1:6" x14ac:dyDescent="0.25">
      <c r="A26" s="166">
        <v>42803</v>
      </c>
      <c r="B26" s="165">
        <v>0.41666666666666669</v>
      </c>
      <c r="C26" t="s">
        <v>159</v>
      </c>
      <c r="D26" s="59" t="s">
        <v>163</v>
      </c>
      <c r="F26" t="s">
        <v>165</v>
      </c>
    </row>
    <row r="27" spans="1:6" x14ac:dyDescent="0.25">
      <c r="A27" s="166">
        <v>42810</v>
      </c>
      <c r="B27" s="165">
        <v>0.41666666666666669</v>
      </c>
      <c r="C27" t="s">
        <v>159</v>
      </c>
    </row>
    <row r="28" spans="1:6" x14ac:dyDescent="0.25">
      <c r="A28" s="166">
        <v>42817</v>
      </c>
      <c r="B28" s="165">
        <v>0.41666666666666669</v>
      </c>
      <c r="C28" t="s">
        <v>159</v>
      </c>
    </row>
    <row r="29" spans="1:6" x14ac:dyDescent="0.25">
      <c r="A29" s="166">
        <v>42824</v>
      </c>
      <c r="B29" s="165">
        <v>0.41666666666666669</v>
      </c>
      <c r="C29" t="s">
        <v>159</v>
      </c>
    </row>
    <row r="30" spans="1:6" x14ac:dyDescent="0.25">
      <c r="A30" s="166">
        <v>42831</v>
      </c>
      <c r="B30" s="165">
        <v>0.41666666666666669</v>
      </c>
      <c r="C30" t="s">
        <v>159</v>
      </c>
    </row>
    <row r="31" spans="1:6" x14ac:dyDescent="0.25">
      <c r="A31" s="166">
        <v>42838</v>
      </c>
      <c r="B31" s="165">
        <v>0.41666666666666669</v>
      </c>
      <c r="C31" t="s">
        <v>159</v>
      </c>
    </row>
    <row r="32" spans="1:6" x14ac:dyDescent="0.25">
      <c r="A32" s="166">
        <v>42845</v>
      </c>
      <c r="B32" s="165">
        <v>0.41666666666666669</v>
      </c>
      <c r="C32" t="s">
        <v>159</v>
      </c>
    </row>
    <row r="33" spans="1:6" x14ac:dyDescent="0.25">
      <c r="A33" s="166">
        <v>42852</v>
      </c>
      <c r="B33" s="165">
        <v>0.41666666666666669</v>
      </c>
      <c r="C33" t="s">
        <v>159</v>
      </c>
    </row>
    <row r="34" spans="1:6" x14ac:dyDescent="0.25">
      <c r="A34" s="166">
        <v>42859</v>
      </c>
      <c r="B34" s="165">
        <v>0.41666666666666669</v>
      </c>
      <c r="C34" t="s">
        <v>159</v>
      </c>
    </row>
    <row r="35" spans="1:6" x14ac:dyDescent="0.25">
      <c r="A35" s="166">
        <v>42866</v>
      </c>
      <c r="B35" s="165">
        <v>0.41666666666666669</v>
      </c>
      <c r="C35" t="s">
        <v>159</v>
      </c>
      <c r="D35" s="59" t="s">
        <v>171</v>
      </c>
    </row>
    <row r="36" spans="1:6" x14ac:dyDescent="0.25">
      <c r="A36" s="166">
        <v>42873</v>
      </c>
      <c r="B36" s="165">
        <v>0.41666666666666669</v>
      </c>
      <c r="C36" t="s">
        <v>159</v>
      </c>
    </row>
    <row r="37" spans="1:6" x14ac:dyDescent="0.25">
      <c r="A37" s="166">
        <v>42880</v>
      </c>
      <c r="B37" s="165">
        <v>0.41666666666666669</v>
      </c>
      <c r="C37" t="s">
        <v>159</v>
      </c>
    </row>
    <row r="38" spans="1:6" x14ac:dyDescent="0.25">
      <c r="A38" s="166">
        <v>42887</v>
      </c>
      <c r="B38" s="165">
        <v>0.41666666666666669</v>
      </c>
      <c r="C38" t="s">
        <v>159</v>
      </c>
      <c r="D38" s="59" t="s">
        <v>163</v>
      </c>
      <c r="F38" t="s">
        <v>166</v>
      </c>
    </row>
    <row r="39" spans="1:6" x14ac:dyDescent="0.25">
      <c r="A39" s="166">
        <v>42894</v>
      </c>
      <c r="B39" s="165">
        <v>0.41666666666666669</v>
      </c>
      <c r="C39" t="s">
        <v>159</v>
      </c>
    </row>
    <row r="40" spans="1:6" x14ac:dyDescent="0.25">
      <c r="A40" s="166">
        <v>42901</v>
      </c>
      <c r="B40" s="165">
        <v>0.41666666666666669</v>
      </c>
      <c r="C40" t="s">
        <v>159</v>
      </c>
    </row>
    <row r="41" spans="1:6" x14ac:dyDescent="0.25">
      <c r="A41" s="166">
        <v>42908</v>
      </c>
      <c r="B41" s="165">
        <v>0.41666666666666669</v>
      </c>
      <c r="C41" t="s">
        <v>159</v>
      </c>
      <c r="D41" s="59" t="s">
        <v>171</v>
      </c>
    </row>
    <row r="42" spans="1:6" ht="15.6" x14ac:dyDescent="0.3">
      <c r="A42" s="166">
        <v>42915</v>
      </c>
      <c r="B42" s="165">
        <v>0.41666666666666669</v>
      </c>
      <c r="C42" t="s">
        <v>159</v>
      </c>
      <c r="D42" s="59" t="s">
        <v>163</v>
      </c>
      <c r="F42" s="168" t="s">
        <v>167</v>
      </c>
    </row>
    <row r="43" spans="1:6" x14ac:dyDescent="0.25">
      <c r="A43" s="166">
        <v>42922</v>
      </c>
      <c r="B43" s="165">
        <v>0.41666666666666669</v>
      </c>
      <c r="C43" t="s">
        <v>159</v>
      </c>
      <c r="D43" s="59" t="s">
        <v>171</v>
      </c>
    </row>
    <row r="44" spans="1:6" x14ac:dyDescent="0.25">
      <c r="A44" s="166">
        <v>42929</v>
      </c>
      <c r="B44" s="165">
        <v>0.41666666666666669</v>
      </c>
      <c r="C44" t="s">
        <v>159</v>
      </c>
    </row>
    <row r="45" spans="1:6" ht="15.6" x14ac:dyDescent="0.3">
      <c r="A45" s="166">
        <v>42936</v>
      </c>
      <c r="B45" s="165">
        <v>0.41666666666666669</v>
      </c>
      <c r="C45" t="s">
        <v>159</v>
      </c>
      <c r="D45" s="59" t="s">
        <v>163</v>
      </c>
      <c r="F45" s="168" t="s">
        <v>168</v>
      </c>
    </row>
    <row r="46" spans="1:6" ht="15.6" x14ac:dyDescent="0.3">
      <c r="A46" s="166">
        <v>42943</v>
      </c>
      <c r="B46" s="165">
        <v>0.41666666666666669</v>
      </c>
      <c r="C46" t="s">
        <v>159</v>
      </c>
      <c r="D46" s="59" t="s">
        <v>163</v>
      </c>
      <c r="F46" s="168" t="s">
        <v>168</v>
      </c>
    </row>
    <row r="47" spans="1:6" x14ac:dyDescent="0.25">
      <c r="A47" s="166">
        <v>42950</v>
      </c>
      <c r="B47" s="165">
        <v>0.41666666666666669</v>
      </c>
      <c r="C47" t="s">
        <v>159</v>
      </c>
    </row>
    <row r="48" spans="1:6" ht="15.6" x14ac:dyDescent="0.25">
      <c r="A48" s="166">
        <v>42957</v>
      </c>
      <c r="B48" s="165">
        <v>0.41666666666666669</v>
      </c>
      <c r="C48" t="s">
        <v>159</v>
      </c>
      <c r="D48" s="59" t="s">
        <v>163</v>
      </c>
      <c r="F48" s="167" t="s">
        <v>169</v>
      </c>
    </row>
    <row r="49" spans="1:6" x14ac:dyDescent="0.25">
      <c r="A49" s="166">
        <v>42964</v>
      </c>
      <c r="B49" s="165">
        <v>0.41666666666666669</v>
      </c>
      <c r="C49" t="s">
        <v>159</v>
      </c>
    </row>
    <row r="50" spans="1:6" x14ac:dyDescent="0.25">
      <c r="A50" s="166">
        <v>42971</v>
      </c>
      <c r="B50" s="165">
        <v>0.41666666666666669</v>
      </c>
      <c r="C50" t="s">
        <v>159</v>
      </c>
    </row>
    <row r="51" spans="1:6" x14ac:dyDescent="0.25">
      <c r="A51" s="166">
        <v>42978</v>
      </c>
      <c r="B51" s="165">
        <v>0.41666666666666669</v>
      </c>
      <c r="C51" t="s">
        <v>159</v>
      </c>
      <c r="D51" s="59" t="s">
        <v>163</v>
      </c>
    </row>
    <row r="52" spans="1:6" x14ac:dyDescent="0.25">
      <c r="A52" s="166">
        <v>42985</v>
      </c>
      <c r="B52" s="165">
        <v>0.41666666666666669</v>
      </c>
      <c r="C52" t="s">
        <v>159</v>
      </c>
      <c r="D52" s="59" t="s">
        <v>163</v>
      </c>
      <c r="F52" s="59" t="s">
        <v>170</v>
      </c>
    </row>
    <row r="53" spans="1:6" x14ac:dyDescent="0.25">
      <c r="A53" s="44" t="s">
        <v>53</v>
      </c>
      <c r="C53">
        <f>SUBTOTAL(103,Calendar[Description])</f>
        <v>49</v>
      </c>
      <c r="D53">
        <f>SUBTOTAL(103,Calendar[Status])</f>
        <v>16</v>
      </c>
      <c r="F53">
        <f>SUBTOTAL(103,Calendar[Column1])</f>
        <v>8</v>
      </c>
    </row>
    <row r="54" spans="1:6" x14ac:dyDescent="0.25">
      <c r="A54" s="166"/>
      <c r="B54" s="162"/>
    </row>
    <row r="55" spans="1:6" x14ac:dyDescent="0.25">
      <c r="A55" s="166"/>
      <c r="B55" s="162"/>
    </row>
    <row r="56" spans="1:6" x14ac:dyDescent="0.25">
      <c r="A56" s="166"/>
      <c r="B56" s="162"/>
    </row>
    <row r="57" spans="1:6" x14ac:dyDescent="0.25">
      <c r="A57" s="166"/>
      <c r="B57" s="162"/>
    </row>
    <row r="58" spans="1:6" x14ac:dyDescent="0.25">
      <c r="A58" s="166"/>
      <c r="B58" s="162"/>
    </row>
    <row r="59" spans="1:6" x14ac:dyDescent="0.25">
      <c r="A59" s="166"/>
      <c r="B59" s="162"/>
    </row>
    <row r="60" spans="1:6" x14ac:dyDescent="0.25">
      <c r="A60" s="166"/>
      <c r="B60" s="162"/>
    </row>
    <row r="61" spans="1:6" x14ac:dyDescent="0.25">
      <c r="A61" s="166"/>
      <c r="B61" s="162"/>
    </row>
    <row r="62" spans="1:6" x14ac:dyDescent="0.25">
      <c r="A62" s="166"/>
      <c r="B62" s="162"/>
    </row>
    <row r="63" spans="1:6" x14ac:dyDescent="0.25">
      <c r="A63" s="166"/>
      <c r="B63" s="162"/>
    </row>
    <row r="64" spans="1:6" x14ac:dyDescent="0.25">
      <c r="A64" s="166"/>
      <c r="B64" s="162"/>
    </row>
    <row r="65" spans="1:2" x14ac:dyDescent="0.25">
      <c r="A65" s="166"/>
      <c r="B65" s="162"/>
    </row>
    <row r="66" spans="1:2" x14ac:dyDescent="0.25">
      <c r="A66" s="166"/>
      <c r="B66" s="162"/>
    </row>
    <row r="67" spans="1:2" x14ac:dyDescent="0.25">
      <c r="A67" s="166"/>
      <c r="B67" s="162"/>
    </row>
    <row r="68" spans="1:2" x14ac:dyDescent="0.25">
      <c r="A68" s="166"/>
      <c r="B68" s="162"/>
    </row>
    <row r="69" spans="1:2" x14ac:dyDescent="0.25">
      <c r="A69" s="166"/>
      <c r="B69" s="162"/>
    </row>
    <row r="70" spans="1:2" x14ac:dyDescent="0.25">
      <c r="A70" s="166"/>
      <c r="B70" s="162"/>
    </row>
    <row r="71" spans="1:2" x14ac:dyDescent="0.25">
      <c r="A71" s="166"/>
      <c r="B71" s="162"/>
    </row>
    <row r="72" spans="1:2" x14ac:dyDescent="0.25">
      <c r="A72" s="166"/>
      <c r="B72" s="162"/>
    </row>
    <row r="73" spans="1:2" x14ac:dyDescent="0.25">
      <c r="A73" s="166"/>
      <c r="B73" s="162"/>
    </row>
    <row r="74" spans="1:2" x14ac:dyDescent="0.25">
      <c r="A74" s="166"/>
      <c r="B74" s="162"/>
    </row>
    <row r="75" spans="1:2" x14ac:dyDescent="0.25">
      <c r="A75" s="166"/>
      <c r="B75" s="162"/>
    </row>
    <row r="76" spans="1:2" x14ac:dyDescent="0.25">
      <c r="A76" s="166"/>
      <c r="B76" s="162"/>
    </row>
    <row r="77" spans="1:2" x14ac:dyDescent="0.25">
      <c r="A77" s="166"/>
      <c r="B77" s="162"/>
    </row>
    <row r="78" spans="1:2" x14ac:dyDescent="0.25">
      <c r="A78" s="166"/>
      <c r="B78" s="162"/>
    </row>
    <row r="79" spans="1:2" x14ac:dyDescent="0.25">
      <c r="A79" s="166"/>
      <c r="B79" s="162"/>
    </row>
    <row r="80" spans="1:2" x14ac:dyDescent="0.25">
      <c r="A80" s="166"/>
      <c r="B80" s="162"/>
    </row>
    <row r="81" spans="1:2" x14ac:dyDescent="0.25">
      <c r="A81" s="166"/>
      <c r="B81" s="162"/>
    </row>
    <row r="82" spans="1:2" x14ac:dyDescent="0.25">
      <c r="A82" s="166"/>
      <c r="B82" s="162"/>
    </row>
    <row r="83" spans="1:2" x14ac:dyDescent="0.25">
      <c r="A83" s="166"/>
      <c r="B83" s="162"/>
    </row>
    <row r="84" spans="1:2" x14ac:dyDescent="0.25">
      <c r="A84" s="166"/>
      <c r="B84" s="162"/>
    </row>
    <row r="85" spans="1:2" x14ac:dyDescent="0.25">
      <c r="A85" s="166"/>
      <c r="B85" s="162"/>
    </row>
    <row r="86" spans="1:2" x14ac:dyDescent="0.25">
      <c r="A86" s="166"/>
      <c r="B86" s="162"/>
    </row>
    <row r="87" spans="1:2" x14ac:dyDescent="0.25">
      <c r="A87" s="166"/>
      <c r="B87" s="162"/>
    </row>
    <row r="88" spans="1:2" x14ac:dyDescent="0.25">
      <c r="A88" s="166"/>
      <c r="B88" s="162"/>
    </row>
    <row r="89" spans="1:2" x14ac:dyDescent="0.25">
      <c r="A89" s="166"/>
      <c r="B89" s="162"/>
    </row>
    <row r="90" spans="1:2" x14ac:dyDescent="0.25">
      <c r="A90" s="166"/>
      <c r="B90" s="162"/>
    </row>
    <row r="91" spans="1:2" x14ac:dyDescent="0.25">
      <c r="A91" s="166"/>
      <c r="B91" s="162"/>
    </row>
    <row r="92" spans="1:2" x14ac:dyDescent="0.25">
      <c r="A92" s="166"/>
      <c r="B92" s="162"/>
    </row>
    <row r="93" spans="1:2" x14ac:dyDescent="0.25">
      <c r="A93" s="166"/>
      <c r="B93" s="162"/>
    </row>
    <row r="94" spans="1:2" x14ac:dyDescent="0.25">
      <c r="A94" s="166"/>
      <c r="B94" s="162"/>
    </row>
    <row r="95" spans="1:2" x14ac:dyDescent="0.25">
      <c r="A95" s="166"/>
      <c r="B95" s="162"/>
    </row>
    <row r="96" spans="1:2" x14ac:dyDescent="0.25">
      <c r="A96" s="166"/>
      <c r="B96" s="162"/>
    </row>
    <row r="97" spans="1:2" x14ac:dyDescent="0.25">
      <c r="A97" s="166"/>
      <c r="B97" s="162"/>
    </row>
    <row r="98" spans="1:2" x14ac:dyDescent="0.25">
      <c r="A98" s="166"/>
      <c r="B98" s="162"/>
    </row>
    <row r="99" spans="1:2" x14ac:dyDescent="0.25">
      <c r="A99" s="166"/>
      <c r="B99" s="162"/>
    </row>
    <row r="100" spans="1:2" x14ac:dyDescent="0.25">
      <c r="A100" s="166"/>
      <c r="B100" s="162"/>
    </row>
    <row r="101" spans="1:2" x14ac:dyDescent="0.25">
      <c r="A101" s="166"/>
      <c r="B101" s="162"/>
    </row>
    <row r="102" spans="1:2" x14ac:dyDescent="0.25">
      <c r="A102" s="166"/>
      <c r="B102" s="162"/>
    </row>
    <row r="103" spans="1:2" x14ac:dyDescent="0.25">
      <c r="A103" s="166"/>
      <c r="B103" s="162"/>
    </row>
    <row r="104" spans="1:2" x14ac:dyDescent="0.25">
      <c r="A104" s="166"/>
      <c r="B104" s="162"/>
    </row>
    <row r="105" spans="1:2" x14ac:dyDescent="0.25">
      <c r="A105" s="166"/>
      <c r="B105" s="162"/>
    </row>
    <row r="106" spans="1:2" x14ac:dyDescent="0.25">
      <c r="A106" s="166"/>
      <c r="B106" s="162"/>
    </row>
    <row r="107" spans="1:2" x14ac:dyDescent="0.25">
      <c r="A107" s="166"/>
      <c r="B107" s="162"/>
    </row>
    <row r="108" spans="1:2" x14ac:dyDescent="0.25">
      <c r="A108" s="166"/>
      <c r="B108" s="162"/>
    </row>
    <row r="109" spans="1:2" x14ac:dyDescent="0.25">
      <c r="A109" s="166"/>
      <c r="B109" s="162"/>
    </row>
    <row r="110" spans="1:2" x14ac:dyDescent="0.25">
      <c r="A110" s="166"/>
      <c r="B110" s="162"/>
    </row>
    <row r="111" spans="1:2" x14ac:dyDescent="0.25">
      <c r="A111" s="166"/>
      <c r="B111" s="162"/>
    </row>
    <row r="112" spans="1:2" x14ac:dyDescent="0.25">
      <c r="A112" s="166"/>
      <c r="B112" s="162"/>
    </row>
    <row r="113" spans="1:2" x14ac:dyDescent="0.25">
      <c r="A113" s="166"/>
      <c r="B113" s="162"/>
    </row>
    <row r="114" spans="1:2" x14ac:dyDescent="0.25">
      <c r="A114" s="166"/>
      <c r="B114" s="162"/>
    </row>
    <row r="115" spans="1:2" x14ac:dyDescent="0.25">
      <c r="A115" s="166"/>
      <c r="B115" s="162"/>
    </row>
    <row r="116" spans="1:2" x14ac:dyDescent="0.25">
      <c r="A116" s="166"/>
      <c r="B116" s="162"/>
    </row>
    <row r="117" spans="1:2" x14ac:dyDescent="0.25">
      <c r="A117" s="166"/>
      <c r="B117" s="162"/>
    </row>
    <row r="118" spans="1:2" x14ac:dyDescent="0.25">
      <c r="A118" s="166"/>
      <c r="B118" s="162"/>
    </row>
    <row r="119" spans="1:2" x14ac:dyDescent="0.25">
      <c r="A119" s="166"/>
      <c r="B119" s="162"/>
    </row>
    <row r="120" spans="1:2" x14ac:dyDescent="0.25">
      <c r="A120" s="166"/>
      <c r="B120" s="162"/>
    </row>
    <row r="121" spans="1:2" x14ac:dyDescent="0.25">
      <c r="A121" s="166"/>
      <c r="B121" s="162"/>
    </row>
    <row r="122" spans="1:2" x14ac:dyDescent="0.25">
      <c r="A122" s="166"/>
      <c r="B122" s="162"/>
    </row>
    <row r="123" spans="1:2" x14ac:dyDescent="0.25">
      <c r="A123" s="166"/>
      <c r="B123" s="162"/>
    </row>
    <row r="124" spans="1:2" x14ac:dyDescent="0.25">
      <c r="A124" s="166"/>
      <c r="B124" s="162"/>
    </row>
    <row r="125" spans="1:2" x14ac:dyDescent="0.25">
      <c r="A125" s="166"/>
      <c r="B125" s="162"/>
    </row>
    <row r="126" spans="1:2" x14ac:dyDescent="0.25">
      <c r="A126" s="166"/>
      <c r="B126" s="162"/>
    </row>
    <row r="127" spans="1:2" x14ac:dyDescent="0.25">
      <c r="A127" s="166"/>
      <c r="B127" s="162"/>
    </row>
    <row r="128" spans="1:2" x14ac:dyDescent="0.25">
      <c r="A128" s="166"/>
      <c r="B128" s="162"/>
    </row>
    <row r="129" spans="1:2" x14ac:dyDescent="0.25">
      <c r="A129" s="166"/>
      <c r="B129" s="162"/>
    </row>
    <row r="130" spans="1:2" x14ac:dyDescent="0.25">
      <c r="A130" s="166"/>
      <c r="B130" s="162"/>
    </row>
    <row r="131" spans="1:2" x14ac:dyDescent="0.25">
      <c r="A131" s="166"/>
      <c r="B131" s="162"/>
    </row>
    <row r="132" spans="1:2" x14ac:dyDescent="0.25">
      <c r="A132" s="166"/>
      <c r="B132" s="162"/>
    </row>
    <row r="133" spans="1:2" x14ac:dyDescent="0.25">
      <c r="A133" s="166"/>
      <c r="B133" s="162"/>
    </row>
    <row r="134" spans="1:2" x14ac:dyDescent="0.25">
      <c r="A134" s="166"/>
      <c r="B134" s="162"/>
    </row>
    <row r="135" spans="1:2" x14ac:dyDescent="0.25">
      <c r="A135" s="166"/>
      <c r="B135" s="162"/>
    </row>
    <row r="136" spans="1:2" x14ac:dyDescent="0.25">
      <c r="A136" s="166"/>
      <c r="B136" s="162"/>
    </row>
    <row r="137" spans="1:2" x14ac:dyDescent="0.25">
      <c r="A137" s="166"/>
      <c r="B137" s="162"/>
    </row>
    <row r="138" spans="1:2" x14ac:dyDescent="0.25">
      <c r="A138" s="166"/>
      <c r="B138" s="162"/>
    </row>
    <row r="139" spans="1:2" x14ac:dyDescent="0.25">
      <c r="A139" s="166"/>
      <c r="B139" s="162"/>
    </row>
    <row r="140" spans="1:2" x14ac:dyDescent="0.25">
      <c r="A140" s="166"/>
      <c r="B140" s="162"/>
    </row>
    <row r="141" spans="1:2" x14ac:dyDescent="0.25">
      <c r="A141" s="166"/>
      <c r="B141" s="162"/>
    </row>
    <row r="142" spans="1:2" x14ac:dyDescent="0.25">
      <c r="A142" s="166"/>
      <c r="B142" s="162"/>
    </row>
    <row r="143" spans="1:2" x14ac:dyDescent="0.25">
      <c r="A143" s="166"/>
      <c r="B143" s="162"/>
    </row>
    <row r="144" spans="1:2" x14ac:dyDescent="0.25">
      <c r="A144" s="166"/>
      <c r="B144" s="162"/>
    </row>
    <row r="145" spans="1:2" x14ac:dyDescent="0.25">
      <c r="A145" s="166"/>
      <c r="B145" s="162"/>
    </row>
    <row r="146" spans="1:2" x14ac:dyDescent="0.25">
      <c r="A146" s="166"/>
      <c r="B146" s="162"/>
    </row>
    <row r="147" spans="1:2" x14ac:dyDescent="0.25">
      <c r="A147" s="166"/>
      <c r="B147" s="162"/>
    </row>
    <row r="148" spans="1:2" x14ac:dyDescent="0.25">
      <c r="A148" s="166"/>
      <c r="B148" s="162"/>
    </row>
    <row r="149" spans="1:2" x14ac:dyDescent="0.25">
      <c r="A149" s="166"/>
      <c r="B149" s="162"/>
    </row>
    <row r="150" spans="1:2" x14ac:dyDescent="0.25">
      <c r="A150" s="166"/>
      <c r="B150" s="162"/>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7">
        <f ca="1">TODAY()-7</f>
        <v>43356</v>
      </c>
    </row>
    <row r="5" spans="1:3" x14ac:dyDescent="0.25">
      <c r="A5" s="56">
        <v>0.95</v>
      </c>
      <c r="C5" s="77">
        <f ca="1">WORKDAY(C4,1)</f>
        <v>43357</v>
      </c>
    </row>
    <row r="6" spans="1:3" x14ac:dyDescent="0.25">
      <c r="A6" s="56">
        <v>0.89999999999999991</v>
      </c>
      <c r="C6" s="77">
        <f t="shared" ref="C6:C24" ca="1" si="0">WORKDAY(C5,1)</f>
        <v>43360</v>
      </c>
    </row>
    <row r="7" spans="1:3" x14ac:dyDescent="0.25">
      <c r="A7" s="56">
        <v>0.84999999999999987</v>
      </c>
      <c r="C7" s="77">
        <f t="shared" ca="1" si="0"/>
        <v>43361</v>
      </c>
    </row>
    <row r="8" spans="1:3" x14ac:dyDescent="0.25">
      <c r="A8" s="56">
        <v>0.79999999999999982</v>
      </c>
      <c r="C8" s="77">
        <f t="shared" ca="1" si="0"/>
        <v>43362</v>
      </c>
    </row>
    <row r="9" spans="1:3" x14ac:dyDescent="0.25">
      <c r="A9" s="56">
        <v>0.74999999999999978</v>
      </c>
      <c r="C9" s="77">
        <f t="shared" ca="1" si="0"/>
        <v>43363</v>
      </c>
    </row>
    <row r="10" spans="1:3" x14ac:dyDescent="0.25">
      <c r="A10" s="56">
        <v>0.69999999999999973</v>
      </c>
      <c r="C10" s="77">
        <f t="shared" ca="1" si="0"/>
        <v>43364</v>
      </c>
    </row>
    <row r="11" spans="1:3" x14ac:dyDescent="0.25">
      <c r="A11" s="56">
        <v>0.64999999999999969</v>
      </c>
      <c r="C11" s="77">
        <f t="shared" ca="1" si="0"/>
        <v>43367</v>
      </c>
    </row>
    <row r="12" spans="1:3" x14ac:dyDescent="0.25">
      <c r="A12" s="56">
        <v>0.59999999999999964</v>
      </c>
      <c r="C12" s="77">
        <f t="shared" ca="1" si="0"/>
        <v>43368</v>
      </c>
    </row>
    <row r="13" spans="1:3" x14ac:dyDescent="0.25">
      <c r="A13" s="56">
        <v>0.5499999999999996</v>
      </c>
      <c r="C13" s="77">
        <f t="shared" ca="1" si="0"/>
        <v>43369</v>
      </c>
    </row>
    <row r="14" spans="1:3" x14ac:dyDescent="0.25">
      <c r="A14" s="56">
        <v>0.49999999999999961</v>
      </c>
      <c r="C14" s="77">
        <f t="shared" ca="1" si="0"/>
        <v>43370</v>
      </c>
    </row>
    <row r="15" spans="1:3" x14ac:dyDescent="0.25">
      <c r="A15" s="56">
        <v>0.44999999999999962</v>
      </c>
      <c r="C15" s="77">
        <f t="shared" ca="1" si="0"/>
        <v>43371</v>
      </c>
    </row>
    <row r="16" spans="1:3" x14ac:dyDescent="0.25">
      <c r="A16" s="56">
        <v>0.39999999999999963</v>
      </c>
      <c r="C16" s="77">
        <f t="shared" ca="1" si="0"/>
        <v>43374</v>
      </c>
    </row>
    <row r="17" spans="1:3" x14ac:dyDescent="0.25">
      <c r="A17" s="56">
        <v>0.34999999999999964</v>
      </c>
      <c r="C17" s="77">
        <f t="shared" ca="1" si="0"/>
        <v>43375</v>
      </c>
    </row>
    <row r="18" spans="1:3" x14ac:dyDescent="0.25">
      <c r="A18" s="56">
        <v>0.29999999999999966</v>
      </c>
      <c r="C18" s="77">
        <f t="shared" ca="1" si="0"/>
        <v>43376</v>
      </c>
    </row>
    <row r="19" spans="1:3" x14ac:dyDescent="0.25">
      <c r="A19" s="56">
        <v>0.24999999999999967</v>
      </c>
      <c r="C19" s="77">
        <f t="shared" ca="1" si="0"/>
        <v>43377</v>
      </c>
    </row>
    <row r="20" spans="1:3" x14ac:dyDescent="0.25">
      <c r="A20" s="56">
        <v>0.19999999999999968</v>
      </c>
      <c r="C20" s="77">
        <f t="shared" ca="1" si="0"/>
        <v>43378</v>
      </c>
    </row>
    <row r="21" spans="1:3" x14ac:dyDescent="0.25">
      <c r="A21" s="56">
        <v>0.14999999999999969</v>
      </c>
      <c r="C21" s="77">
        <f t="shared" ca="1" si="0"/>
        <v>43381</v>
      </c>
    </row>
    <row r="22" spans="1:3" x14ac:dyDescent="0.25">
      <c r="A22" s="56">
        <v>9.9999999999999686E-2</v>
      </c>
      <c r="C22" s="77">
        <f t="shared" ca="1" si="0"/>
        <v>43382</v>
      </c>
    </row>
    <row r="23" spans="1:3" x14ac:dyDescent="0.25">
      <c r="A23" s="56">
        <v>4.9999999999999684E-2</v>
      </c>
      <c r="C23" s="77">
        <f t="shared" ca="1" si="0"/>
        <v>43383</v>
      </c>
    </row>
    <row r="24" spans="1:3" x14ac:dyDescent="0.25">
      <c r="A24" s="56">
        <v>-3.1918911957973251E-16</v>
      </c>
      <c r="C24" s="77">
        <f t="shared" ca="1" si="0"/>
        <v>43384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2018-09-20T15:51:46Z</dcterms:modified>
</cp:coreProperties>
</file>