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mccallum\Desktop\"/>
    </mc:Choice>
  </mc:AlternateContent>
  <xr:revisionPtr revIDLastSave="0" documentId="8_{1361BB7B-C1AA-4AD2-8A22-1D6F052D87DB}" xr6:coauthVersionLast="36" xr6:coauthVersionMax="36" xr10:uidLastSave="{00000000-0000-0000-0000-000000000000}"/>
  <bookViews>
    <workbookView xWindow="0" yWindow="0" windowWidth="19200" windowHeight="6465" xr2:uid="{00000000-000D-0000-FFFF-FFFF00000000}"/>
  </bookViews>
  <sheets>
    <sheet name="FY21" sheetId="1" r:id="rId1"/>
    <sheet name="Sheet2" sheetId="2" r:id="rId2"/>
  </sheets>
  <externalReferences>
    <externalReference r:id="rId3"/>
  </externalReferences>
  <definedNames>
    <definedName name="_xlnm._FilterDatabase" localSheetId="0" hidden="1">'FY21'!$A$3:$N$63</definedName>
    <definedName name="_xlnm.Print_Area" localSheetId="0">'FY21'!$A$1:$N$63</definedName>
    <definedName name="_xlnm.Print_Titles" localSheetId="0">'FY21'!$3:$3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N83" i="1"/>
  <c r="M83" i="1"/>
  <c r="L83" i="1"/>
  <c r="K83" i="1"/>
  <c r="J83" i="1"/>
  <c r="I83" i="1"/>
  <c r="F83" i="1"/>
  <c r="E83" i="1"/>
  <c r="D83" i="1"/>
  <c r="H83" i="1" s="1"/>
  <c r="C83" i="1"/>
  <c r="B83" i="1"/>
  <c r="N82" i="1"/>
  <c r="M82" i="1"/>
  <c r="L82" i="1"/>
  <c r="K82" i="1"/>
  <c r="J82" i="1"/>
  <c r="I82" i="1"/>
  <c r="G82" i="1"/>
  <c r="F82" i="1"/>
  <c r="H82" i="1" s="1"/>
  <c r="E82" i="1"/>
  <c r="D82" i="1"/>
  <c r="C82" i="1"/>
  <c r="B82" i="1"/>
  <c r="N81" i="1"/>
  <c r="M81" i="1"/>
  <c r="L81" i="1"/>
  <c r="K81" i="1"/>
  <c r="J81" i="1"/>
  <c r="I81" i="1"/>
  <c r="F81" i="1"/>
  <c r="E81" i="1"/>
  <c r="D81" i="1"/>
  <c r="H81" i="1" s="1"/>
  <c r="C81" i="1"/>
  <c r="B81" i="1"/>
  <c r="N80" i="1"/>
  <c r="M80" i="1"/>
  <c r="L80" i="1"/>
  <c r="K80" i="1"/>
  <c r="J80" i="1"/>
  <c r="I80" i="1"/>
  <c r="H80" i="1"/>
  <c r="F80" i="1"/>
  <c r="E80" i="1"/>
  <c r="D80" i="1"/>
  <c r="G80" i="1" s="1"/>
  <c r="C80" i="1"/>
  <c r="B80" i="1"/>
  <c r="N79" i="1"/>
  <c r="M79" i="1"/>
  <c r="L79" i="1"/>
  <c r="K79" i="1"/>
  <c r="J79" i="1"/>
  <c r="I79" i="1"/>
  <c r="F79" i="1"/>
  <c r="E79" i="1"/>
  <c r="G79" i="1" s="1"/>
  <c r="D79" i="1"/>
  <c r="H79" i="1" s="1"/>
  <c r="C79" i="1"/>
  <c r="B79" i="1"/>
  <c r="N78" i="1"/>
  <c r="M78" i="1"/>
  <c r="L78" i="1"/>
  <c r="K78" i="1"/>
  <c r="J78" i="1"/>
  <c r="I78" i="1"/>
  <c r="F78" i="1"/>
  <c r="E78" i="1"/>
  <c r="D78" i="1"/>
  <c r="H78" i="1" s="1"/>
  <c r="C78" i="1"/>
  <c r="B78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M76" i="1"/>
  <c r="L76" i="1"/>
  <c r="K76" i="1"/>
  <c r="J76" i="1"/>
  <c r="I76" i="1"/>
  <c r="F76" i="1"/>
  <c r="E76" i="1"/>
  <c r="D76" i="1"/>
  <c r="H76" i="1" s="1"/>
  <c r="C76" i="1"/>
  <c r="B76" i="1"/>
  <c r="N75" i="1"/>
  <c r="M75" i="1"/>
  <c r="L75" i="1"/>
  <c r="K75" i="1"/>
  <c r="J75" i="1"/>
  <c r="I75" i="1"/>
  <c r="G75" i="1"/>
  <c r="F75" i="1"/>
  <c r="H75" i="1" s="1"/>
  <c r="E75" i="1"/>
  <c r="D75" i="1"/>
  <c r="C75" i="1"/>
  <c r="B75" i="1"/>
  <c r="N74" i="1"/>
  <c r="M74" i="1"/>
  <c r="L74" i="1"/>
  <c r="K74" i="1"/>
  <c r="J74" i="1"/>
  <c r="I74" i="1"/>
  <c r="G74" i="1"/>
  <c r="F74" i="1"/>
  <c r="H74" i="1" s="1"/>
  <c r="E74" i="1"/>
  <c r="D74" i="1"/>
  <c r="C74" i="1"/>
  <c r="B74" i="1"/>
  <c r="N73" i="1"/>
  <c r="M73" i="1"/>
  <c r="L73" i="1"/>
  <c r="K73" i="1"/>
  <c r="J73" i="1"/>
  <c r="I73" i="1"/>
  <c r="F73" i="1"/>
  <c r="E73" i="1"/>
  <c r="D73" i="1"/>
  <c r="H73" i="1" s="1"/>
  <c r="C73" i="1"/>
  <c r="B73" i="1"/>
  <c r="N72" i="1"/>
  <c r="M72" i="1"/>
  <c r="L72" i="1"/>
  <c r="K72" i="1"/>
  <c r="J72" i="1"/>
  <c r="I72" i="1"/>
  <c r="H72" i="1"/>
  <c r="F72" i="1"/>
  <c r="E72" i="1"/>
  <c r="D72" i="1"/>
  <c r="G72" i="1" s="1"/>
  <c r="C72" i="1"/>
  <c r="B72" i="1"/>
  <c r="N71" i="1"/>
  <c r="M71" i="1"/>
  <c r="L71" i="1"/>
  <c r="K71" i="1"/>
  <c r="J71" i="1"/>
  <c r="I71" i="1"/>
  <c r="F71" i="1"/>
  <c r="E71" i="1"/>
  <c r="G71" i="1" s="1"/>
  <c r="D71" i="1"/>
  <c r="H71" i="1" s="1"/>
  <c r="C71" i="1"/>
  <c r="B71" i="1"/>
  <c r="N70" i="1"/>
  <c r="M70" i="1"/>
  <c r="L70" i="1"/>
  <c r="K70" i="1"/>
  <c r="J70" i="1"/>
  <c r="I70" i="1"/>
  <c r="F70" i="1"/>
  <c r="E70" i="1"/>
  <c r="D70" i="1"/>
  <c r="H70" i="1" s="1"/>
  <c r="C70" i="1"/>
  <c r="B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F68" i="1"/>
  <c r="E68" i="1"/>
  <c r="D68" i="1"/>
  <c r="H68" i="1" s="1"/>
  <c r="C68" i="1"/>
  <c r="B68" i="1"/>
  <c r="N67" i="1"/>
  <c r="M67" i="1"/>
  <c r="L67" i="1"/>
  <c r="K67" i="1"/>
  <c r="J67" i="1"/>
  <c r="I67" i="1"/>
  <c r="G67" i="1"/>
  <c r="F67" i="1"/>
  <c r="E67" i="1"/>
  <c r="D67" i="1"/>
  <c r="H67" i="1" s="1"/>
  <c r="C67" i="1"/>
  <c r="B67" i="1"/>
  <c r="N66" i="1"/>
  <c r="M66" i="1"/>
  <c r="L66" i="1"/>
  <c r="K66" i="1"/>
  <c r="I66" i="1"/>
  <c r="F66" i="1"/>
  <c r="H66" i="1" s="1"/>
  <c r="E66" i="1"/>
  <c r="G66" i="1" s="1"/>
  <c r="D66" i="1"/>
  <c r="C66" i="1"/>
  <c r="B66" i="1"/>
  <c r="N65" i="1"/>
  <c r="M65" i="1"/>
  <c r="L65" i="1"/>
  <c r="K65" i="1"/>
  <c r="J65" i="1"/>
  <c r="I65" i="1"/>
  <c r="F65" i="1"/>
  <c r="E65" i="1"/>
  <c r="D65" i="1"/>
  <c r="H65" i="1" s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F63" i="1"/>
  <c r="E63" i="1"/>
  <c r="D63" i="1"/>
  <c r="H63" i="1" s="1"/>
  <c r="C63" i="1"/>
  <c r="B63" i="1"/>
  <c r="N62" i="1"/>
  <c r="M62" i="1"/>
  <c r="L62" i="1"/>
  <c r="K62" i="1"/>
  <c r="J62" i="1"/>
  <c r="I62" i="1"/>
  <c r="G62" i="1"/>
  <c r="F62" i="1"/>
  <c r="E62" i="1"/>
  <c r="D62" i="1"/>
  <c r="H62" i="1" s="1"/>
  <c r="C62" i="1"/>
  <c r="B62" i="1"/>
  <c r="N61" i="1"/>
  <c r="M61" i="1"/>
  <c r="L61" i="1"/>
  <c r="K61" i="1"/>
  <c r="J61" i="1"/>
  <c r="I61" i="1"/>
  <c r="G61" i="1"/>
  <c r="F61" i="1"/>
  <c r="H61" i="1" s="1"/>
  <c r="E61" i="1"/>
  <c r="D61" i="1"/>
  <c r="C61" i="1"/>
  <c r="B61" i="1"/>
  <c r="N60" i="1"/>
  <c r="M60" i="1"/>
  <c r="L60" i="1"/>
  <c r="K60" i="1"/>
  <c r="J60" i="1"/>
  <c r="I60" i="1"/>
  <c r="F60" i="1"/>
  <c r="E60" i="1"/>
  <c r="D60" i="1"/>
  <c r="H60" i="1" s="1"/>
  <c r="C60" i="1"/>
  <c r="B60" i="1"/>
  <c r="N59" i="1"/>
  <c r="M59" i="1"/>
  <c r="L59" i="1"/>
  <c r="K59" i="1"/>
  <c r="J59" i="1"/>
  <c r="I59" i="1"/>
  <c r="H59" i="1"/>
  <c r="F59" i="1"/>
  <c r="E59" i="1"/>
  <c r="D59" i="1"/>
  <c r="G59" i="1" s="1"/>
  <c r="C59" i="1"/>
  <c r="B59" i="1"/>
  <c r="N58" i="1"/>
  <c r="M58" i="1"/>
  <c r="L58" i="1"/>
  <c r="K58" i="1"/>
  <c r="J58" i="1"/>
  <c r="I58" i="1"/>
  <c r="F58" i="1"/>
  <c r="H58" i="1" s="1"/>
  <c r="E58" i="1"/>
  <c r="G58" i="1" s="1"/>
  <c r="D58" i="1"/>
  <c r="C58" i="1"/>
  <c r="B58" i="1"/>
  <c r="N57" i="1"/>
  <c r="M57" i="1"/>
  <c r="L57" i="1"/>
  <c r="K57" i="1"/>
  <c r="J57" i="1"/>
  <c r="I57" i="1"/>
  <c r="F57" i="1"/>
  <c r="E57" i="1"/>
  <c r="D57" i="1"/>
  <c r="H57" i="1" s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F55" i="1"/>
  <c r="E55" i="1"/>
  <c r="D55" i="1"/>
  <c r="H55" i="1" s="1"/>
  <c r="C55" i="1"/>
  <c r="B55" i="1"/>
  <c r="N54" i="1"/>
  <c r="M54" i="1"/>
  <c r="L54" i="1"/>
  <c r="K54" i="1"/>
  <c r="J54" i="1"/>
  <c r="I54" i="1"/>
  <c r="G54" i="1"/>
  <c r="F54" i="1"/>
  <c r="E54" i="1"/>
  <c r="D54" i="1"/>
  <c r="H54" i="1" s="1"/>
  <c r="C54" i="1"/>
  <c r="B54" i="1"/>
  <c r="N53" i="1"/>
  <c r="M53" i="1"/>
  <c r="L53" i="1"/>
  <c r="K53" i="1"/>
  <c r="J53" i="1"/>
  <c r="I53" i="1"/>
  <c r="G53" i="1"/>
  <c r="F53" i="1"/>
  <c r="H53" i="1" s="1"/>
  <c r="E53" i="1"/>
  <c r="D53" i="1"/>
  <c r="C53" i="1"/>
  <c r="B53" i="1"/>
  <c r="N52" i="1"/>
  <c r="M52" i="1"/>
  <c r="L52" i="1"/>
  <c r="K52" i="1"/>
  <c r="J52" i="1"/>
  <c r="I52" i="1"/>
  <c r="F52" i="1"/>
  <c r="E52" i="1"/>
  <c r="D52" i="1"/>
  <c r="H52" i="1" s="1"/>
  <c r="C52" i="1"/>
  <c r="B52" i="1"/>
  <c r="N51" i="1"/>
  <c r="M51" i="1"/>
  <c r="L51" i="1"/>
  <c r="K51" i="1"/>
  <c r="J51" i="1"/>
  <c r="I51" i="1"/>
  <c r="H51" i="1"/>
  <c r="F51" i="1"/>
  <c r="E51" i="1"/>
  <c r="D51" i="1"/>
  <c r="G51" i="1" s="1"/>
  <c r="C51" i="1"/>
  <c r="B51" i="1"/>
  <c r="N50" i="1"/>
  <c r="M50" i="1"/>
  <c r="L50" i="1"/>
  <c r="K50" i="1"/>
  <c r="J50" i="1"/>
  <c r="I50" i="1"/>
  <c r="F50" i="1"/>
  <c r="H50" i="1" s="1"/>
  <c r="E50" i="1"/>
  <c r="G50" i="1" s="1"/>
  <c r="D50" i="1"/>
  <c r="C50" i="1"/>
  <c r="B50" i="1"/>
  <c r="N49" i="1"/>
  <c r="M49" i="1"/>
  <c r="L49" i="1"/>
  <c r="K49" i="1"/>
  <c r="J49" i="1"/>
  <c r="I49" i="1"/>
  <c r="F49" i="1"/>
  <c r="E49" i="1"/>
  <c r="D49" i="1"/>
  <c r="H49" i="1" s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F47" i="1"/>
  <c r="E47" i="1"/>
  <c r="D47" i="1"/>
  <c r="H47" i="1" s="1"/>
  <c r="C47" i="1"/>
  <c r="B47" i="1"/>
  <c r="N46" i="1"/>
  <c r="M46" i="1"/>
  <c r="L46" i="1"/>
  <c r="K46" i="1"/>
  <c r="J46" i="1"/>
  <c r="I46" i="1"/>
  <c r="G46" i="1"/>
  <c r="F46" i="1"/>
  <c r="E46" i="1"/>
  <c r="D46" i="1"/>
  <c r="H46" i="1" s="1"/>
  <c r="C46" i="1"/>
  <c r="B46" i="1"/>
  <c r="N45" i="1"/>
  <c r="M45" i="1"/>
  <c r="L45" i="1"/>
  <c r="K45" i="1"/>
  <c r="J45" i="1"/>
  <c r="I45" i="1"/>
  <c r="G45" i="1"/>
  <c r="F45" i="1"/>
  <c r="H45" i="1" s="1"/>
  <c r="E45" i="1"/>
  <c r="D45" i="1"/>
  <c r="C45" i="1"/>
  <c r="B45" i="1"/>
  <c r="N44" i="1"/>
  <c r="M44" i="1"/>
  <c r="L44" i="1"/>
  <c r="K44" i="1"/>
  <c r="J44" i="1"/>
  <c r="I44" i="1"/>
  <c r="F44" i="1"/>
  <c r="E44" i="1"/>
  <c r="D44" i="1"/>
  <c r="H44" i="1" s="1"/>
  <c r="C44" i="1"/>
  <c r="B44" i="1"/>
  <c r="N43" i="1"/>
  <c r="M43" i="1"/>
  <c r="L43" i="1"/>
  <c r="K43" i="1"/>
  <c r="J43" i="1"/>
  <c r="I43" i="1"/>
  <c r="H43" i="1"/>
  <c r="F43" i="1"/>
  <c r="E43" i="1"/>
  <c r="D43" i="1"/>
  <c r="G43" i="1" s="1"/>
  <c r="C43" i="1"/>
  <c r="B43" i="1"/>
  <c r="N42" i="1"/>
  <c r="M42" i="1"/>
  <c r="L42" i="1"/>
  <c r="K42" i="1"/>
  <c r="J42" i="1"/>
  <c r="I42" i="1"/>
  <c r="F42" i="1"/>
  <c r="H42" i="1" s="1"/>
  <c r="E42" i="1"/>
  <c r="G42" i="1" s="1"/>
  <c r="D42" i="1"/>
  <c r="C42" i="1"/>
  <c r="B42" i="1"/>
  <c r="N41" i="1"/>
  <c r="M41" i="1"/>
  <c r="L41" i="1"/>
  <c r="K41" i="1"/>
  <c r="J41" i="1"/>
  <c r="I41" i="1"/>
  <c r="F41" i="1"/>
  <c r="E41" i="1"/>
  <c r="D41" i="1"/>
  <c r="H41" i="1" s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F39" i="1"/>
  <c r="E39" i="1"/>
  <c r="D39" i="1"/>
  <c r="H39" i="1" s="1"/>
  <c r="C39" i="1"/>
  <c r="B39" i="1"/>
  <c r="N38" i="1"/>
  <c r="M38" i="1"/>
  <c r="L38" i="1"/>
  <c r="K38" i="1"/>
  <c r="J38" i="1"/>
  <c r="I38" i="1"/>
  <c r="G38" i="1"/>
  <c r="F38" i="1"/>
  <c r="E38" i="1"/>
  <c r="D38" i="1"/>
  <c r="H38" i="1" s="1"/>
  <c r="C38" i="1"/>
  <c r="B38" i="1"/>
  <c r="N37" i="1"/>
  <c r="M37" i="1"/>
  <c r="L37" i="1"/>
  <c r="K37" i="1"/>
  <c r="J37" i="1"/>
  <c r="I37" i="1"/>
  <c r="G37" i="1"/>
  <c r="F37" i="1"/>
  <c r="H37" i="1" s="1"/>
  <c r="E37" i="1"/>
  <c r="D37" i="1"/>
  <c r="C37" i="1"/>
  <c r="B37" i="1"/>
  <c r="N36" i="1"/>
  <c r="M36" i="1"/>
  <c r="L36" i="1"/>
  <c r="K36" i="1"/>
  <c r="J36" i="1"/>
  <c r="I36" i="1"/>
  <c r="F36" i="1"/>
  <c r="E36" i="1"/>
  <c r="D36" i="1"/>
  <c r="H36" i="1" s="1"/>
  <c r="C36" i="1"/>
  <c r="B36" i="1"/>
  <c r="N35" i="1"/>
  <c r="M35" i="1"/>
  <c r="L35" i="1"/>
  <c r="K35" i="1"/>
  <c r="J35" i="1"/>
  <c r="I35" i="1"/>
  <c r="H35" i="1"/>
  <c r="F35" i="1"/>
  <c r="E35" i="1"/>
  <c r="D35" i="1"/>
  <c r="G35" i="1" s="1"/>
  <c r="C35" i="1"/>
  <c r="B35" i="1"/>
  <c r="N34" i="1"/>
  <c r="M34" i="1"/>
  <c r="L34" i="1"/>
  <c r="K34" i="1"/>
  <c r="J34" i="1"/>
  <c r="I34" i="1"/>
  <c r="F34" i="1"/>
  <c r="H34" i="1" s="1"/>
  <c r="E34" i="1"/>
  <c r="G34" i="1" s="1"/>
  <c r="D34" i="1"/>
  <c r="C34" i="1"/>
  <c r="B34" i="1"/>
  <c r="N33" i="1"/>
  <c r="M33" i="1"/>
  <c r="L33" i="1"/>
  <c r="K33" i="1"/>
  <c r="J33" i="1"/>
  <c r="I33" i="1"/>
  <c r="F33" i="1"/>
  <c r="E33" i="1"/>
  <c r="D33" i="1"/>
  <c r="H33" i="1" s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F31" i="1"/>
  <c r="E31" i="1"/>
  <c r="D31" i="1"/>
  <c r="H31" i="1" s="1"/>
  <c r="C31" i="1"/>
  <c r="B31" i="1"/>
  <c r="N30" i="1"/>
  <c r="M30" i="1"/>
  <c r="L30" i="1"/>
  <c r="K30" i="1"/>
  <c r="J30" i="1"/>
  <c r="I30" i="1"/>
  <c r="G30" i="1"/>
  <c r="F30" i="1"/>
  <c r="E30" i="1"/>
  <c r="D30" i="1"/>
  <c r="H30" i="1" s="1"/>
  <c r="C30" i="1"/>
  <c r="B30" i="1"/>
  <c r="N29" i="1"/>
  <c r="M29" i="1"/>
  <c r="L29" i="1"/>
  <c r="K29" i="1"/>
  <c r="J29" i="1"/>
  <c r="I29" i="1"/>
  <c r="G29" i="1"/>
  <c r="F29" i="1"/>
  <c r="H29" i="1" s="1"/>
  <c r="E29" i="1"/>
  <c r="D29" i="1"/>
  <c r="C29" i="1"/>
  <c r="B29" i="1"/>
  <c r="N28" i="1"/>
  <c r="M28" i="1"/>
  <c r="L28" i="1"/>
  <c r="K28" i="1"/>
  <c r="J28" i="1"/>
  <c r="I28" i="1"/>
  <c r="F28" i="1"/>
  <c r="E28" i="1"/>
  <c r="D28" i="1"/>
  <c r="H28" i="1" s="1"/>
  <c r="C28" i="1"/>
  <c r="B28" i="1"/>
  <c r="N27" i="1"/>
  <c r="M27" i="1"/>
  <c r="L27" i="1"/>
  <c r="K27" i="1"/>
  <c r="J27" i="1"/>
  <c r="I27" i="1"/>
  <c r="H27" i="1"/>
  <c r="F27" i="1"/>
  <c r="E27" i="1"/>
  <c r="D27" i="1"/>
  <c r="G27" i="1" s="1"/>
  <c r="C27" i="1"/>
  <c r="B27" i="1"/>
  <c r="N26" i="1"/>
  <c r="M26" i="1"/>
  <c r="L26" i="1"/>
  <c r="K26" i="1"/>
  <c r="J26" i="1"/>
  <c r="I26" i="1"/>
  <c r="F26" i="1"/>
  <c r="H26" i="1" s="1"/>
  <c r="E26" i="1"/>
  <c r="G26" i="1" s="1"/>
  <c r="D26" i="1"/>
  <c r="C26" i="1"/>
  <c r="B26" i="1"/>
  <c r="N25" i="1"/>
  <c r="M25" i="1"/>
  <c r="L25" i="1"/>
  <c r="K25" i="1"/>
  <c r="J25" i="1"/>
  <c r="I25" i="1"/>
  <c r="F25" i="1"/>
  <c r="E25" i="1"/>
  <c r="D25" i="1"/>
  <c r="H25" i="1" s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F23" i="1"/>
  <c r="E23" i="1"/>
  <c r="D23" i="1"/>
  <c r="H23" i="1" s="1"/>
  <c r="C23" i="1"/>
  <c r="B23" i="1"/>
  <c r="N22" i="1"/>
  <c r="M22" i="1"/>
  <c r="L22" i="1"/>
  <c r="K22" i="1"/>
  <c r="J22" i="1"/>
  <c r="I22" i="1"/>
  <c r="G22" i="1"/>
  <c r="F22" i="1"/>
  <c r="E22" i="1"/>
  <c r="D22" i="1"/>
  <c r="H22" i="1" s="1"/>
  <c r="C22" i="1"/>
  <c r="B22" i="1"/>
  <c r="N21" i="1"/>
  <c r="M21" i="1"/>
  <c r="L21" i="1"/>
  <c r="K21" i="1"/>
  <c r="J21" i="1"/>
  <c r="I21" i="1"/>
  <c r="G21" i="1"/>
  <c r="F21" i="1"/>
  <c r="H21" i="1" s="1"/>
  <c r="E21" i="1"/>
  <c r="D21" i="1"/>
  <c r="C21" i="1"/>
  <c r="B21" i="1"/>
  <c r="N20" i="1"/>
  <c r="M20" i="1"/>
  <c r="L20" i="1"/>
  <c r="K20" i="1"/>
  <c r="J20" i="1"/>
  <c r="I20" i="1"/>
  <c r="F20" i="1"/>
  <c r="E20" i="1"/>
  <c r="D20" i="1"/>
  <c r="H20" i="1" s="1"/>
  <c r="C20" i="1"/>
  <c r="B20" i="1"/>
  <c r="N19" i="1"/>
  <c r="M19" i="1"/>
  <c r="L19" i="1"/>
  <c r="K19" i="1"/>
  <c r="J19" i="1"/>
  <c r="I19" i="1"/>
  <c r="H19" i="1"/>
  <c r="F19" i="1"/>
  <c r="E19" i="1"/>
  <c r="D19" i="1"/>
  <c r="G19" i="1" s="1"/>
  <c r="C19" i="1"/>
  <c r="B19" i="1"/>
  <c r="N18" i="1"/>
  <c r="M18" i="1"/>
  <c r="L18" i="1"/>
  <c r="K18" i="1"/>
  <c r="J18" i="1"/>
  <c r="I18" i="1"/>
  <c r="F18" i="1"/>
  <c r="H18" i="1" s="1"/>
  <c r="E18" i="1"/>
  <c r="G18" i="1" s="1"/>
  <c r="D18" i="1"/>
  <c r="C18" i="1"/>
  <c r="B18" i="1"/>
  <c r="N17" i="1"/>
  <c r="M17" i="1"/>
  <c r="L17" i="1"/>
  <c r="K17" i="1"/>
  <c r="J17" i="1"/>
  <c r="I17" i="1"/>
  <c r="F17" i="1"/>
  <c r="E17" i="1"/>
  <c r="D17" i="1"/>
  <c r="H17" i="1" s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F15" i="1"/>
  <c r="E15" i="1"/>
  <c r="D15" i="1"/>
  <c r="H15" i="1" s="1"/>
  <c r="C15" i="1"/>
  <c r="B15" i="1"/>
  <c r="N14" i="1"/>
  <c r="M14" i="1"/>
  <c r="L14" i="1"/>
  <c r="K14" i="1"/>
  <c r="J14" i="1"/>
  <c r="I14" i="1"/>
  <c r="F14" i="1"/>
  <c r="E14" i="1"/>
  <c r="D14" i="1"/>
  <c r="H14" i="1" s="1"/>
  <c r="C14" i="1"/>
  <c r="B14" i="1"/>
  <c r="N13" i="1"/>
  <c r="M13" i="1"/>
  <c r="L13" i="1"/>
  <c r="K13" i="1"/>
  <c r="J13" i="1"/>
  <c r="I13" i="1"/>
  <c r="G13" i="1"/>
  <c r="F13" i="1"/>
  <c r="H13" i="1" s="1"/>
  <c r="E13" i="1"/>
  <c r="D13" i="1"/>
  <c r="C13" i="1"/>
  <c r="B13" i="1"/>
  <c r="N12" i="1"/>
  <c r="M12" i="1"/>
  <c r="L12" i="1"/>
  <c r="K12" i="1"/>
  <c r="J12" i="1"/>
  <c r="I12" i="1"/>
  <c r="F12" i="1"/>
  <c r="E12" i="1"/>
  <c r="D12" i="1"/>
  <c r="H12" i="1" s="1"/>
  <c r="C12" i="1"/>
  <c r="B12" i="1"/>
  <c r="N11" i="1"/>
  <c r="M11" i="1"/>
  <c r="L11" i="1"/>
  <c r="K11" i="1"/>
  <c r="J11" i="1"/>
  <c r="I11" i="1"/>
  <c r="H11" i="1"/>
  <c r="F11" i="1"/>
  <c r="E11" i="1"/>
  <c r="D11" i="1"/>
  <c r="G11" i="1" s="1"/>
  <c r="C11" i="1"/>
  <c r="B11" i="1"/>
  <c r="N10" i="1"/>
  <c r="M10" i="1"/>
  <c r="L10" i="1"/>
  <c r="K10" i="1"/>
  <c r="J10" i="1"/>
  <c r="I10" i="1"/>
  <c r="F10" i="1"/>
  <c r="H10" i="1" s="1"/>
  <c r="E10" i="1"/>
  <c r="G10" i="1" s="1"/>
  <c r="D10" i="1"/>
  <c r="C10" i="1"/>
  <c r="B10" i="1"/>
  <c r="N9" i="1"/>
  <c r="M9" i="1"/>
  <c r="L9" i="1"/>
  <c r="K9" i="1"/>
  <c r="J9" i="1"/>
  <c r="I9" i="1"/>
  <c r="F9" i="1"/>
  <c r="E9" i="1"/>
  <c r="D9" i="1"/>
  <c r="H9" i="1" s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F7" i="1"/>
  <c r="E7" i="1"/>
  <c r="D7" i="1"/>
  <c r="H7" i="1" s="1"/>
  <c r="C7" i="1"/>
  <c r="B7" i="1"/>
  <c r="N6" i="1"/>
  <c r="M6" i="1"/>
  <c r="L6" i="1"/>
  <c r="K6" i="1"/>
  <c r="J6" i="1"/>
  <c r="I6" i="1"/>
  <c r="G6" i="1"/>
  <c r="F6" i="1"/>
  <c r="E6" i="1"/>
  <c r="D6" i="1"/>
  <c r="H6" i="1" s="1"/>
  <c r="C6" i="1"/>
  <c r="B6" i="1"/>
  <c r="N5" i="1"/>
  <c r="M5" i="1"/>
  <c r="L5" i="1"/>
  <c r="K5" i="1"/>
  <c r="J5" i="1"/>
  <c r="I5" i="1"/>
  <c r="G5" i="1"/>
  <c r="F5" i="1"/>
  <c r="H5" i="1" s="1"/>
  <c r="E5" i="1"/>
  <c r="D5" i="1"/>
  <c r="C5" i="1"/>
  <c r="B5" i="1"/>
  <c r="N4" i="1"/>
  <c r="M4" i="1"/>
  <c r="L4" i="1"/>
  <c r="K4" i="1"/>
  <c r="J4" i="1"/>
  <c r="I4" i="1"/>
  <c r="F4" i="1"/>
  <c r="E4" i="1"/>
  <c r="D4" i="1"/>
  <c r="H4" i="1" s="1"/>
  <c r="C4" i="1"/>
  <c r="B4" i="1"/>
  <c r="A85" i="1" s="1"/>
  <c r="G7" i="1" l="1"/>
  <c r="G15" i="1"/>
  <c r="G23" i="1"/>
  <c r="G31" i="1"/>
  <c r="G39" i="1"/>
  <c r="G47" i="1"/>
  <c r="G55" i="1"/>
  <c r="G63" i="1"/>
  <c r="G68" i="1"/>
  <c r="G76" i="1"/>
  <c r="G4" i="1"/>
  <c r="G12" i="1"/>
  <c r="G20" i="1"/>
  <c r="G28" i="1"/>
  <c r="G36" i="1"/>
  <c r="G44" i="1"/>
  <c r="G52" i="1"/>
  <c r="G60" i="1"/>
  <c r="G73" i="1"/>
  <c r="G81" i="1"/>
  <c r="G9" i="1"/>
  <c r="G17" i="1"/>
  <c r="G25" i="1"/>
  <c r="G33" i="1"/>
  <c r="G41" i="1"/>
  <c r="G49" i="1"/>
  <c r="G57" i="1"/>
  <c r="G65" i="1"/>
  <c r="G70" i="1"/>
  <c r="G78" i="1"/>
  <c r="G14" i="1"/>
  <c r="G83" i="1"/>
</calcChain>
</file>

<file path=xl/sharedStrings.xml><?xml version="1.0" encoding="utf-8"?>
<sst xmlns="http://schemas.openxmlformats.org/spreadsheetml/2006/main" count="152" uniqueCount="126">
  <si>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</si>
  <si>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</si>
  <si>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</si>
  <si>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</si>
  <si>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</si>
  <si>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</si>
  <si>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</si>
  <si>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</si>
  <si>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</si>
  <si>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</si>
  <si>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</si>
  <si>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</si>
  <si>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</si>
  <si>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</si>
  <si>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</si>
  <si>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</si>
  <si>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20-C0007</t>
  </si>
  <si>
    <t>21-D0733</t>
  </si>
  <si>
    <t>21-C0006</t>
  </si>
  <si>
    <t>19C0197010</t>
  </si>
  <si>
    <t>17-C1149</t>
  </si>
  <si>
    <t>18-C0507</t>
  </si>
  <si>
    <t>21-C0638</t>
  </si>
  <si>
    <t>20-C0336</t>
  </si>
  <si>
    <t>21-D0242</t>
  </si>
  <si>
    <t>20-D1427</t>
  </si>
  <si>
    <t>18-C0268</t>
  </si>
  <si>
    <t>21-D1331</t>
  </si>
  <si>
    <t>19-D0253</t>
  </si>
  <si>
    <t>20-C0031</t>
  </si>
  <si>
    <t>17-C1197</t>
  </si>
  <si>
    <t>18-C1361</t>
  </si>
  <si>
    <t>21-C1310</t>
  </si>
  <si>
    <t>19-C0904</t>
  </si>
  <si>
    <t>20-C0029</t>
  </si>
  <si>
    <t>21-C1179</t>
  </si>
  <si>
    <t>21-C0815</t>
  </si>
  <si>
    <t>19-D0382</t>
  </si>
  <si>
    <t>19-C1456</t>
  </si>
  <si>
    <t>21-D0688</t>
  </si>
  <si>
    <t>20-D0972</t>
  </si>
  <si>
    <t>17-C1093</t>
  </si>
  <si>
    <t>17-C1150</t>
  </si>
  <si>
    <t>21-D0188</t>
  </si>
  <si>
    <t>21-D0505</t>
  </si>
  <si>
    <t>20-C0825</t>
  </si>
  <si>
    <t>21-D0778</t>
  </si>
  <si>
    <t>20-C1342</t>
  </si>
  <si>
    <t>17-C1148</t>
  </si>
  <si>
    <t>18-P1387</t>
  </si>
  <si>
    <t>18-C1373</t>
  </si>
  <si>
    <t>20-C0568</t>
  </si>
  <si>
    <t>21-D0303</t>
  </si>
  <si>
    <t>21-C0468</t>
  </si>
  <si>
    <t>21-D0552</t>
  </si>
  <si>
    <t>20-C1456</t>
  </si>
  <si>
    <t>21-C0524</t>
  </si>
  <si>
    <t>Open Count</t>
  </si>
  <si>
    <t/>
  </si>
  <si>
    <t>tvp@jlab.org</t>
  </si>
  <si>
    <t>marchlik@jlab.org</t>
  </si>
  <si>
    <t>huque@jlab.org</t>
  </si>
  <si>
    <t>fraites@jlab.org</t>
  </si>
  <si>
    <t>spark@jlab.org</t>
  </si>
  <si>
    <t>snetter@jlab.org</t>
  </si>
  <si>
    <t>torres@jlab.org</t>
  </si>
  <si>
    <t>renzo@jlab.org</t>
  </si>
  <si>
    <t>rfries@jlab.org</t>
  </si>
  <si>
    <t>kwilson@jlab.org</t>
  </si>
  <si>
    <t>ckeith@jlab.org</t>
  </si>
  <si>
    <t>thilan@jlab.org</t>
  </si>
  <si>
    <t>csmith@jlab.org</t>
  </si>
  <si>
    <t>huratiak@jlab.org</t>
  </si>
  <si>
    <t>saw@jlab.org</t>
  </si>
  <si>
    <t>philip@jlab.org</t>
  </si>
  <si>
    <t>jessie@jlab.org</t>
  </si>
  <si>
    <t>valente@jlab.org</t>
  </si>
  <si>
    <t>gciovati@jlab.org</t>
  </si>
  <si>
    <t>dolbeck@jlab.org</t>
  </si>
  <si>
    <t>kashy@jlab.org</t>
  </si>
  <si>
    <t>cperry@jlab.org</t>
  </si>
  <si>
    <t>mbevins@jlab.org</t>
  </si>
  <si>
    <t>laney@jlab.org</t>
  </si>
  <si>
    <t>powen@jlab.org</t>
  </si>
  <si>
    <t>somov@jlab.org</t>
  </si>
  <si>
    <t>gen@jlab.org</t>
  </si>
  <si>
    <t>jguo@jlab.org</t>
  </si>
  <si>
    <t>21-C1383</t>
  </si>
  <si>
    <t>22-D0450</t>
  </si>
  <si>
    <t>21-C1478</t>
  </si>
  <si>
    <t>21-D1425</t>
  </si>
  <si>
    <t>22-D0124</t>
  </si>
  <si>
    <t>21-D1183A</t>
  </si>
  <si>
    <t>22-C0275</t>
  </si>
  <si>
    <t>22-C0278</t>
  </si>
  <si>
    <t>21-D1439</t>
  </si>
  <si>
    <t>22-C0525</t>
  </si>
  <si>
    <t>21-C1495</t>
  </si>
  <si>
    <t>22-C0202</t>
  </si>
  <si>
    <t>21-D1555</t>
  </si>
  <si>
    <t>22-D0013</t>
  </si>
  <si>
    <t>21-D1456</t>
  </si>
  <si>
    <t>22-D0270</t>
  </si>
  <si>
    <t>22-D0165</t>
  </si>
  <si>
    <t>20-C0499</t>
  </si>
  <si>
    <t>22-D0151</t>
  </si>
  <si>
    <t>21-C1486</t>
  </si>
  <si>
    <t>22-C0405</t>
  </si>
  <si>
    <t>20-C1207</t>
  </si>
  <si>
    <t>22-D0679</t>
  </si>
  <si>
    <t>22-C0008</t>
  </si>
  <si>
    <t>21C0935003</t>
  </si>
  <si>
    <t>21-C0253A</t>
  </si>
  <si>
    <t>18-C0326A</t>
  </si>
  <si>
    <t>22-D0462</t>
  </si>
  <si>
    <t>22-D0066</t>
  </si>
  <si>
    <t>21-C1176</t>
  </si>
  <si>
    <t>22-D0507</t>
  </si>
  <si>
    <t>21-D1483</t>
  </si>
  <si>
    <t>22-D0339</t>
  </si>
  <si>
    <t>22-D0311</t>
  </si>
  <si>
    <t>22-D0312</t>
  </si>
  <si>
    <t>21-D0847</t>
  </si>
  <si>
    <t>22-C0021</t>
  </si>
  <si>
    <t>22-C0444</t>
  </si>
  <si>
    <t>21-C1532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</si>
</sst>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6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Sheet2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INC.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INC.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INC.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INC.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INC.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>spark@jlab.org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T3335</v>
          </cell>
          <cell r="E217" t="str">
            <v>GIUSEPPINA TENBUSCH</v>
          </cell>
          <cell r="F217" t="str">
            <v>OLDDO4</v>
          </cell>
          <cell r="G217" t="str">
            <v>OLD DOMINION UNIV. RESEAR</v>
          </cell>
          <cell r="H217" t="str">
            <v>O</v>
          </cell>
          <cell r="I217" t="str">
            <v>Open</v>
          </cell>
          <cell r="J217">
            <v>3690675.03</v>
          </cell>
          <cell r="K217">
            <v>3558656.87</v>
          </cell>
          <cell r="L217">
            <v>3494481</v>
          </cell>
          <cell r="M217">
            <v>3494481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>spark@jlab.org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O</v>
          </cell>
          <cell r="I219" t="str">
            <v>Open</v>
          </cell>
          <cell r="J219">
            <v>458620.74</v>
          </cell>
          <cell r="K219">
            <v>440106.62</v>
          </cell>
          <cell r="L219">
            <v>429902.22</v>
          </cell>
          <cell r="M219">
            <v>429902.22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G4532</v>
          </cell>
          <cell r="E220" t="str">
            <v>DENISE LEARY-STITH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777273.19</v>
          </cell>
          <cell r="K220">
            <v>725023.19</v>
          </cell>
          <cell r="L220">
            <v>696465.73</v>
          </cell>
          <cell r="M220">
            <v>696465.73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  <cell r="Q220" t="str">
            <v>PARKINSON, SHARON K</v>
          </cell>
          <cell r="R220" t="str">
            <v>spark@jlab.org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T3335</v>
          </cell>
          <cell r="E221" t="str">
            <v>GIUSEPPINA TENBUSCH</v>
          </cell>
          <cell r="F221" t="str">
            <v>OLDDO4</v>
          </cell>
          <cell r="G221" t="str">
            <v>OLD DOMINION UNIV. RESEAR</v>
          </cell>
          <cell r="H221" t="str">
            <v>O</v>
          </cell>
          <cell r="I221" t="str">
            <v>Open</v>
          </cell>
          <cell r="J221">
            <v>1893290.62</v>
          </cell>
          <cell r="K221">
            <v>1713273.56</v>
          </cell>
          <cell r="L221">
            <v>1713207.3</v>
          </cell>
          <cell r="M221">
            <v>1713207.3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T3335</v>
          </cell>
          <cell r="E222" t="str">
            <v>GIUSEPPINA TENBUSCH</v>
          </cell>
          <cell r="F222" t="str">
            <v>HAMUNI</v>
          </cell>
          <cell r="G222" t="str">
            <v>HAMPTON UNIVERSITY</v>
          </cell>
          <cell r="H222" t="str">
            <v>O</v>
          </cell>
          <cell r="I222" t="str">
            <v>Open</v>
          </cell>
          <cell r="J222">
            <v>273833.36</v>
          </cell>
          <cell r="K222">
            <v>264333.36</v>
          </cell>
          <cell r="L222">
            <v>254833.36</v>
          </cell>
          <cell r="M222">
            <v>254833.36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>spark@jlab.org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O</v>
          </cell>
          <cell r="I227" t="str">
            <v>Open</v>
          </cell>
          <cell r="J227">
            <v>343896.77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>spark@jlab.org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O</v>
          </cell>
          <cell r="I228" t="str">
            <v>Open</v>
          </cell>
          <cell r="J228">
            <v>1054278.6000000001</v>
          </cell>
          <cell r="K228">
            <v>0</v>
          </cell>
          <cell r="L228">
            <v>0</v>
          </cell>
          <cell r="M228">
            <v>0</v>
          </cell>
          <cell r="N228" t="str">
            <v>T HURATIAK/R NELSON/55B</v>
          </cell>
          <cell r="O228" t="str">
            <v>NELSON, RICHARD M</v>
          </cell>
          <cell r="P228" t="str">
            <v>nelson@jlab.org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G4532</v>
          </cell>
          <cell r="E233" t="str">
            <v>DENISE LEARY-STITH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1466408.8</v>
          </cell>
          <cell r="K233">
            <v>1374155.42</v>
          </cell>
          <cell r="L233">
            <v>1316037.31</v>
          </cell>
          <cell r="M233">
            <v>1316037.31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  <cell r="Q233" t="str">
            <v>PARKINSON, SHARON K</v>
          </cell>
          <cell r="R233" t="str">
            <v>spark@jlab.org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T3335</v>
          </cell>
          <cell r="E242" t="str">
            <v>GIUSEPPINA TENBUSCH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579407.31000000006</v>
          </cell>
          <cell r="K242">
            <v>552277.43999999994</v>
          </cell>
          <cell r="L242">
            <v>527738.14</v>
          </cell>
          <cell r="M242">
            <v>527738.14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  <cell r="Q242" t="str">
            <v>PARKINSON, SHARON K</v>
          </cell>
          <cell r="R242" t="str">
            <v>spark@jlab.org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T3335</v>
          </cell>
          <cell r="E243" t="str">
            <v>GIUSEPPINA TENBUSCH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505546.4</v>
          </cell>
          <cell r="K243">
            <v>472344.68</v>
          </cell>
          <cell r="L243">
            <v>472344.68</v>
          </cell>
          <cell r="M243">
            <v>472344.68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  <cell r="Q243" t="str">
            <v>PARKINSON, SHARON K</v>
          </cell>
          <cell r="R243" t="str">
            <v>spark@jlab.org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88425</v>
          </cell>
          <cell r="K249">
            <v>76510.86</v>
          </cell>
          <cell r="L249">
            <v>76510.429999999993</v>
          </cell>
          <cell r="M249">
            <v>76510.429999999993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187755.07</v>
          </cell>
          <cell r="K254">
            <v>169347.72</v>
          </cell>
          <cell r="L254">
            <v>154621.84</v>
          </cell>
          <cell r="M254">
            <v>154621.84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T3335</v>
          </cell>
          <cell r="E256" t="str">
            <v>GIUSEPPINA TENBUSCH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131993.60000000001</v>
          </cell>
          <cell r="K256">
            <v>125643.92</v>
          </cell>
          <cell r="L256">
            <v>122753.2</v>
          </cell>
          <cell r="M256">
            <v>122753.2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  <cell r="Q256" t="str">
            <v>PARKINSON, SHARON K</v>
          </cell>
          <cell r="R256" t="str">
            <v>spark@jlab.org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O</v>
          </cell>
          <cell r="I259" t="str">
            <v>Open</v>
          </cell>
          <cell r="J259">
            <v>126863.03999999999</v>
          </cell>
          <cell r="K259">
            <v>118623.16</v>
          </cell>
          <cell r="L259">
            <v>111289.74</v>
          </cell>
          <cell r="M259">
            <v>111289.74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>spark@jlab.org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S</v>
          </cell>
          <cell r="I265" t="str">
            <v>System Closed</v>
          </cell>
          <cell r="J265">
            <v>80959</v>
          </cell>
          <cell r="K265">
            <v>80959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>spark@jlab.org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O</v>
          </cell>
          <cell r="I267" t="str">
            <v>Open</v>
          </cell>
          <cell r="J267">
            <v>3386922.7</v>
          </cell>
          <cell r="K267">
            <v>3077900.57</v>
          </cell>
          <cell r="L267">
            <v>3070110.5</v>
          </cell>
          <cell r="M267">
            <v>3070110.5</v>
          </cell>
          <cell r="N267" t="str">
            <v>M TORRES/C SNETTER</v>
          </cell>
          <cell r="O267" t="str">
            <v>SNETTER, CHRISTINE F</v>
          </cell>
          <cell r="P267" t="str">
            <v>snetter@jlab.org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20-C0004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SUMIT2</v>
          </cell>
          <cell r="G268" t="str">
            <v>SUMITOMO CORP OF AMERICAS</v>
          </cell>
          <cell r="H268" t="str">
            <v>S</v>
          </cell>
          <cell r="I268" t="str">
            <v>System Closed</v>
          </cell>
          <cell r="J268">
            <v>368872</v>
          </cell>
          <cell r="K268">
            <v>368872</v>
          </cell>
          <cell r="L268">
            <v>368872</v>
          </cell>
          <cell r="M268">
            <v>368872</v>
          </cell>
          <cell r="N268" t="str">
            <v>M TORRES/G CHENG</v>
          </cell>
          <cell r="O268" t="str">
            <v>TORRES, MELISSA C</v>
          </cell>
          <cell r="P268" t="str">
            <v>torres@jlab.org</v>
          </cell>
          <cell r="Q268" t="str">
            <v>CHENG, GUANGFENG</v>
          </cell>
          <cell r="R268" t="str">
            <v>cheng@jlab.org</v>
          </cell>
        </row>
        <row r="269">
          <cell r="A269" t="str">
            <v>20-C0007</v>
          </cell>
          <cell r="B269">
            <v>0</v>
          </cell>
          <cell r="C269" t="str">
            <v>S</v>
          </cell>
          <cell r="D269" t="str">
            <v>370932</v>
          </cell>
          <cell r="E269" t="str">
            <v>CHARLIE KIM</v>
          </cell>
          <cell r="F269" t="str">
            <v>ANDDAH</v>
          </cell>
          <cell r="G269" t="str">
            <v>ANDERSON &amp; DAHLEN INC</v>
          </cell>
          <cell r="H269" t="str">
            <v>O</v>
          </cell>
          <cell r="I269" t="str">
            <v>Open</v>
          </cell>
          <cell r="J269">
            <v>1573625.98</v>
          </cell>
          <cell r="K269">
            <v>1353865.98</v>
          </cell>
          <cell r="L269">
            <v>1353865.98</v>
          </cell>
          <cell r="M269">
            <v>1353865.98</v>
          </cell>
          <cell r="N269" t="str">
            <v>C KIM/MARCHLIK</v>
          </cell>
          <cell r="O269" t="str">
            <v>MARCHLIK, MATTHEW J</v>
          </cell>
          <cell r="P269" t="str">
            <v>marchlik@jlab.org</v>
          </cell>
          <cell r="Q269" t="str">
            <v>HUQUE, NAEEM A</v>
          </cell>
          <cell r="R269" t="str">
            <v>huque@jlab.org</v>
          </cell>
        </row>
        <row r="270">
          <cell r="A270" t="str">
            <v>20-C0009</v>
          </cell>
          <cell r="B270">
            <v>0</v>
          </cell>
          <cell r="C270" t="str">
            <v>S</v>
          </cell>
          <cell r="D270" t="str">
            <v>P2226</v>
          </cell>
          <cell r="E270" t="str">
            <v>THEODORE PESHEHONOFF</v>
          </cell>
          <cell r="F270" t="str">
            <v>KELTEC</v>
          </cell>
          <cell r="G270" t="str">
            <v>KELLER TECHNOLOGY CORP.</v>
          </cell>
          <cell r="H270" t="str">
            <v>S</v>
          </cell>
          <cell r="I270" t="str">
            <v>System Closed</v>
          </cell>
          <cell r="J270">
            <v>271910</v>
          </cell>
          <cell r="K270">
            <v>271910</v>
          </cell>
          <cell r="L270">
            <v>271910</v>
          </cell>
          <cell r="M270">
            <v>271910</v>
          </cell>
          <cell r="N270" t="str">
            <v>T PESHEHONOFF/N HUQUE</v>
          </cell>
          <cell r="O270" t="str">
            <v>PESHEHONOFF, THEODORE</v>
          </cell>
          <cell r="P270" t="str">
            <v xml:space="preserve"> </v>
          </cell>
          <cell r="Q270" t="str">
            <v>WILSON, KATHERINE M</v>
          </cell>
          <cell r="R270" t="str">
            <v>kwilson@jlab.org</v>
          </cell>
        </row>
        <row r="271">
          <cell r="A271" t="str">
            <v>20-C0011</v>
          </cell>
          <cell r="B271">
            <v>0</v>
          </cell>
          <cell r="C271" t="str">
            <v>S</v>
          </cell>
          <cell r="D271" t="str">
            <v>P2226</v>
          </cell>
          <cell r="E271" t="str">
            <v>THEODORE PESHEHONOFF</v>
          </cell>
          <cell r="F271" t="str">
            <v>SCIAKY</v>
          </cell>
          <cell r="G271" t="str">
            <v>SCIAKY INC</v>
          </cell>
          <cell r="H271" t="str">
            <v>S</v>
          </cell>
          <cell r="I271" t="str">
            <v>System Closed</v>
          </cell>
          <cell r="J271">
            <v>1588647</v>
          </cell>
          <cell r="K271">
            <v>1588647</v>
          </cell>
          <cell r="L271">
            <v>1588647</v>
          </cell>
          <cell r="M271">
            <v>1588647</v>
          </cell>
          <cell r="N271" t="str">
            <v>PESHEHONOFF/PHILIP DENNY</v>
          </cell>
          <cell r="O271" t="str">
            <v>PESHEHONOFF, THEODORE</v>
          </cell>
          <cell r="P271" t="str">
            <v xml:space="preserve"> </v>
          </cell>
          <cell r="Q271" t="str">
            <v>DENNY, PHILIP J</v>
          </cell>
          <cell r="R271" t="str">
            <v>denny@jlab.org</v>
          </cell>
        </row>
        <row r="272">
          <cell r="A272" t="str">
            <v>20-C0029</v>
          </cell>
          <cell r="B272">
            <v>0</v>
          </cell>
          <cell r="C272" t="str">
            <v>S</v>
          </cell>
          <cell r="D272" t="str">
            <v>H3243</v>
          </cell>
          <cell r="E272" t="str">
            <v>THOMAS HURATIAK</v>
          </cell>
          <cell r="F272" t="str">
            <v>JOSOAT</v>
          </cell>
          <cell r="G272" t="str">
            <v>JOSEPH OAT CORPORATION</v>
          </cell>
          <cell r="H272" t="str">
            <v>O</v>
          </cell>
          <cell r="I272" t="str">
            <v>Open</v>
          </cell>
          <cell r="J272">
            <v>1847240</v>
          </cell>
          <cell r="K272">
            <v>1847240</v>
          </cell>
          <cell r="L272">
            <v>1827313.16</v>
          </cell>
          <cell r="M272">
            <v>1827313.16</v>
          </cell>
          <cell r="N272" t="str">
            <v>T HURITIAK/K WILSON/MIKED</v>
          </cell>
          <cell r="O272" t="str">
            <v>WILSON, KATHERINE M</v>
          </cell>
          <cell r="P272" t="str">
            <v>kwilson@jlab.org</v>
          </cell>
          <cell r="Q272" t="str">
            <v>HURATIAK, THOMAS</v>
          </cell>
          <cell r="R272" t="str">
            <v>huratiak@jlab.org</v>
          </cell>
        </row>
        <row r="273">
          <cell r="A273" t="str">
            <v>20-C0031</v>
          </cell>
          <cell r="B273">
            <v>0</v>
          </cell>
          <cell r="C273" t="str">
            <v>S</v>
          </cell>
          <cell r="D273" t="str">
            <v>K7103</v>
          </cell>
          <cell r="E273" t="str">
            <v>MICHELE KHASIDIS</v>
          </cell>
          <cell r="F273" t="str">
            <v>GEOWAS</v>
          </cell>
          <cell r="G273" t="str">
            <v>GEORGE WASHINGTON UNIV</v>
          </cell>
          <cell r="H273" t="str">
            <v>O</v>
          </cell>
          <cell r="I273" t="str">
            <v>Open</v>
          </cell>
          <cell r="J273">
            <v>241737.38</v>
          </cell>
          <cell r="K273">
            <v>232163.07</v>
          </cell>
          <cell r="L273">
            <v>222079.96</v>
          </cell>
          <cell r="M273">
            <v>222079.96</v>
          </cell>
          <cell r="N273" t="str">
            <v>M KHASIDIS/T STEWART</v>
          </cell>
          <cell r="O273" t="str">
            <v>STEWART, TANYA-GAYE N</v>
          </cell>
          <cell r="P273" t="str">
            <v>fraites@jlab.org</v>
          </cell>
        </row>
        <row r="274">
          <cell r="A274" t="str">
            <v>20-C0248</v>
          </cell>
          <cell r="B274">
            <v>0</v>
          </cell>
          <cell r="C274" t="str">
            <v>S</v>
          </cell>
          <cell r="D274" t="str">
            <v>H3243</v>
          </cell>
          <cell r="E274" t="str">
            <v>THOMAS HURATIAK</v>
          </cell>
          <cell r="F274" t="str">
            <v>ABILIT</v>
          </cell>
          <cell r="G274" t="str">
            <v>BENNU GROUP INC</v>
          </cell>
          <cell r="H274" t="str">
            <v>S</v>
          </cell>
          <cell r="I274" t="str">
            <v>System Closed</v>
          </cell>
          <cell r="J274">
            <v>430818</v>
          </cell>
          <cell r="K274">
            <v>430818</v>
          </cell>
          <cell r="L274">
            <v>430818</v>
          </cell>
          <cell r="M274">
            <v>430818</v>
          </cell>
          <cell r="N274" t="str">
            <v>T HURATIAK/M MARCHLIK</v>
          </cell>
          <cell r="O274" t="str">
            <v>MARCHLIK, MATTHEW J</v>
          </cell>
          <cell r="P274" t="str">
            <v>marchlik@jlab.org</v>
          </cell>
          <cell r="Q274" t="str">
            <v>WILSON, KATHERINE M</v>
          </cell>
          <cell r="R274" t="str">
            <v>kwilson@jlab.org</v>
          </cell>
        </row>
        <row r="275">
          <cell r="A275" t="str">
            <v>20-C0336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COMPOW</v>
          </cell>
          <cell r="G275" t="str">
            <v>CPI INTERNATIONAL INC</v>
          </cell>
          <cell r="H275" t="str">
            <v>O</v>
          </cell>
          <cell r="I275" t="str">
            <v>Open</v>
          </cell>
          <cell r="J275">
            <v>5813197.75</v>
          </cell>
          <cell r="K275">
            <v>3298029.25</v>
          </cell>
          <cell r="L275">
            <v>3298029.25</v>
          </cell>
          <cell r="M275">
            <v>3298029.25</v>
          </cell>
          <cell r="N275" t="str">
            <v>HURATIAK/HUQUE</v>
          </cell>
          <cell r="O275" t="str">
            <v>HUQUE, NAEEM A</v>
          </cell>
          <cell r="P275" t="str">
            <v>huque@jlab.org</v>
          </cell>
          <cell r="Q275" t="str">
            <v>WILSON, KATHERINE M</v>
          </cell>
          <cell r="R275" t="str">
            <v>kwilson@jlab.org</v>
          </cell>
        </row>
        <row r="276">
          <cell r="A276" t="str">
            <v>20-C0375</v>
          </cell>
          <cell r="B276">
            <v>0</v>
          </cell>
          <cell r="C276" t="str">
            <v>S</v>
          </cell>
          <cell r="D276" t="str">
            <v>T3153</v>
          </cell>
          <cell r="E276" t="str">
            <v>MELISSA TORRES</v>
          </cell>
          <cell r="F276" t="str">
            <v>TECPR2</v>
          </cell>
          <cell r="G276" t="str">
            <v>TECHNIFAB PRODUCTS INC</v>
          </cell>
          <cell r="H276" t="str">
            <v>S</v>
          </cell>
          <cell r="I276" t="str">
            <v>System Closed</v>
          </cell>
          <cell r="J276">
            <v>197860.1</v>
          </cell>
          <cell r="K276">
            <v>197864.74</v>
          </cell>
          <cell r="L276">
            <v>197860.1</v>
          </cell>
          <cell r="M276">
            <v>197860.1</v>
          </cell>
          <cell r="N276" t="str">
            <v>M TORRES/N LAVERDURE</v>
          </cell>
          <cell r="O276" t="str">
            <v>TORRES, MELISSA C</v>
          </cell>
          <cell r="P276" t="str">
            <v>torres@jlab.org</v>
          </cell>
          <cell r="Q276" t="str">
            <v>LAVERDURE, NATHANIEL A</v>
          </cell>
          <cell r="R276" t="str">
            <v>nal@jlab.org</v>
          </cell>
        </row>
        <row r="277">
          <cell r="A277" t="str">
            <v>20-C0439</v>
          </cell>
          <cell r="B277">
            <v>0</v>
          </cell>
          <cell r="C277" t="str">
            <v>S</v>
          </cell>
          <cell r="D277" t="str">
            <v>M8395</v>
          </cell>
          <cell r="E277" t="str">
            <v>DEANN MADDOX</v>
          </cell>
          <cell r="F277" t="str">
            <v>MEYER</v>
          </cell>
          <cell r="G277" t="str">
            <v>MEYER TOOL &amp; MFG INC</v>
          </cell>
          <cell r="H277" t="str">
            <v>S</v>
          </cell>
          <cell r="I277" t="str">
            <v>System Closed</v>
          </cell>
          <cell r="J277">
            <v>335820</v>
          </cell>
          <cell r="K277">
            <v>335820</v>
          </cell>
          <cell r="L277">
            <v>335820</v>
          </cell>
          <cell r="M277">
            <v>335820</v>
          </cell>
          <cell r="N277" t="str">
            <v>D MADDOX/M MARCHLIK</v>
          </cell>
          <cell r="O277" t="str">
            <v>MARCHLIK, MATTHEW J</v>
          </cell>
          <cell r="P277" t="str">
            <v>marchlik@jlab.org</v>
          </cell>
        </row>
        <row r="278">
          <cell r="A278" t="str">
            <v>20-C0499</v>
          </cell>
          <cell r="B278">
            <v>0</v>
          </cell>
          <cell r="C278" t="str">
            <v>S</v>
          </cell>
          <cell r="D278" t="str">
            <v>L3135</v>
          </cell>
          <cell r="E278" t="str">
            <v>MITCHELL LANEY</v>
          </cell>
          <cell r="F278" t="str">
            <v>MEYER</v>
          </cell>
          <cell r="G278" t="str">
            <v>MEYER TOOL &amp; MFG INC</v>
          </cell>
          <cell r="H278" t="str">
            <v>O</v>
          </cell>
          <cell r="I278" t="str">
            <v>Open</v>
          </cell>
          <cell r="J278">
            <v>1821229</v>
          </cell>
          <cell r="K278">
            <v>1153538.6499999999</v>
          </cell>
          <cell r="L278">
            <v>1153538.6399999999</v>
          </cell>
          <cell r="M278">
            <v>1153538.6399999999</v>
          </cell>
          <cell r="N278" t="str">
            <v>M LANEY/G CHENG</v>
          </cell>
          <cell r="O278" t="str">
            <v>CHENG, GUANGFENG</v>
          </cell>
          <cell r="P278" t="str">
            <v>cheng@jlab.org</v>
          </cell>
          <cell r="Q278" t="str">
            <v>LANEY, MITCHELL L</v>
          </cell>
          <cell r="R278" t="str">
            <v>laney@jlab.org</v>
          </cell>
        </row>
        <row r="279">
          <cell r="A279" t="str">
            <v>20-C0568</v>
          </cell>
          <cell r="B279">
            <v>0</v>
          </cell>
          <cell r="C279" t="str">
            <v>S</v>
          </cell>
          <cell r="D279" t="str">
            <v>K7103</v>
          </cell>
          <cell r="E279" t="str">
            <v>MICHELE KHASIDIS</v>
          </cell>
          <cell r="F279" t="str">
            <v>UCRIVR</v>
          </cell>
          <cell r="G279" t="str">
            <v>UNIVERSITY OF CALIFORNIA</v>
          </cell>
          <cell r="H279" t="str">
            <v>O</v>
          </cell>
          <cell r="I279" t="str">
            <v>Open</v>
          </cell>
          <cell r="J279">
            <v>169605.11</v>
          </cell>
          <cell r="K279">
            <v>153952.39000000001</v>
          </cell>
          <cell r="L279">
            <v>131802.25</v>
          </cell>
          <cell r="M279">
            <v>131802.25</v>
          </cell>
          <cell r="N279" t="str">
            <v>M KHASIDIS/T STEWART</v>
          </cell>
          <cell r="O279" t="str">
            <v>STEWART, TANYA-GAYE N</v>
          </cell>
          <cell r="P279" t="str">
            <v>fraites@jlab.org</v>
          </cell>
        </row>
        <row r="280">
          <cell r="A280" t="str">
            <v>20-C0726</v>
          </cell>
          <cell r="B280">
            <v>0</v>
          </cell>
          <cell r="C280" t="str">
            <v>S</v>
          </cell>
          <cell r="D280" t="str">
            <v>T3153</v>
          </cell>
          <cell r="E280" t="str">
            <v>MELISSA TORRES</v>
          </cell>
          <cell r="F280" t="str">
            <v>RIRESE</v>
          </cell>
          <cell r="G280" t="str">
            <v>RI RESEARCH INSTRUMENTS</v>
          </cell>
          <cell r="H280" t="str">
            <v>S</v>
          </cell>
          <cell r="I280" t="str">
            <v>System Closed</v>
          </cell>
          <cell r="J280">
            <v>279825</v>
          </cell>
          <cell r="K280">
            <v>279825</v>
          </cell>
          <cell r="L280">
            <v>279825</v>
          </cell>
          <cell r="M280">
            <v>279825</v>
          </cell>
          <cell r="N280" t="str">
            <v>M TORRES/G CIVOVATI</v>
          </cell>
          <cell r="O280" t="str">
            <v>CIOVATI, GIANLUIGI</v>
          </cell>
          <cell r="P280" t="str">
            <v>gciovati@jlab.org</v>
          </cell>
          <cell r="Q280" t="str">
            <v>LANEY, MITCHELL L</v>
          </cell>
          <cell r="R280" t="str">
            <v>laney@jlab.org</v>
          </cell>
        </row>
        <row r="281">
          <cell r="A281" t="str">
            <v>20-C0733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S</v>
          </cell>
          <cell r="I281" t="str">
            <v>System Closed</v>
          </cell>
          <cell r="J281">
            <v>435306</v>
          </cell>
          <cell r="K281">
            <v>435306</v>
          </cell>
          <cell r="L281">
            <v>435306</v>
          </cell>
          <cell r="M281">
            <v>435306</v>
          </cell>
          <cell r="N281" t="str">
            <v>C STEPNEY/J WILLOUGHBY</v>
          </cell>
          <cell r="O281" t="str">
            <v>KUJAWA, TODD A</v>
          </cell>
          <cell r="P281" t="str">
            <v>kujawa@jlab.org</v>
          </cell>
          <cell r="Q281" t="str">
            <v>WILLOUGHBY, JASON</v>
          </cell>
          <cell r="R281" t="str">
            <v>jasonw@jlab.org</v>
          </cell>
        </row>
        <row r="282">
          <cell r="A282" t="str">
            <v>20-C0820</v>
          </cell>
          <cell r="B282">
            <v>0</v>
          </cell>
          <cell r="C282" t="str">
            <v>S</v>
          </cell>
          <cell r="D282" t="str">
            <v>S0684</v>
          </cell>
          <cell r="E282" t="str">
            <v>CAROLYN STEPNEY</v>
          </cell>
          <cell r="F282" t="str">
            <v>CARREL</v>
          </cell>
          <cell r="G282" t="str">
            <v>CARR ELECTRICAL TECHNOLOG</v>
          </cell>
          <cell r="H282" t="str">
            <v>S</v>
          </cell>
          <cell r="I282" t="str">
            <v>System Closed</v>
          </cell>
          <cell r="J282">
            <v>342669</v>
          </cell>
          <cell r="K282">
            <v>342669</v>
          </cell>
          <cell r="L282">
            <v>342669</v>
          </cell>
          <cell r="M282">
            <v>342669</v>
          </cell>
          <cell r="N282" t="str">
            <v>C STEPNEY/E WINSLOW</v>
          </cell>
          <cell r="O282" t="str">
            <v>WINSLOW, EDWARD B</v>
          </cell>
          <cell r="P282" t="str">
            <v xml:space="preserve"> </v>
          </cell>
          <cell r="Q282" t="str">
            <v>FRIES, RUSSELL W</v>
          </cell>
          <cell r="R282" t="str">
            <v>rfries@jlab.org</v>
          </cell>
        </row>
        <row r="283">
          <cell r="A283" t="str">
            <v>20-C0825</v>
          </cell>
          <cell r="B283">
            <v>0</v>
          </cell>
          <cell r="C283" t="str">
            <v>S</v>
          </cell>
          <cell r="D283" t="str">
            <v>H3243</v>
          </cell>
          <cell r="E283" t="str">
            <v>THOMAS HURATIAK</v>
          </cell>
          <cell r="F283" t="str">
            <v>SHANGH</v>
          </cell>
          <cell r="G283" t="str">
            <v>SHANGHAI SICCAS HIGH TECH</v>
          </cell>
          <cell r="H283" t="str">
            <v>O</v>
          </cell>
          <cell r="I283" t="str">
            <v>Open</v>
          </cell>
          <cell r="J283">
            <v>484000</v>
          </cell>
          <cell r="K283">
            <v>165000</v>
          </cell>
          <cell r="L283">
            <v>0</v>
          </cell>
          <cell r="M283">
            <v>0</v>
          </cell>
          <cell r="N283" t="str">
            <v>T HURATIAK/A SOMOV</v>
          </cell>
          <cell r="O283" t="str">
            <v>SOMOV, ALEXANDER</v>
          </cell>
          <cell r="P283" t="str">
            <v>somov@jlab.org</v>
          </cell>
          <cell r="Q283" t="str">
            <v>CHUDAKOV, EUGENE A</v>
          </cell>
          <cell r="R283" t="str">
            <v>gen@jlab.org</v>
          </cell>
        </row>
        <row r="284">
          <cell r="A284" t="str">
            <v>20-C1137</v>
          </cell>
          <cell r="B284">
            <v>0</v>
          </cell>
          <cell r="C284" t="str">
            <v>S</v>
          </cell>
          <cell r="D284" t="str">
            <v>M8395</v>
          </cell>
          <cell r="E284" t="str">
            <v>DEANN MADDOX</v>
          </cell>
          <cell r="F284" t="str">
            <v>NEXTIN</v>
          </cell>
          <cell r="G284" t="str">
            <v>NEXT INTENT INC</v>
          </cell>
          <cell r="H284" t="str">
            <v>S</v>
          </cell>
          <cell r="I284" t="str">
            <v>System Closed</v>
          </cell>
          <cell r="J284">
            <v>314769</v>
          </cell>
          <cell r="K284">
            <v>314769</v>
          </cell>
          <cell r="L284">
            <v>314769</v>
          </cell>
          <cell r="M284">
            <v>314769</v>
          </cell>
          <cell r="N284" t="str">
            <v>D MADDOX/N HUQUE</v>
          </cell>
          <cell r="O284" t="str">
            <v>HUQUE, NAEEM A</v>
          </cell>
          <cell r="P284" t="str">
            <v>huque@jlab.org</v>
          </cell>
          <cell r="Q284" t="str">
            <v>MADDOX, DEANN J</v>
          </cell>
          <cell r="R284" t="str">
            <v>maddox@jlab.org</v>
          </cell>
        </row>
        <row r="285">
          <cell r="A285" t="str">
            <v>20-C1142</v>
          </cell>
          <cell r="B285">
            <v>0</v>
          </cell>
          <cell r="C285" t="str">
            <v>S</v>
          </cell>
          <cell r="D285" t="str">
            <v>K7103</v>
          </cell>
          <cell r="E285" t="str">
            <v>MICHELE KHASIDIS</v>
          </cell>
          <cell r="F285" t="str">
            <v>HITTEL</v>
          </cell>
          <cell r="G285" t="str">
            <v>HITT ELECTRIC CORP.</v>
          </cell>
          <cell r="H285" t="str">
            <v>S</v>
          </cell>
          <cell r="I285" t="str">
            <v>System Closed</v>
          </cell>
          <cell r="J285">
            <v>322023.03000000003</v>
          </cell>
          <cell r="K285">
            <v>322023.03000000003</v>
          </cell>
          <cell r="L285">
            <v>322023.03000000003</v>
          </cell>
          <cell r="M285">
            <v>322023.03000000003</v>
          </cell>
          <cell r="N285" t="str">
            <v>M KHASIDIS/J RIESBECK</v>
          </cell>
          <cell r="O285" t="str">
            <v>RIESBECK, JOHN D</v>
          </cell>
          <cell r="P285" t="str">
            <v>riesbeck@jlab.org</v>
          </cell>
          <cell r="Q285" t="str">
            <v>WILLOUGHBY, JASON</v>
          </cell>
          <cell r="R285" t="str">
            <v>jasonw@jlab.org</v>
          </cell>
        </row>
        <row r="286">
          <cell r="A286" t="str">
            <v>20-C1174</v>
          </cell>
          <cell r="B286">
            <v>0</v>
          </cell>
          <cell r="C286" t="str">
            <v>S</v>
          </cell>
          <cell r="D286" t="str">
            <v>S0684</v>
          </cell>
          <cell r="E286" t="str">
            <v>CAROLYN STEPNEY</v>
          </cell>
          <cell r="F286" t="str">
            <v>BFPEIN</v>
          </cell>
          <cell r="G286" t="str">
            <v>BFPE INTERNATIONAL INC</v>
          </cell>
          <cell r="H286" t="str">
            <v>S</v>
          </cell>
          <cell r="I286" t="str">
            <v>System Closed</v>
          </cell>
          <cell r="J286">
            <v>1057575</v>
          </cell>
          <cell r="K286">
            <v>1057575</v>
          </cell>
          <cell r="L286">
            <v>1057575</v>
          </cell>
          <cell r="M286">
            <v>1057575</v>
          </cell>
          <cell r="N286" t="str">
            <v>C STEPNEY/T RENZO</v>
          </cell>
          <cell r="O286" t="str">
            <v>RENZO, THOMAS C</v>
          </cell>
          <cell r="P286" t="str">
            <v>renzo@jlab.org</v>
          </cell>
          <cell r="Q286" t="str">
            <v>FRIES, RUSSELL W</v>
          </cell>
          <cell r="R286" t="str">
            <v>rfries@jlab.org</v>
          </cell>
        </row>
        <row r="287">
          <cell r="A287" t="str">
            <v>20-C1207</v>
          </cell>
          <cell r="B287">
            <v>0</v>
          </cell>
          <cell r="C287" t="str">
            <v>S</v>
          </cell>
          <cell r="D287" t="str">
            <v>H3243</v>
          </cell>
          <cell r="E287" t="str">
            <v>THOMAS HURATIAK</v>
          </cell>
          <cell r="F287" t="str">
            <v>OMNISE</v>
          </cell>
          <cell r="G287" t="str">
            <v xml:space="preserve">OMNISENSING PHOTONICS </v>
          </cell>
          <cell r="H287" t="str">
            <v>O</v>
          </cell>
          <cell r="I287" t="str">
            <v>Open</v>
          </cell>
          <cell r="J287">
            <v>344000</v>
          </cell>
          <cell r="K287">
            <v>312000</v>
          </cell>
          <cell r="L287">
            <v>310000</v>
          </cell>
          <cell r="M287">
            <v>310000</v>
          </cell>
          <cell r="N287" t="str">
            <v>PESHEHONOFF/CARL ZORN</v>
          </cell>
          <cell r="O287" t="str">
            <v>ZORN, CARL J</v>
          </cell>
          <cell r="P287" t="str">
            <v>zorn@jlab.org</v>
          </cell>
          <cell r="Q287" t="str">
            <v>PESHEHONOFF, THEODORE</v>
          </cell>
          <cell r="R287" t="str">
            <v xml:space="preserve"> </v>
          </cell>
        </row>
        <row r="288">
          <cell r="A288" t="str">
            <v>20-C1342</v>
          </cell>
          <cell r="B288">
            <v>0</v>
          </cell>
          <cell r="C288" t="str">
            <v>S</v>
          </cell>
          <cell r="D288" t="str">
            <v>T3153</v>
          </cell>
          <cell r="E288" t="str">
            <v>MELISSA TORRES</v>
          </cell>
          <cell r="F288" t="str">
            <v>SCIMAG</v>
          </cell>
          <cell r="G288" t="str">
            <v>SPACE CRYOMAGNETICS LTD</v>
          </cell>
          <cell r="H288" t="str">
            <v>O</v>
          </cell>
          <cell r="I288" t="str">
            <v>Open</v>
          </cell>
          <cell r="J288">
            <v>409411</v>
          </cell>
          <cell r="K288">
            <v>369443</v>
          </cell>
          <cell r="L288">
            <v>368469.9</v>
          </cell>
          <cell r="M288">
            <v>368469.9</v>
          </cell>
          <cell r="N288" t="str">
            <v>M TORRES/C KEITH</v>
          </cell>
          <cell r="O288" t="str">
            <v>KEITH, CHRISTOPHE D</v>
          </cell>
          <cell r="P288" t="str">
            <v>ckeith@jlab.org</v>
          </cell>
          <cell r="Q288" t="str">
            <v>LANEY, MITCHELL L</v>
          </cell>
          <cell r="R288" t="str">
            <v>laney@jlab.org</v>
          </cell>
        </row>
        <row r="289">
          <cell r="A289" t="str">
            <v>20-C1456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VIRGIN</v>
          </cell>
          <cell r="G289" t="str">
            <v>VIRGINIA POLYTECHNIC INST</v>
          </cell>
          <cell r="H289" t="str">
            <v>O</v>
          </cell>
          <cell r="I289" t="str">
            <v>Open</v>
          </cell>
          <cell r="J289">
            <v>123717.51</v>
          </cell>
          <cell r="K289">
            <v>108377.77</v>
          </cell>
          <cell r="L289">
            <v>101913.01</v>
          </cell>
          <cell r="M289">
            <v>101913.01</v>
          </cell>
          <cell r="N289" t="str">
            <v>M KHASIDIS/TANYA STEWART</v>
          </cell>
          <cell r="O289" t="str">
            <v>STEWART, TANYA-GAYE N</v>
          </cell>
          <cell r="P289" t="str">
            <v>fraites@jlab.org</v>
          </cell>
        </row>
        <row r="290">
          <cell r="A290" t="str">
            <v>20-D0103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MIT</v>
          </cell>
          <cell r="G290" t="str">
            <v>MASSACHUSETTS INST OF TEC</v>
          </cell>
          <cell r="H290" t="str">
            <v>S</v>
          </cell>
          <cell r="I290" t="str">
            <v>System Closed</v>
          </cell>
          <cell r="J290">
            <v>25000</v>
          </cell>
          <cell r="K290">
            <v>25000</v>
          </cell>
          <cell r="L290">
            <v>25000</v>
          </cell>
          <cell r="M290">
            <v>25000</v>
          </cell>
          <cell r="N290" t="str">
            <v>M KHASIDIS/T STEWART</v>
          </cell>
          <cell r="O290" t="str">
            <v>STEWART, TANYA-GAYE N</v>
          </cell>
          <cell r="P290" t="str">
            <v>fraites@jlab.org</v>
          </cell>
        </row>
        <row r="291">
          <cell r="A291" t="str">
            <v>20-D0376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THECAT</v>
          </cell>
          <cell r="G291" t="str">
            <v xml:space="preserve">THE CATHOLIC UNIVERSITY  </v>
          </cell>
          <cell r="H291" t="str">
            <v>S</v>
          </cell>
          <cell r="I291" t="str">
            <v>System Closed</v>
          </cell>
          <cell r="J291">
            <v>50875</v>
          </cell>
          <cell r="K291">
            <v>50875</v>
          </cell>
          <cell r="L291">
            <v>50875</v>
          </cell>
          <cell r="M291">
            <v>50875</v>
          </cell>
          <cell r="N291" t="str">
            <v>M KHASIDIS/T STEWART</v>
          </cell>
          <cell r="O291" t="str">
            <v>STEWART, TANYA-GAYE N</v>
          </cell>
          <cell r="P291" t="str">
            <v>fraites@jlab.org</v>
          </cell>
        </row>
        <row r="292">
          <cell r="A292" t="str">
            <v>20-D0554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MISSIS</v>
          </cell>
          <cell r="G292" t="str">
            <v>MISSISSIPPI STATE UNIVER.</v>
          </cell>
          <cell r="H292" t="str">
            <v>S</v>
          </cell>
          <cell r="I292" t="str">
            <v>System Closed</v>
          </cell>
          <cell r="J292">
            <v>34631</v>
          </cell>
          <cell r="K292">
            <v>34631</v>
          </cell>
          <cell r="L292">
            <v>34631</v>
          </cell>
          <cell r="M292">
            <v>34631</v>
          </cell>
          <cell r="N292" t="str">
            <v>M KHASIDIS/T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20-D0972</v>
          </cell>
          <cell r="B293">
            <v>0</v>
          </cell>
          <cell r="C293" t="str">
            <v>S</v>
          </cell>
          <cell r="D293" t="str">
            <v>T3335</v>
          </cell>
          <cell r="E293" t="str">
            <v>GIUSEPPINA TENBUSCH</v>
          </cell>
          <cell r="F293" t="str">
            <v>OLDDO4</v>
          </cell>
          <cell r="G293" t="str">
            <v>OLD DOMINION UNIV. RESEAR</v>
          </cell>
          <cell r="H293" t="str">
            <v>O</v>
          </cell>
          <cell r="I293" t="str">
            <v>Open</v>
          </cell>
          <cell r="J293">
            <v>516444.35</v>
          </cell>
          <cell r="K293">
            <v>472016.35</v>
          </cell>
          <cell r="L293">
            <v>449802.35</v>
          </cell>
          <cell r="M293">
            <v>449802.35</v>
          </cell>
          <cell r="N293" t="str">
            <v>J TENBUSCH/TANYA STEWART</v>
          </cell>
          <cell r="O293" t="str">
            <v>STEWART, TANYA-GAYE N</v>
          </cell>
          <cell r="P293" t="str">
            <v>fraites@jlab.org</v>
          </cell>
          <cell r="Q293" t="str">
            <v>PARKINSON, SHARON K</v>
          </cell>
          <cell r="R293" t="str">
            <v>spark@jlab.org</v>
          </cell>
        </row>
        <row r="294">
          <cell r="A294" t="str">
            <v>20-D0982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UVA</v>
          </cell>
          <cell r="G294" t="str">
            <v>UNIVERSITY OF VIRGINIA</v>
          </cell>
          <cell r="H294" t="str">
            <v>S</v>
          </cell>
          <cell r="I294" t="str">
            <v>System Closed</v>
          </cell>
          <cell r="J294">
            <v>40512</v>
          </cell>
          <cell r="K294">
            <v>40512</v>
          </cell>
          <cell r="L294">
            <v>40512</v>
          </cell>
          <cell r="M294">
            <v>40512</v>
          </cell>
          <cell r="N294" t="str">
            <v>M KHASIDIS/TANYA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20-D1030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UNIMAS</v>
          </cell>
          <cell r="G295" t="str">
            <v>UNIV OF MASSACHUSETTS</v>
          </cell>
          <cell r="H295" t="str">
            <v>S</v>
          </cell>
          <cell r="I295" t="str">
            <v>System Closed</v>
          </cell>
          <cell r="J295">
            <v>61207.02</v>
          </cell>
          <cell r="K295">
            <v>61207.02</v>
          </cell>
          <cell r="L295">
            <v>61207.02</v>
          </cell>
          <cell r="M295">
            <v>61207.02</v>
          </cell>
          <cell r="N295" t="str">
            <v>M KHASIDIS/TANYA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20-D1082A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CRYTUR</v>
          </cell>
          <cell r="G296" t="str">
            <v>CRYTUR LTD</v>
          </cell>
          <cell r="H296" t="str">
            <v>S</v>
          </cell>
          <cell r="I296" t="str">
            <v>System Closed</v>
          </cell>
          <cell r="J296">
            <v>370000</v>
          </cell>
          <cell r="K296">
            <v>370000</v>
          </cell>
          <cell r="L296">
            <v>370000</v>
          </cell>
          <cell r="M296">
            <v>370000</v>
          </cell>
          <cell r="N296" t="str">
            <v>STEVE WOOD</v>
          </cell>
          <cell r="O296" t="str">
            <v>HURATIAK, THOMAS</v>
          </cell>
          <cell r="P296" t="str">
            <v>huratiak@jlab.org</v>
          </cell>
          <cell r="Q296" t="str">
            <v>WOOD, STEPHEN A</v>
          </cell>
          <cell r="R296" t="str">
            <v>saw@jlab.org</v>
          </cell>
        </row>
        <row r="297">
          <cell r="A297" t="str">
            <v>20-D1427</v>
          </cell>
          <cell r="B297">
            <v>0</v>
          </cell>
          <cell r="C297" t="str">
            <v>S</v>
          </cell>
          <cell r="D297" t="str">
            <v>H3243</v>
          </cell>
          <cell r="E297" t="str">
            <v>THOMAS HURATIAK</v>
          </cell>
          <cell r="F297" t="str">
            <v>DANFYS</v>
          </cell>
          <cell r="G297" t="str">
            <v>DANFYSIK A/S</v>
          </cell>
          <cell r="H297" t="str">
            <v>O</v>
          </cell>
          <cell r="I297" t="str">
            <v>Open</v>
          </cell>
          <cell r="J297">
            <v>155000</v>
          </cell>
          <cell r="K297">
            <v>110000</v>
          </cell>
          <cell r="L297">
            <v>110000</v>
          </cell>
          <cell r="M297">
            <v>110000</v>
          </cell>
          <cell r="N297" t="str">
            <v>T HURATIAK/D GRIFFITH</v>
          </cell>
          <cell r="O297" t="str">
            <v>PHILIP, SARIN</v>
          </cell>
          <cell r="P297" t="str">
            <v>philip@jlab.org</v>
          </cell>
        </row>
        <row r="298">
          <cell r="A298" t="str">
            <v>21-C0001</v>
          </cell>
          <cell r="B298">
            <v>0</v>
          </cell>
          <cell r="C298" t="str">
            <v>S</v>
          </cell>
          <cell r="D298" t="str">
            <v>M8395</v>
          </cell>
          <cell r="E298" t="str">
            <v>DEANN MADDOX</v>
          </cell>
          <cell r="F298" t="str">
            <v>NOMURA</v>
          </cell>
          <cell r="G298" t="str">
            <v>NOMURA PLATING CO., LTD.</v>
          </cell>
          <cell r="H298" t="str">
            <v>S</v>
          </cell>
          <cell r="I298" t="str">
            <v>System Closed</v>
          </cell>
          <cell r="J298">
            <v>683621.43</v>
          </cell>
          <cell r="K298">
            <v>684044.24</v>
          </cell>
          <cell r="L298">
            <v>683621.43</v>
          </cell>
          <cell r="M298">
            <v>683621.43</v>
          </cell>
          <cell r="N298" t="str">
            <v>D Maddox/Weinmann</v>
          </cell>
          <cell r="O298" t="str">
            <v>OAST, MICHELLE E</v>
          </cell>
          <cell r="P298" t="str">
            <v>weinmann@jlab.org</v>
          </cell>
          <cell r="Q298" t="str">
            <v>WILSON, KATHERINE M</v>
          </cell>
          <cell r="R298" t="str">
            <v>kwilson@jlab.org</v>
          </cell>
        </row>
        <row r="299">
          <cell r="A299" t="str">
            <v>21-C0004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PHYINS</v>
          </cell>
          <cell r="G299" t="str">
            <v>PI (PHYSIK INSTRUMENTE)</v>
          </cell>
          <cell r="H299" t="str">
            <v>S</v>
          </cell>
          <cell r="I299" t="str">
            <v>System Closed</v>
          </cell>
          <cell r="J299">
            <v>528720</v>
          </cell>
          <cell r="K299">
            <v>528720</v>
          </cell>
          <cell r="L299">
            <v>528720</v>
          </cell>
          <cell r="M299">
            <v>528720</v>
          </cell>
          <cell r="N299" t="str">
            <v>T HURATIAK/PETER OWEN</v>
          </cell>
          <cell r="O299" t="str">
            <v>OWEN, PETER</v>
          </cell>
          <cell r="P299" t="str">
            <v>powen@jlab.org</v>
          </cell>
          <cell r="Q299" t="str">
            <v>WILSON, KATHERINE M</v>
          </cell>
          <cell r="R299" t="str">
            <v>kwilson@jlab.org</v>
          </cell>
        </row>
        <row r="300">
          <cell r="A300" t="str">
            <v>21-C0005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PHYTRO</v>
          </cell>
          <cell r="G300" t="str">
            <v>PHYTRON INC</v>
          </cell>
          <cell r="H300" t="str">
            <v>S</v>
          </cell>
          <cell r="I300" t="str">
            <v>System Closed</v>
          </cell>
          <cell r="J300">
            <v>928960</v>
          </cell>
          <cell r="K300">
            <v>928960</v>
          </cell>
          <cell r="L300">
            <v>928960</v>
          </cell>
          <cell r="M300">
            <v>928960</v>
          </cell>
          <cell r="N300" t="str">
            <v>T HURATIAK/PETER OWEN</v>
          </cell>
          <cell r="O300" t="str">
            <v>OWEN, PETER</v>
          </cell>
          <cell r="P300" t="str">
            <v>powen@jlab.org</v>
          </cell>
          <cell r="Q300" t="str">
            <v>WILSON, KATHERINE M</v>
          </cell>
          <cell r="R300" t="str">
            <v>kwilson@jlab.org</v>
          </cell>
        </row>
        <row r="301">
          <cell r="A301" t="str">
            <v>21-C0006</v>
          </cell>
          <cell r="B301">
            <v>0</v>
          </cell>
          <cell r="C301" t="str">
            <v>S</v>
          </cell>
          <cell r="D301" t="str">
            <v>K7103</v>
          </cell>
          <cell r="E301" t="str">
            <v>MICHELE KHASIDIS</v>
          </cell>
          <cell r="F301" t="str">
            <v>CNC</v>
          </cell>
          <cell r="G301" t="str">
            <v>CHRISTOPHER NEWPORT UNIV.</v>
          </cell>
          <cell r="H301" t="str">
            <v>O</v>
          </cell>
          <cell r="I301" t="str">
            <v>Open</v>
          </cell>
          <cell r="J301">
            <v>361669.36</v>
          </cell>
          <cell r="K301">
            <v>303235.03999999998</v>
          </cell>
          <cell r="L301">
            <v>208633.73</v>
          </cell>
          <cell r="M301">
            <v>208633.73</v>
          </cell>
          <cell r="N301" t="str">
            <v>M KHASIDIS/TANYA STEWART</v>
          </cell>
          <cell r="O301" t="str">
            <v>STEWART, TANYA-GAYE N</v>
          </cell>
          <cell r="P301" t="str">
            <v>fraites@jlab.org</v>
          </cell>
        </row>
        <row r="302">
          <cell r="A302" t="str">
            <v>21-C0007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SPRFAB</v>
          </cell>
          <cell r="G302" t="str">
            <v>MACHINE BUILD TECH</v>
          </cell>
          <cell r="H302" t="str">
            <v>S</v>
          </cell>
          <cell r="I302" t="str">
            <v>System Closed</v>
          </cell>
          <cell r="J302">
            <v>253710</v>
          </cell>
          <cell r="K302">
            <v>253710</v>
          </cell>
          <cell r="L302">
            <v>253710</v>
          </cell>
          <cell r="M302">
            <v>253710</v>
          </cell>
          <cell r="N302" t="str">
            <v>T HURATIAK/BILL HUNEWILL</v>
          </cell>
          <cell r="O302" t="str">
            <v>PERRY, CHRISTOPHER C</v>
          </cell>
          <cell r="P302" t="str">
            <v>cperry@jlab.org</v>
          </cell>
          <cell r="Q302" t="str">
            <v>HURATIAK, THOMAS</v>
          </cell>
          <cell r="R302" t="str">
            <v>huratiak@jlab.org</v>
          </cell>
        </row>
        <row r="303">
          <cell r="A303" t="str">
            <v>21-C0253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L3COMM</v>
          </cell>
          <cell r="G303" t="str">
            <v>L3 TECHNOLOGIES INC</v>
          </cell>
          <cell r="H303" t="str">
            <v>C</v>
          </cell>
          <cell r="I303" t="str">
            <v>Closed</v>
          </cell>
          <cell r="J303">
            <v>426728</v>
          </cell>
          <cell r="K303">
            <v>426728</v>
          </cell>
          <cell r="L303">
            <v>426728</v>
          </cell>
          <cell r="M303">
            <v>426728</v>
          </cell>
          <cell r="N303" t="str">
            <v>T HURITAK/R NELSON</v>
          </cell>
          <cell r="O303" t="str">
            <v>NELSON, RICHARD M</v>
          </cell>
          <cell r="P303" t="str">
            <v>nelson@jlab.org</v>
          </cell>
          <cell r="Q303" t="str">
            <v>HURATIAK, THOMAS</v>
          </cell>
          <cell r="R303" t="str">
            <v>huratiak@jlab.org</v>
          </cell>
        </row>
        <row r="304">
          <cell r="A304" t="str">
            <v>21-C0253A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STELLS</v>
          </cell>
          <cell r="G304" t="str">
            <v>STELLANT SYSTEMS INC</v>
          </cell>
          <cell r="H304" t="str">
            <v>S</v>
          </cell>
          <cell r="I304" t="str">
            <v>System Closed</v>
          </cell>
          <cell r="J304">
            <v>106682</v>
          </cell>
          <cell r="K304">
            <v>106682</v>
          </cell>
          <cell r="L304">
            <v>106682</v>
          </cell>
          <cell r="M304">
            <v>106682</v>
          </cell>
          <cell r="N304" t="str">
            <v>T HURITAK/R NELSON</v>
          </cell>
          <cell r="O304" t="str">
            <v>NELSON, RICHARD M</v>
          </cell>
          <cell r="P304" t="str">
            <v>nelson@jlab.org</v>
          </cell>
          <cell r="Q304" t="str">
            <v>HURATIAK, THOMAS</v>
          </cell>
          <cell r="R304" t="str">
            <v>huratiak@jlab.org</v>
          </cell>
        </row>
        <row r="305">
          <cell r="A305" t="str">
            <v>21-C0468</v>
          </cell>
          <cell r="B305">
            <v>0</v>
          </cell>
          <cell r="C305" t="str">
            <v>S</v>
          </cell>
          <cell r="D305" t="str">
            <v>K7103</v>
          </cell>
          <cell r="E305" t="str">
            <v>MICHELE KHASIDIS</v>
          </cell>
          <cell r="F305" t="str">
            <v>UVA</v>
          </cell>
          <cell r="G305" t="str">
            <v>UNIVERSITY OF VIRGINIA</v>
          </cell>
          <cell r="H305" t="str">
            <v>O</v>
          </cell>
          <cell r="I305" t="str">
            <v>Open</v>
          </cell>
          <cell r="J305">
            <v>210864.76</v>
          </cell>
          <cell r="K305">
            <v>119741.15</v>
          </cell>
          <cell r="L305">
            <v>119741.15</v>
          </cell>
          <cell r="M305">
            <v>119741.15</v>
          </cell>
          <cell r="N305" t="str">
            <v>M KHASIDIS/TANYA STEWART</v>
          </cell>
          <cell r="O305" t="str">
            <v>STEWART, TANYA-GAYE N</v>
          </cell>
          <cell r="P305" t="str">
            <v>fraites@jlab.org</v>
          </cell>
        </row>
        <row r="306">
          <cell r="A306" t="str">
            <v>21-C0524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VISMAC</v>
          </cell>
          <cell r="G306" t="str">
            <v>VISION MACHINE &amp; FABRICAT</v>
          </cell>
          <cell r="H306" t="str">
            <v>O</v>
          </cell>
          <cell r="I306" t="str">
            <v>Open</v>
          </cell>
          <cell r="J306">
            <v>548071.6</v>
          </cell>
          <cell r="K306">
            <v>486139.6</v>
          </cell>
          <cell r="L306">
            <v>486139.6</v>
          </cell>
          <cell r="M306">
            <v>486139.6</v>
          </cell>
          <cell r="N306" t="str">
            <v>T HURATIAK/PETER OWEN</v>
          </cell>
          <cell r="O306" t="str">
            <v>OWEN, PETER</v>
          </cell>
          <cell r="P306" t="str">
            <v>powen@jlab.org</v>
          </cell>
          <cell r="Q306" t="str">
            <v>WILSON, KATHERINE M</v>
          </cell>
          <cell r="R306" t="str">
            <v>kwilson@jlab.org</v>
          </cell>
        </row>
        <row r="307">
          <cell r="A307" t="str">
            <v>21-C0537</v>
          </cell>
          <cell r="B307">
            <v>0</v>
          </cell>
          <cell r="C307" t="str">
            <v>S</v>
          </cell>
          <cell r="D307" t="str">
            <v>S0684</v>
          </cell>
          <cell r="E307" t="str">
            <v>CAROLYN STEPNEY</v>
          </cell>
          <cell r="F307" t="str">
            <v>WARWIC</v>
          </cell>
          <cell r="G307" t="str">
            <v>WARWICK PLUMBING&amp;HEATING</v>
          </cell>
          <cell r="H307" t="str">
            <v>S</v>
          </cell>
          <cell r="I307" t="str">
            <v>System Closed</v>
          </cell>
          <cell r="J307">
            <v>1044643.43</v>
          </cell>
          <cell r="K307">
            <v>1044643.43</v>
          </cell>
          <cell r="L307">
            <v>1044643.43</v>
          </cell>
          <cell r="M307">
            <v>1044643.43</v>
          </cell>
          <cell r="N307" t="str">
            <v>C STEPNEY/TOM RENZO</v>
          </cell>
          <cell r="O307" t="str">
            <v>WHITLATCH, CELIA M</v>
          </cell>
          <cell r="P307" t="str">
            <v>whitlatc@jlab.org</v>
          </cell>
          <cell r="Q307" t="str">
            <v>DOLBECK, JOEL</v>
          </cell>
          <cell r="R307" t="str">
            <v>dolbeck@jlab.org</v>
          </cell>
        </row>
        <row r="308">
          <cell r="A308" t="str">
            <v>21-C0638</v>
          </cell>
          <cell r="B308">
            <v>0</v>
          </cell>
          <cell r="C308" t="str">
            <v>S</v>
          </cell>
          <cell r="D308" t="str">
            <v>S0684</v>
          </cell>
          <cell r="E308" t="str">
            <v>CAROLYN STEPNEY</v>
          </cell>
          <cell r="F308" t="str">
            <v>COLWEB</v>
          </cell>
          <cell r="G308" t="str">
            <v>COLONIAL WEBB CONTRACTORS</v>
          </cell>
          <cell r="H308" t="str">
            <v>O</v>
          </cell>
          <cell r="I308" t="str">
            <v>Open</v>
          </cell>
          <cell r="J308">
            <v>1166492</v>
          </cell>
          <cell r="K308">
            <v>1156558.54</v>
          </cell>
          <cell r="L308">
            <v>1129277</v>
          </cell>
          <cell r="M308">
            <v>1129277</v>
          </cell>
          <cell r="N308" t="str">
            <v>C STEPNEY/C WHITLATCH</v>
          </cell>
          <cell r="O308" t="str">
            <v>RENZO, THOMAS C</v>
          </cell>
          <cell r="P308" t="str">
            <v>renzo@jlab.org</v>
          </cell>
          <cell r="Q308" t="str">
            <v>FRIES, RUSSELL W</v>
          </cell>
          <cell r="R308" t="str">
            <v>rfries@jlab.org</v>
          </cell>
        </row>
        <row r="309">
          <cell r="A309" t="str">
            <v>21-C0815</v>
          </cell>
          <cell r="B309">
            <v>0</v>
          </cell>
          <cell r="C309" t="str">
            <v>S</v>
          </cell>
          <cell r="D309" t="str">
            <v>L3135</v>
          </cell>
          <cell r="E309" t="str">
            <v>MITCHELL LANEY</v>
          </cell>
          <cell r="F309" t="str">
            <v>MIT</v>
          </cell>
          <cell r="G309" t="str">
            <v>MASSACHUSETTS INST OF TEC</v>
          </cell>
          <cell r="H309" t="str">
            <v>O</v>
          </cell>
          <cell r="I309" t="str">
            <v>Open</v>
          </cell>
          <cell r="J309">
            <v>510760</v>
          </cell>
          <cell r="K309">
            <v>18438.439999999999</v>
          </cell>
          <cell r="L309">
            <v>18390.18</v>
          </cell>
          <cell r="M309">
            <v>18390.18</v>
          </cell>
          <cell r="N309" t="str">
            <v>M LANEY/M BIVENS</v>
          </cell>
          <cell r="O309" t="str">
            <v>BEVINS, MICHAEL E.</v>
          </cell>
          <cell r="P309" t="str">
            <v>mbevins@jlab.org</v>
          </cell>
          <cell r="Q309" t="str">
            <v>LANEY, MITCHELL L</v>
          </cell>
          <cell r="R309" t="str">
            <v>laney@jlab.org</v>
          </cell>
        </row>
        <row r="310">
          <cell r="A310" t="str">
            <v>21-C1176</v>
          </cell>
          <cell r="B310">
            <v>0</v>
          </cell>
          <cell r="C310" t="str">
            <v>S</v>
          </cell>
          <cell r="D310" t="str">
            <v>H3243</v>
          </cell>
          <cell r="E310" t="str">
            <v>THOMAS HURATIAK</v>
          </cell>
          <cell r="F310" t="str">
            <v>STONYU</v>
          </cell>
          <cell r="G310" t="str">
            <v xml:space="preserve">THE RESEARCH FOUNDATION </v>
          </cell>
          <cell r="H310" t="str">
            <v>O</v>
          </cell>
          <cell r="I310" t="str">
            <v>Open</v>
          </cell>
          <cell r="J310">
            <v>319087</v>
          </cell>
          <cell r="K310">
            <v>39220.959999999999</v>
          </cell>
          <cell r="L310">
            <v>39220.959999999999</v>
          </cell>
          <cell r="M310">
            <v>39220.959999999999</v>
          </cell>
          <cell r="N310" t="str">
            <v>T HURATIAK/C ZORN</v>
          </cell>
          <cell r="O310" t="str">
            <v>ZORN, CARL J</v>
          </cell>
          <cell r="P310" t="str">
            <v>zorn@jlab.org</v>
          </cell>
          <cell r="Q310" t="str">
            <v>FAST, JAMES E</v>
          </cell>
          <cell r="R310" t="str">
            <v>jfast@jlab.org</v>
          </cell>
        </row>
        <row r="311">
          <cell r="A311" t="str">
            <v>21-C1179</v>
          </cell>
          <cell r="B311">
            <v>0</v>
          </cell>
          <cell r="C311" t="str">
            <v>S</v>
          </cell>
          <cell r="D311" t="str">
            <v>H3243</v>
          </cell>
          <cell r="E311" t="str">
            <v>THOMAS HURATIAK</v>
          </cell>
          <cell r="F311" t="str">
            <v>JOSOAT</v>
          </cell>
          <cell r="G311" t="str">
            <v>JOSEPH OAT CORPORATION</v>
          </cell>
          <cell r="H311" t="str">
            <v>O</v>
          </cell>
          <cell r="I311" t="str">
            <v>Open</v>
          </cell>
          <cell r="J311">
            <v>437957</v>
          </cell>
          <cell r="K311">
            <v>350365.6</v>
          </cell>
          <cell r="L311">
            <v>350365.6</v>
          </cell>
          <cell r="M311">
            <v>350365.6</v>
          </cell>
          <cell r="N311" t="str">
            <v>T HURATIAK/K WILSON</v>
          </cell>
          <cell r="O311" t="str">
            <v>WILSON, KATHERINE M</v>
          </cell>
          <cell r="P311" t="str">
            <v>kwilson@jlab.org</v>
          </cell>
          <cell r="Q311" t="str">
            <v>HUQUE, NAEEM A</v>
          </cell>
          <cell r="R311" t="str">
            <v>huque@jlab.org</v>
          </cell>
        </row>
        <row r="312">
          <cell r="A312" t="str">
            <v>21-C1310</v>
          </cell>
          <cell r="B312">
            <v>0</v>
          </cell>
          <cell r="C312" t="str">
            <v>S</v>
          </cell>
          <cell r="D312" t="str">
            <v>H3243</v>
          </cell>
          <cell r="E312" t="str">
            <v>THOMAS HURATIAK</v>
          </cell>
          <cell r="F312" t="str">
            <v>HAYASH</v>
          </cell>
          <cell r="G312" t="str">
            <v>HAYASHI-REPIC CO LTD</v>
          </cell>
          <cell r="H312" t="str">
            <v>O</v>
          </cell>
          <cell r="I312" t="str">
            <v>Open</v>
          </cell>
          <cell r="J312">
            <v>350000</v>
          </cell>
          <cell r="K312">
            <v>0</v>
          </cell>
          <cell r="L312">
            <v>0</v>
          </cell>
          <cell r="M312">
            <v>0</v>
          </cell>
          <cell r="N312" t="str">
            <v xml:space="preserve">HURATIAK/GIGI CIOVATI </v>
          </cell>
          <cell r="O312" t="str">
            <v>CIOVATI, GIANLUIGI</v>
          </cell>
          <cell r="P312" t="str">
            <v>gciovati@jlab.org</v>
          </cell>
        </row>
        <row r="313">
          <cell r="A313" t="str">
            <v>21-C1383</v>
          </cell>
          <cell r="B313">
            <v>0</v>
          </cell>
          <cell r="C313" t="str">
            <v>S</v>
          </cell>
          <cell r="D313" t="str">
            <v>M8395</v>
          </cell>
          <cell r="E313" t="str">
            <v>DEANN MADDOX</v>
          </cell>
          <cell r="F313" t="str">
            <v>ADVEN3</v>
          </cell>
          <cell r="G313" t="str">
            <v>ADVANCED ENG SYSTEMS LLC</v>
          </cell>
          <cell r="H313" t="str">
            <v>O</v>
          </cell>
          <cell r="I313" t="str">
            <v>Open</v>
          </cell>
          <cell r="J313">
            <v>649700</v>
          </cell>
          <cell r="K313">
            <v>90650</v>
          </cell>
          <cell r="L313">
            <v>0</v>
          </cell>
          <cell r="M313">
            <v>0</v>
          </cell>
          <cell r="N313" t="str">
            <v>D MADDOX/S YANG</v>
          </cell>
          <cell r="O313" t="str">
            <v>YANG, SHUO</v>
          </cell>
          <cell r="P313" t="str">
            <v>syang@jlab.org</v>
          </cell>
          <cell r="Q313" t="str">
            <v>WIELICZKO, JOHN</v>
          </cell>
          <cell r="R313" t="str">
            <v>johnw@jlab.org</v>
          </cell>
        </row>
        <row r="314">
          <cell r="A314" t="str">
            <v>21-C1478</v>
          </cell>
          <cell r="B314">
            <v>0</v>
          </cell>
          <cell r="C314" t="str">
            <v>S</v>
          </cell>
          <cell r="D314" t="str">
            <v>T3153</v>
          </cell>
          <cell r="E314" t="str">
            <v>MELISSA TORRES</v>
          </cell>
          <cell r="F314" t="str">
            <v>ALLCON</v>
          </cell>
          <cell r="G314" t="str">
            <v>ALLCON CONTRACTING CORP</v>
          </cell>
          <cell r="H314" t="str">
            <v>O</v>
          </cell>
          <cell r="I314" t="str">
            <v>Open</v>
          </cell>
          <cell r="J314">
            <v>357922</v>
          </cell>
          <cell r="K314">
            <v>35792.199999999997</v>
          </cell>
          <cell r="L314">
            <v>0</v>
          </cell>
          <cell r="M314">
            <v>0</v>
          </cell>
          <cell r="N314" t="str">
            <v>M TORRES/TOM RENZO</v>
          </cell>
          <cell r="O314" t="str">
            <v>FRIES, RUSSELL W</v>
          </cell>
          <cell r="P314" t="str">
            <v>rfries@jlab.org</v>
          </cell>
          <cell r="Q314" t="str">
            <v>TORRES, MELISSA C</v>
          </cell>
          <cell r="R314" t="str">
            <v>torres@jlab.org</v>
          </cell>
        </row>
        <row r="315">
          <cell r="A315" t="str">
            <v>21-C1486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NINGXI</v>
          </cell>
          <cell r="G315" t="str">
            <v>NINGXIA ORIENT TANTALUM</v>
          </cell>
          <cell r="H315" t="str">
            <v>O</v>
          </cell>
          <cell r="I315" t="str">
            <v>Open</v>
          </cell>
          <cell r="J315">
            <v>377875</v>
          </cell>
          <cell r="K315">
            <v>173073</v>
          </cell>
          <cell r="L315">
            <v>144227.5</v>
          </cell>
          <cell r="M315">
            <v>144227.5</v>
          </cell>
          <cell r="N315" t="str">
            <v>T HURATIAK/JIQUAN GUO</v>
          </cell>
          <cell r="O315" t="str">
            <v>GUO, JIQUAN</v>
          </cell>
          <cell r="P315" t="str">
            <v>jguo@jlab.org</v>
          </cell>
        </row>
        <row r="316">
          <cell r="A316" t="str">
            <v>21-C1495</v>
          </cell>
          <cell r="B316">
            <v>0</v>
          </cell>
          <cell r="C316" t="str">
            <v>S</v>
          </cell>
          <cell r="D316" t="str">
            <v>M8395</v>
          </cell>
          <cell r="E316" t="str">
            <v>DEANN MADDOX</v>
          </cell>
          <cell r="F316" t="str">
            <v>EVETES</v>
          </cell>
          <cell r="G316" t="str">
            <v>EVERSON TESLA INC.</v>
          </cell>
          <cell r="H316" t="str">
            <v>O</v>
          </cell>
          <cell r="I316" t="str">
            <v>Open</v>
          </cell>
          <cell r="J316">
            <v>169975</v>
          </cell>
          <cell r="K316">
            <v>0</v>
          </cell>
          <cell r="L316">
            <v>0</v>
          </cell>
          <cell r="M316">
            <v>0</v>
          </cell>
          <cell r="N316" t="str">
            <v>D MADDOX/D KASHY/55E</v>
          </cell>
          <cell r="O316" t="str">
            <v>KASHY, DAVID H</v>
          </cell>
          <cell r="P316" t="str">
            <v>kashy@jlab.org</v>
          </cell>
          <cell r="Q316" t="str">
            <v>BEVINS, MICHAEL E.</v>
          </cell>
          <cell r="R316" t="str">
            <v>mbevins@jlab.org</v>
          </cell>
        </row>
        <row r="317">
          <cell r="A317" t="str">
            <v>21-C1532</v>
          </cell>
          <cell r="B317">
            <v>0</v>
          </cell>
          <cell r="C317" t="str">
            <v>S</v>
          </cell>
          <cell r="D317" t="str">
            <v>T3335</v>
          </cell>
          <cell r="E317" t="str">
            <v>GIUSEPPINA TENBUSCH</v>
          </cell>
          <cell r="F317" t="str">
            <v>WARWIC</v>
          </cell>
          <cell r="G317" t="str">
            <v>WARWICK PLUMBING&amp;HEATING</v>
          </cell>
          <cell r="H317" t="str">
            <v>O</v>
          </cell>
          <cell r="I317" t="str">
            <v>Open</v>
          </cell>
          <cell r="J317">
            <v>332000</v>
          </cell>
          <cell r="K317">
            <v>0</v>
          </cell>
          <cell r="L317">
            <v>0</v>
          </cell>
          <cell r="M317">
            <v>0</v>
          </cell>
          <cell r="N317" t="str">
            <v xml:space="preserve">J TENBUSCH/CORRY SMITH </v>
          </cell>
          <cell r="O317" t="str">
            <v>SMITH, CORRY E</v>
          </cell>
          <cell r="P317" t="str">
            <v>csmith@jlab.org</v>
          </cell>
        </row>
        <row r="318">
          <cell r="A318" t="str">
            <v>21-D0008</v>
          </cell>
          <cell r="B318">
            <v>0</v>
          </cell>
          <cell r="C318" t="str">
            <v>S</v>
          </cell>
          <cell r="D318" t="str">
            <v>P2226</v>
          </cell>
          <cell r="E318" t="str">
            <v>THEODORE PESHEHONOFF</v>
          </cell>
          <cell r="F318" t="str">
            <v>DURAFL</v>
          </cell>
          <cell r="G318" t="str">
            <v>DURAFLEX INC</v>
          </cell>
          <cell r="H318" t="str">
            <v>S</v>
          </cell>
          <cell r="I318" t="str">
            <v>System Closed</v>
          </cell>
          <cell r="J318">
            <v>52613.5</v>
          </cell>
          <cell r="K318">
            <v>52613.5</v>
          </cell>
          <cell r="L318">
            <v>52613.5</v>
          </cell>
          <cell r="M318">
            <v>52613.5</v>
          </cell>
          <cell r="N318" t="str">
            <v>PESH/MATT MARCHLIK</v>
          </cell>
          <cell r="O318" t="str">
            <v>MARCHLIK, MATTHEW J</v>
          </cell>
          <cell r="P318" t="str">
            <v>marchlik@jlab.org</v>
          </cell>
          <cell r="Q318" t="str">
            <v>WILSON, KATHERINE M</v>
          </cell>
          <cell r="R318" t="str">
            <v>kwilson@jlab.org</v>
          </cell>
        </row>
        <row r="319">
          <cell r="A319" t="str">
            <v>21-D0108</v>
          </cell>
          <cell r="B319">
            <v>0</v>
          </cell>
          <cell r="C319" t="str">
            <v>S</v>
          </cell>
          <cell r="D319" t="str">
            <v>K7103</v>
          </cell>
          <cell r="E319" t="str">
            <v>MICHELE KHASIDIS</v>
          </cell>
          <cell r="F319" t="str">
            <v>UVA</v>
          </cell>
          <cell r="G319" t="str">
            <v>UNIVERSITY OF VIRGINIA</v>
          </cell>
          <cell r="H319" t="str">
            <v>S</v>
          </cell>
          <cell r="I319" t="str">
            <v>System Closed</v>
          </cell>
          <cell r="J319">
            <v>97597.54</v>
          </cell>
          <cell r="K319">
            <v>97597.54</v>
          </cell>
          <cell r="L319">
            <v>97597.54</v>
          </cell>
          <cell r="M319">
            <v>97597.54</v>
          </cell>
          <cell r="N319" t="str">
            <v>M KHASIDIS/T STEWART</v>
          </cell>
          <cell r="O319" t="str">
            <v>STEWART, TANYA-GAYE N</v>
          </cell>
          <cell r="P319" t="str">
            <v>fraites@jlab.org</v>
          </cell>
        </row>
        <row r="320">
          <cell r="A320" t="str">
            <v>21-D0142</v>
          </cell>
          <cell r="B320">
            <v>0</v>
          </cell>
          <cell r="C320" t="str">
            <v>S</v>
          </cell>
          <cell r="D320" t="str">
            <v>K7103</v>
          </cell>
          <cell r="E320" t="str">
            <v>MICHELE KHASIDIS</v>
          </cell>
          <cell r="F320" t="str">
            <v>MIT</v>
          </cell>
          <cell r="G320" t="str">
            <v>MASSACHUSETTS INST OF TEC</v>
          </cell>
          <cell r="H320" t="str">
            <v>S</v>
          </cell>
          <cell r="I320" t="str">
            <v>System Closed</v>
          </cell>
          <cell r="J320">
            <v>12999.96</v>
          </cell>
          <cell r="K320">
            <v>12999.96</v>
          </cell>
          <cell r="L320">
            <v>12999.96</v>
          </cell>
          <cell r="M320">
            <v>12999.96</v>
          </cell>
          <cell r="N320" t="str">
            <v>M KHASIDIS/TANYA STEWART</v>
          </cell>
          <cell r="O320" t="str">
            <v>STEWART, TANYA-GAYE N</v>
          </cell>
          <cell r="P320" t="str">
            <v>fraites@jlab.org</v>
          </cell>
        </row>
        <row r="321">
          <cell r="A321" t="str">
            <v>21-D0188</v>
          </cell>
          <cell r="B321">
            <v>0</v>
          </cell>
          <cell r="C321" t="str">
            <v>S</v>
          </cell>
          <cell r="D321" t="str">
            <v>T3335</v>
          </cell>
          <cell r="E321" t="str">
            <v>GIUSEPPINA TENBUSCH</v>
          </cell>
          <cell r="F321" t="str">
            <v>OLDDO4</v>
          </cell>
          <cell r="G321" t="str">
            <v>OLD DOMINION UNIV. RESEAR</v>
          </cell>
          <cell r="H321" t="str">
            <v>O</v>
          </cell>
          <cell r="I321" t="str">
            <v>Open</v>
          </cell>
          <cell r="J321">
            <v>193999.52</v>
          </cell>
          <cell r="K321">
            <v>126499.52</v>
          </cell>
          <cell r="L321">
            <v>126499.52</v>
          </cell>
          <cell r="M321">
            <v>126499.52</v>
          </cell>
          <cell r="N321" t="str">
            <v>J TENBUSCH/TANYA STEWART</v>
          </cell>
          <cell r="O321" t="str">
            <v>STEWART, TANYA-GAYE N</v>
          </cell>
          <cell r="P321" t="str">
            <v>fraites@jlab.org</v>
          </cell>
        </row>
        <row r="322">
          <cell r="A322" t="str">
            <v>21-D0242</v>
          </cell>
          <cell r="B322">
            <v>0</v>
          </cell>
          <cell r="C322" t="str">
            <v>S</v>
          </cell>
          <cell r="D322" t="str">
            <v>H3243</v>
          </cell>
          <cell r="E322" t="str">
            <v>THOMAS HURATIAK</v>
          </cell>
          <cell r="F322" t="str">
            <v>CRYONO</v>
          </cell>
          <cell r="G322" t="str">
            <v xml:space="preserve">CRYONOVA PROCESS SYSTEMS </v>
          </cell>
          <cell r="H322" t="str">
            <v>O</v>
          </cell>
          <cell r="I322" t="str">
            <v>Open</v>
          </cell>
          <cell r="J322">
            <v>213350.18</v>
          </cell>
          <cell r="K322">
            <v>110840.18</v>
          </cell>
          <cell r="L322">
            <v>110840.18</v>
          </cell>
          <cell r="M322">
            <v>110840.18</v>
          </cell>
          <cell r="N322" t="str">
            <v>HURATIAK/T WIJERATNE</v>
          </cell>
          <cell r="O322" t="str">
            <v>WIJERATNE, THILAN K</v>
          </cell>
          <cell r="P322" t="str">
            <v>thilan@jlab.org</v>
          </cell>
          <cell r="Q322" t="str">
            <v>SMITH, CORRY E</v>
          </cell>
          <cell r="R322" t="str">
            <v>csmith@jlab.org</v>
          </cell>
        </row>
        <row r="323">
          <cell r="A323" t="str">
            <v>21-D0260</v>
          </cell>
          <cell r="B323">
            <v>0</v>
          </cell>
          <cell r="C323" t="str">
            <v>S</v>
          </cell>
          <cell r="D323" t="str">
            <v>T3335</v>
          </cell>
          <cell r="E323" t="str">
            <v>GIUSEPPINA TENBUSCH</v>
          </cell>
          <cell r="F323" t="str">
            <v>SOTOSA</v>
          </cell>
          <cell r="G323" t="str">
            <v>ORLANDO J SOTO SANDOVAL</v>
          </cell>
          <cell r="H323" t="str">
            <v>S</v>
          </cell>
          <cell r="I323" t="str">
            <v>System Closed</v>
          </cell>
          <cell r="J323">
            <v>6667</v>
          </cell>
          <cell r="K323">
            <v>6667</v>
          </cell>
          <cell r="L323">
            <v>6667</v>
          </cell>
          <cell r="M323">
            <v>6667</v>
          </cell>
          <cell r="N323" t="str">
            <v>J TENBUSCH/TANYA STEWART</v>
          </cell>
          <cell r="O323" t="str">
            <v>STEWART, TANYA-GAYE N</v>
          </cell>
          <cell r="P323" t="str">
            <v>fraites@jlab.org</v>
          </cell>
          <cell r="Q323" t="str">
            <v>PARKINSON, SHARON K</v>
          </cell>
          <cell r="R323" t="str">
            <v>spark@jlab.org</v>
          </cell>
        </row>
        <row r="324">
          <cell r="A324" t="str">
            <v>21-D0284</v>
          </cell>
          <cell r="B324">
            <v>0</v>
          </cell>
          <cell r="C324" t="str">
            <v>S</v>
          </cell>
          <cell r="D324" t="str">
            <v>T3335</v>
          </cell>
          <cell r="E324" t="str">
            <v>GIUSEPPINA TENBUSCH</v>
          </cell>
          <cell r="F324" t="str">
            <v>BARION</v>
          </cell>
          <cell r="G324" t="str">
            <v>LUCA BARION</v>
          </cell>
          <cell r="H324" t="str">
            <v>S</v>
          </cell>
          <cell r="I324" t="str">
            <v>System Closed</v>
          </cell>
          <cell r="J324">
            <v>15000</v>
          </cell>
          <cell r="K324">
            <v>15000</v>
          </cell>
          <cell r="L324">
            <v>15000</v>
          </cell>
          <cell r="M324">
            <v>15000</v>
          </cell>
          <cell r="N324" t="str">
            <v>J TENBUSCH/T STEWART</v>
          </cell>
          <cell r="O324" t="str">
            <v>STEWART, TANYA-GAYE N</v>
          </cell>
          <cell r="P324" t="str">
            <v>fraites@jlab.org</v>
          </cell>
          <cell r="Q324" t="str">
            <v>PARKINSON, SHARON K</v>
          </cell>
          <cell r="R324" t="str">
            <v>spark@jlab.org</v>
          </cell>
        </row>
        <row r="325">
          <cell r="A325" t="str">
            <v>21-D0303</v>
          </cell>
          <cell r="B325">
            <v>0</v>
          </cell>
          <cell r="C325" t="str">
            <v>S</v>
          </cell>
          <cell r="D325" t="str">
            <v>K7103</v>
          </cell>
          <cell r="E325" t="str">
            <v>MICHELE KHASIDIS</v>
          </cell>
          <cell r="F325" t="str">
            <v>UNICO3</v>
          </cell>
          <cell r="G325" t="str">
            <v>UNIVERSITY OF CONNECTICUT</v>
          </cell>
          <cell r="H325" t="str">
            <v>O</v>
          </cell>
          <cell r="I325" t="str">
            <v>Open</v>
          </cell>
          <cell r="J325">
            <v>62283</v>
          </cell>
          <cell r="K325">
            <v>62283</v>
          </cell>
          <cell r="L325">
            <v>57092.75</v>
          </cell>
          <cell r="M325">
            <v>57092.75</v>
          </cell>
          <cell r="N325" t="str">
            <v>M KHASIDIS/TANYA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21-D0319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CRYTUR</v>
          </cell>
          <cell r="G326" t="str">
            <v>CRYTUR LTD</v>
          </cell>
          <cell r="H326" t="str">
            <v>S</v>
          </cell>
          <cell r="I326" t="str">
            <v>System Closed</v>
          </cell>
          <cell r="J326">
            <v>277500</v>
          </cell>
          <cell r="K326">
            <v>277500</v>
          </cell>
          <cell r="L326">
            <v>277500</v>
          </cell>
          <cell r="M326">
            <v>277500</v>
          </cell>
          <cell r="N326" t="str">
            <v xml:space="preserve"> </v>
          </cell>
          <cell r="O326" t="str">
            <v>HURATIAK, THOMAS</v>
          </cell>
          <cell r="P326" t="str">
            <v>huratiak@jlab.org</v>
          </cell>
          <cell r="Q326" t="str">
            <v>WOOD, STEPHEN A</v>
          </cell>
          <cell r="R326" t="str">
            <v>saw@jlab.org</v>
          </cell>
        </row>
        <row r="327">
          <cell r="A327" t="str">
            <v>21-D0495</v>
          </cell>
          <cell r="B327">
            <v>0</v>
          </cell>
          <cell r="C327" t="str">
            <v>S</v>
          </cell>
          <cell r="D327" t="str">
            <v>K7103</v>
          </cell>
          <cell r="E327" t="str">
            <v>MICHELE KHASIDIS</v>
          </cell>
          <cell r="F327" t="str">
            <v>UVA</v>
          </cell>
          <cell r="G327" t="str">
            <v>UNIVERSITY OF VIRGINIA</v>
          </cell>
          <cell r="H327" t="str">
            <v>S</v>
          </cell>
          <cell r="I327" t="str">
            <v>System Closed</v>
          </cell>
          <cell r="J327">
            <v>25389.84</v>
          </cell>
          <cell r="K327">
            <v>25389.84</v>
          </cell>
          <cell r="L327">
            <v>25389.84</v>
          </cell>
          <cell r="M327">
            <v>25389.84</v>
          </cell>
          <cell r="N327" t="str">
            <v>M KHASIDIS/TANYA STEWART</v>
          </cell>
          <cell r="O327" t="str">
            <v>STEWART, TANYA-GAYE N</v>
          </cell>
          <cell r="P327" t="str">
            <v>fraites@jlab.org</v>
          </cell>
        </row>
        <row r="328">
          <cell r="A328" t="str">
            <v>21-D0496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UNIPAV</v>
          </cell>
          <cell r="G328" t="str">
            <v>UNIVERSITA PAVIA</v>
          </cell>
          <cell r="H328" t="str">
            <v>S</v>
          </cell>
          <cell r="I328" t="str">
            <v>System Closed</v>
          </cell>
          <cell r="J328">
            <v>12999.96</v>
          </cell>
          <cell r="K328">
            <v>12999.96</v>
          </cell>
          <cell r="L328">
            <v>12999.96</v>
          </cell>
          <cell r="M328">
            <v>12999.96</v>
          </cell>
          <cell r="N328" t="str">
            <v>J TENBUSH/T STEWART</v>
          </cell>
          <cell r="O328" t="str">
            <v>STEWART, TANYA-GAYE N</v>
          </cell>
          <cell r="P328" t="str">
            <v>fraites@jlab.org</v>
          </cell>
        </row>
        <row r="329">
          <cell r="A329" t="str">
            <v>21-D0505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UNICSB</v>
          </cell>
          <cell r="G329" t="str">
            <v>REGENTS OF THE UNIVERSITY</v>
          </cell>
          <cell r="H329" t="str">
            <v>O</v>
          </cell>
          <cell r="I329" t="str">
            <v>Open</v>
          </cell>
          <cell r="J329">
            <v>240999.79</v>
          </cell>
          <cell r="K329">
            <v>150727.51999999999</v>
          </cell>
          <cell r="L329">
            <v>110286.13</v>
          </cell>
          <cell r="M329">
            <v>110286.13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21-D0552</v>
          </cell>
          <cell r="B330">
            <v>0</v>
          </cell>
          <cell r="C330" t="str">
            <v>S</v>
          </cell>
          <cell r="D330" t="str">
            <v>K7103</v>
          </cell>
          <cell r="E330" t="str">
            <v>MICHELE KHASIDIS</v>
          </cell>
          <cell r="F330" t="str">
            <v>UVA</v>
          </cell>
          <cell r="G330" t="str">
            <v>UNIVERSITY OF VIRGINIA</v>
          </cell>
          <cell r="H330" t="str">
            <v>O</v>
          </cell>
          <cell r="I330" t="str">
            <v>Open</v>
          </cell>
          <cell r="J330">
            <v>41308.019999999997</v>
          </cell>
          <cell r="K330">
            <v>24683.02</v>
          </cell>
          <cell r="L330">
            <v>24683.02</v>
          </cell>
          <cell r="M330">
            <v>24683.02</v>
          </cell>
          <cell r="N330" t="str">
            <v>M KHASIDIS/TANYA STEWART</v>
          </cell>
          <cell r="O330" t="str">
            <v>STEWART, TANYA-GAYE N</v>
          </cell>
          <cell r="P330" t="str">
            <v>fraites@jlab.org</v>
          </cell>
        </row>
        <row r="331">
          <cell r="A331" t="str">
            <v>21-D0688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OHIOUN</v>
          </cell>
          <cell r="G331" t="str">
            <v>OHIO UNIVERSITY</v>
          </cell>
          <cell r="H331" t="str">
            <v>O</v>
          </cell>
          <cell r="I331" t="str">
            <v>Open</v>
          </cell>
          <cell r="J331">
            <v>89718.98</v>
          </cell>
          <cell r="K331">
            <v>43295.99</v>
          </cell>
          <cell r="L331">
            <v>43295.99</v>
          </cell>
          <cell r="M331">
            <v>43295.99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21-D0733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CNRS</v>
          </cell>
          <cell r="G332" t="str">
            <v>CENTRE NATIONALE DE</v>
          </cell>
          <cell r="H332" t="str">
            <v>O</v>
          </cell>
          <cell r="I332" t="str">
            <v>Open</v>
          </cell>
          <cell r="J332">
            <v>36000</v>
          </cell>
          <cell r="K332">
            <v>36000</v>
          </cell>
          <cell r="L332">
            <v>0</v>
          </cell>
          <cell r="M332">
            <v>0</v>
          </cell>
          <cell r="N332" t="str">
            <v>J TENBUSCH/TANYA STEWART</v>
          </cell>
          <cell r="O332" t="str">
            <v>STEWART, TANYA-GAYE N</v>
          </cell>
          <cell r="P332" t="str">
            <v>fraites@jlab.org</v>
          </cell>
          <cell r="Q332" t="str">
            <v>PARKINSON, SHARON K</v>
          </cell>
          <cell r="R332" t="str">
            <v>spark@jlab.org</v>
          </cell>
        </row>
        <row r="333">
          <cell r="A333" t="str">
            <v>21-D0771</v>
          </cell>
          <cell r="B333">
            <v>0</v>
          </cell>
          <cell r="C333" t="str">
            <v>S</v>
          </cell>
          <cell r="D333" t="str">
            <v>P2226</v>
          </cell>
          <cell r="E333" t="str">
            <v>THEODORE PESHEHONOFF</v>
          </cell>
          <cell r="F333" t="str">
            <v>LUVATA</v>
          </cell>
          <cell r="G333" t="str">
            <v xml:space="preserve">LUVATA PORI OY </v>
          </cell>
          <cell r="H333" t="str">
            <v>S</v>
          </cell>
          <cell r="I333" t="str">
            <v>System Closed</v>
          </cell>
          <cell r="J333">
            <v>88711.7</v>
          </cell>
          <cell r="K333">
            <v>88711.7</v>
          </cell>
          <cell r="L333">
            <v>88711.7</v>
          </cell>
          <cell r="M333">
            <v>88711.7</v>
          </cell>
          <cell r="N333" t="str">
            <v>PESHEHONOFF/D KASHY</v>
          </cell>
          <cell r="O333" t="str">
            <v>KASHY, DAVID H</v>
          </cell>
          <cell r="P333" t="str">
            <v>kashy@jlab.org</v>
          </cell>
        </row>
        <row r="334">
          <cell r="A334" t="str">
            <v>21-D0778</v>
          </cell>
          <cell r="B334">
            <v>0</v>
          </cell>
          <cell r="C334" t="str">
            <v>S</v>
          </cell>
          <cell r="D334" t="str">
            <v>H3243</v>
          </cell>
          <cell r="E334" t="str">
            <v>THOMAS HURATIAK</v>
          </cell>
          <cell r="F334" t="str">
            <v>SIENNA</v>
          </cell>
          <cell r="G334" t="str">
            <v>SIENNA TECHNOLOGIES INC</v>
          </cell>
          <cell r="H334" t="str">
            <v>O</v>
          </cell>
          <cell r="I334" t="str">
            <v>Open</v>
          </cell>
          <cell r="J334">
            <v>244955</v>
          </cell>
          <cell r="K334">
            <v>33600</v>
          </cell>
          <cell r="L334">
            <v>33600</v>
          </cell>
          <cell r="M334">
            <v>33600</v>
          </cell>
          <cell r="N334" t="str">
            <v>HURATIAK/JIQUAN GUO</v>
          </cell>
          <cell r="O334" t="str">
            <v>GUO, JIQUAN</v>
          </cell>
          <cell r="P334" t="str">
            <v>jguo@jlab.org</v>
          </cell>
        </row>
        <row r="335">
          <cell r="A335" t="str">
            <v>21-D0789</v>
          </cell>
          <cell r="B335">
            <v>0</v>
          </cell>
          <cell r="C335" t="str">
            <v>S</v>
          </cell>
          <cell r="D335" t="str">
            <v>H3243</v>
          </cell>
          <cell r="E335" t="str">
            <v>THOMAS HURATIAK</v>
          </cell>
          <cell r="F335" t="str">
            <v>CRYOME</v>
          </cell>
          <cell r="G335" t="str">
            <v>CRYOMECH INC</v>
          </cell>
          <cell r="H335" t="str">
            <v>S</v>
          </cell>
          <cell r="I335" t="str">
            <v>System Closed</v>
          </cell>
          <cell r="J335">
            <v>59145</v>
          </cell>
          <cell r="K335">
            <v>59145</v>
          </cell>
          <cell r="L335">
            <v>59145</v>
          </cell>
          <cell r="M335">
            <v>59145</v>
          </cell>
          <cell r="N335" t="str">
            <v>T HURATIAK/C KEITH</v>
          </cell>
          <cell r="O335" t="str">
            <v>KEITH, CHRISTOPHE D</v>
          </cell>
          <cell r="P335" t="str">
            <v>ckeith@jlab.org</v>
          </cell>
        </row>
        <row r="336">
          <cell r="A336" t="str">
            <v>21-D0847</v>
          </cell>
          <cell r="B336">
            <v>0</v>
          </cell>
          <cell r="C336" t="str">
            <v>S</v>
          </cell>
          <cell r="D336" t="str">
            <v>K7103</v>
          </cell>
          <cell r="E336" t="str">
            <v>MICHELE KHASIDIS</v>
          </cell>
          <cell r="F336" t="str">
            <v>VIRGIN</v>
          </cell>
          <cell r="G336" t="str">
            <v>VIRGINIA POLYTECHNIC INST</v>
          </cell>
          <cell r="H336" t="str">
            <v>O</v>
          </cell>
          <cell r="I336" t="str">
            <v>Open</v>
          </cell>
          <cell r="J336">
            <v>67549.009999999995</v>
          </cell>
          <cell r="K336">
            <v>52333.01</v>
          </cell>
          <cell r="L336">
            <v>50642.34</v>
          </cell>
          <cell r="M336">
            <v>50642.34</v>
          </cell>
          <cell r="N336" t="str">
            <v>M KHASIDIS/TANYA STEWART</v>
          </cell>
          <cell r="O336" t="str">
            <v>STEWART, TANYA-GAYE N</v>
          </cell>
          <cell r="P336" t="str">
            <v>fraites@jlab.org</v>
          </cell>
        </row>
        <row r="337">
          <cell r="A337" t="str">
            <v>21-D1183</v>
          </cell>
          <cell r="B337">
            <v>0</v>
          </cell>
          <cell r="C337" t="str">
            <v>S</v>
          </cell>
          <cell r="D337" t="str">
            <v>H3243</v>
          </cell>
          <cell r="E337" t="str">
            <v>THOMAS HURATIAK</v>
          </cell>
          <cell r="F337" t="str">
            <v>CRYTUR</v>
          </cell>
          <cell r="G337" t="str">
            <v>CRYTUR LTD</v>
          </cell>
          <cell r="H337" t="str">
            <v>S</v>
          </cell>
          <cell r="I337" t="str">
            <v>System Closed</v>
          </cell>
          <cell r="J337">
            <v>53650</v>
          </cell>
          <cell r="K337">
            <v>53650</v>
          </cell>
          <cell r="L337">
            <v>53650</v>
          </cell>
          <cell r="M337">
            <v>53650</v>
          </cell>
          <cell r="N337" t="str">
            <v>T HURATIAK/ROLF ENT</v>
          </cell>
          <cell r="O337" t="str">
            <v>WOOD, STEPHEN A</v>
          </cell>
          <cell r="P337" t="str">
            <v>saw@jlab.org</v>
          </cell>
          <cell r="Q337" t="str">
            <v>HURATIAK, THOMAS</v>
          </cell>
          <cell r="R337" t="str">
            <v>huratiak@jlab.org</v>
          </cell>
        </row>
        <row r="338">
          <cell r="A338" t="str">
            <v>21-D1183A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CRYUSA</v>
          </cell>
          <cell r="G338" t="str">
            <v>CRYTUR USA INC</v>
          </cell>
          <cell r="H338" t="str">
            <v>S</v>
          </cell>
          <cell r="I338" t="str">
            <v>System Closed</v>
          </cell>
          <cell r="J338">
            <v>408850</v>
          </cell>
          <cell r="K338">
            <v>408850</v>
          </cell>
          <cell r="L338">
            <v>408850</v>
          </cell>
          <cell r="M338">
            <v>408850</v>
          </cell>
          <cell r="N338" t="str">
            <v>T HURATIAK/ROLF ENT</v>
          </cell>
          <cell r="O338" t="str">
            <v>WOOD, STEPHEN A</v>
          </cell>
          <cell r="P338" t="str">
            <v>saw@jlab.org</v>
          </cell>
          <cell r="Q338" t="str">
            <v>HURATIAK, THOMAS</v>
          </cell>
          <cell r="R338" t="str">
            <v>huratiak@jlab.org</v>
          </cell>
        </row>
        <row r="339">
          <cell r="A339" t="str">
            <v>21-D1303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ABILIT</v>
          </cell>
          <cell r="G339" t="str">
            <v>BENNU GROUP INC</v>
          </cell>
          <cell r="H339" t="str">
            <v>S</v>
          </cell>
          <cell r="I339" t="str">
            <v>System Closed</v>
          </cell>
          <cell r="J339">
            <v>80214.3</v>
          </cell>
          <cell r="K339">
            <v>80214.3</v>
          </cell>
          <cell r="L339">
            <v>80214.3</v>
          </cell>
          <cell r="M339">
            <v>80214.3</v>
          </cell>
          <cell r="N339" t="str">
            <v>T HURATIAK/M MARCHILK</v>
          </cell>
          <cell r="O339" t="str">
            <v>MARCHLIK, MATTHEW J</v>
          </cell>
          <cell r="P339" t="str">
            <v>marchlik@jlab.org</v>
          </cell>
          <cell r="Q339" t="str">
            <v>HUQUE, NAEEM A</v>
          </cell>
          <cell r="R339" t="str">
            <v>huque@jlab.org</v>
          </cell>
        </row>
        <row r="340">
          <cell r="A340" t="str">
            <v>21-D1331</v>
          </cell>
          <cell r="B340">
            <v>0</v>
          </cell>
          <cell r="C340" t="str">
            <v>S</v>
          </cell>
          <cell r="D340" t="str">
            <v>H3243</v>
          </cell>
          <cell r="E340" t="str">
            <v>THOMAS HURATIAK</v>
          </cell>
          <cell r="F340" t="str">
            <v>ENERPS</v>
          </cell>
          <cell r="G340" t="str">
            <v>ENERGYPULSE SYSTEMS IDA</v>
          </cell>
          <cell r="H340" t="str">
            <v>O</v>
          </cell>
          <cell r="I340" t="str">
            <v>Open</v>
          </cell>
          <cell r="J340">
            <v>48000</v>
          </cell>
          <cell r="K340">
            <v>24000</v>
          </cell>
          <cell r="L340">
            <v>24000</v>
          </cell>
          <cell r="M340">
            <v>24000</v>
          </cell>
          <cell r="N340" t="str">
            <v>T HURATIAK/A M VALENTE</v>
          </cell>
          <cell r="O340" t="str">
            <v>VALENTE-FELICIANO, ANNE-M</v>
          </cell>
          <cell r="P340" t="str">
            <v>valente@jlab.org</v>
          </cell>
        </row>
        <row r="341">
          <cell r="A341" t="str">
            <v>21-D1425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ABILIT</v>
          </cell>
          <cell r="G341" t="str">
            <v>BENNU GROUP INC</v>
          </cell>
          <cell r="H341" t="str">
            <v>O</v>
          </cell>
          <cell r="I341" t="str">
            <v>Open</v>
          </cell>
          <cell r="J341">
            <v>114382</v>
          </cell>
          <cell r="K341">
            <v>86835.03</v>
          </cell>
          <cell r="L341">
            <v>56941</v>
          </cell>
          <cell r="M341">
            <v>56941</v>
          </cell>
          <cell r="N341" t="str">
            <v>T HURATIAK/B WISSLER</v>
          </cell>
          <cell r="O341" t="str">
            <v>PERRY, CHRISTOPHER C</v>
          </cell>
          <cell r="P341" t="str">
            <v>cperry@jlab.org</v>
          </cell>
        </row>
        <row r="342">
          <cell r="A342" t="str">
            <v>21-D1439</v>
          </cell>
          <cell r="B342">
            <v>0</v>
          </cell>
          <cell r="C342" t="str">
            <v>S</v>
          </cell>
          <cell r="D342" t="str">
            <v>T3153</v>
          </cell>
          <cell r="E342" t="str">
            <v>MELISSA TORRES</v>
          </cell>
          <cell r="F342" t="str">
            <v>CTHX</v>
          </cell>
          <cell r="G342" t="str">
            <v>CT HX LLC</v>
          </cell>
          <cell r="H342" t="str">
            <v>O</v>
          </cell>
          <cell r="I342" t="str">
            <v>Open</v>
          </cell>
          <cell r="J342">
            <v>58932</v>
          </cell>
          <cell r="K342">
            <v>19916.64</v>
          </cell>
          <cell r="L342">
            <v>0</v>
          </cell>
          <cell r="M342">
            <v>0</v>
          </cell>
          <cell r="N342" t="str">
            <v>J TENBUSCH/CARROLL JONES</v>
          </cell>
          <cell r="O342" t="str">
            <v>JONES, CARROLL W</v>
          </cell>
          <cell r="P342" t="str">
            <v>jonesc@jlab.org</v>
          </cell>
        </row>
        <row r="343">
          <cell r="A343" t="str">
            <v>21-D1456</v>
          </cell>
          <cell r="B343">
            <v>0</v>
          </cell>
          <cell r="C343" t="str">
            <v>S</v>
          </cell>
          <cell r="D343" t="str">
            <v>T3335</v>
          </cell>
          <cell r="E343" t="str">
            <v>GIUSEPPINA TENBUSCH</v>
          </cell>
          <cell r="F343" t="str">
            <v>BAKEPD</v>
          </cell>
          <cell r="G343" t="str">
            <v>MARK D. BAKER</v>
          </cell>
          <cell r="H343" t="str">
            <v>O</v>
          </cell>
          <cell r="I343" t="str">
            <v>Open</v>
          </cell>
          <cell r="J343">
            <v>51408</v>
          </cell>
          <cell r="K343">
            <v>45594</v>
          </cell>
          <cell r="L343">
            <v>45594</v>
          </cell>
          <cell r="M343">
            <v>45594</v>
          </cell>
          <cell r="N343" t="str">
            <v>J TENBUSCH/D HIGINBOTHAM</v>
          </cell>
          <cell r="O343" t="str">
            <v>HIGINBOTHAM, DOUGLAS W.</v>
          </cell>
          <cell r="P343" t="str">
            <v>doug@jlab.org</v>
          </cell>
        </row>
        <row r="344">
          <cell r="A344" t="str">
            <v>21-D1483</v>
          </cell>
          <cell r="B344">
            <v>0</v>
          </cell>
          <cell r="C344" t="str">
            <v>S</v>
          </cell>
          <cell r="D344" t="str">
            <v>370932</v>
          </cell>
          <cell r="E344" t="str">
            <v>CHARLIE KIM</v>
          </cell>
          <cell r="F344" t="str">
            <v>UNIREG</v>
          </cell>
          <cell r="G344" t="str">
            <v>UNIVERSITY OF REGINA</v>
          </cell>
          <cell r="H344" t="str">
            <v>O</v>
          </cell>
          <cell r="I344" t="str">
            <v>Open</v>
          </cell>
          <cell r="J344">
            <v>50781.25</v>
          </cell>
          <cell r="K344">
            <v>18500</v>
          </cell>
          <cell r="L344">
            <v>0</v>
          </cell>
          <cell r="M344">
            <v>0</v>
          </cell>
          <cell r="N344" t="str">
            <v>C KIM/E CHUDAKOV</v>
          </cell>
          <cell r="O344" t="str">
            <v>CHUDAKOV, EUGENE A</v>
          </cell>
          <cell r="P344" t="str">
            <v>gen@jlab.org</v>
          </cell>
        </row>
        <row r="345">
          <cell r="A345" t="str">
            <v>21-D1555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PHPKTE</v>
          </cell>
          <cell r="G345" t="str">
            <v>KENDALL HOLDINGS LTD.</v>
          </cell>
          <cell r="H345" t="str">
            <v>O</v>
          </cell>
          <cell r="I345" t="str">
            <v>Open</v>
          </cell>
          <cell r="J345">
            <v>202517</v>
          </cell>
          <cell r="K345">
            <v>70880.95</v>
          </cell>
          <cell r="L345">
            <v>70880.95</v>
          </cell>
          <cell r="M345">
            <v>70880.95</v>
          </cell>
          <cell r="N345" t="str">
            <v>HURATIAK/T WIJERATNE</v>
          </cell>
          <cell r="O345" t="str">
            <v>WIJERATNE, THILAN K</v>
          </cell>
          <cell r="P345" t="str">
            <v>thilan@jlab.org</v>
          </cell>
        </row>
        <row r="346">
          <cell r="A346" t="str">
            <v>21C0935003</v>
          </cell>
          <cell r="B346">
            <v>0</v>
          </cell>
          <cell r="C346" t="str">
            <v>S</v>
          </cell>
          <cell r="D346" t="str">
            <v>W3869</v>
          </cell>
          <cell r="E346" t="str">
            <v>SHARON WILLIAMS</v>
          </cell>
          <cell r="F346" t="str">
            <v>SMITGP</v>
          </cell>
          <cell r="G346" t="str">
            <v>SMITHGROUP INC</v>
          </cell>
          <cell r="H346" t="str">
            <v>O</v>
          </cell>
          <cell r="I346" t="str">
            <v>Open</v>
          </cell>
          <cell r="J346">
            <v>711185.18</v>
          </cell>
          <cell r="K346">
            <v>5497.68</v>
          </cell>
          <cell r="L346">
            <v>0</v>
          </cell>
          <cell r="M346">
            <v>0</v>
          </cell>
          <cell r="N346" t="str">
            <v>SCOTT BENTIVEGNA BLDG 28_</v>
          </cell>
          <cell r="O346" t="str">
            <v>BENTIVEGNA, SCOTT M</v>
          </cell>
          <cell r="P346" t="str">
            <v>scottb@jlab.org</v>
          </cell>
          <cell r="Q346" t="str">
            <v>SOLAROLI, MICHELE L</v>
          </cell>
          <cell r="R346" t="str">
            <v>msolarol@jlab.org</v>
          </cell>
        </row>
        <row r="347">
          <cell r="A347" t="str">
            <v>22-C0008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RIRESE</v>
          </cell>
          <cell r="G347" t="str">
            <v>RI RESEARCH INSTRUMENTS</v>
          </cell>
          <cell r="H347" t="str">
            <v>O</v>
          </cell>
          <cell r="I347" t="str">
            <v>Open</v>
          </cell>
          <cell r="J347">
            <v>722800</v>
          </cell>
          <cell r="K347">
            <v>281120</v>
          </cell>
          <cell r="L347">
            <v>281120</v>
          </cell>
          <cell r="M347">
            <v>281120</v>
          </cell>
          <cell r="N347" t="str">
            <v>M TORRES/G CIOVATI</v>
          </cell>
          <cell r="O347" t="str">
            <v>CIOVATI, GIANLUIGI</v>
          </cell>
          <cell r="P347" t="str">
            <v>gciovati@jlab.org</v>
          </cell>
          <cell r="Q347" t="str">
            <v>LANEY, MITCHELL L</v>
          </cell>
          <cell r="R347" t="str">
            <v>laney@jlab.org</v>
          </cell>
        </row>
        <row r="348">
          <cell r="A348" t="str">
            <v>22-C0021</v>
          </cell>
          <cell r="B348">
            <v>0</v>
          </cell>
          <cell r="C348" t="str">
            <v>S</v>
          </cell>
          <cell r="D348" t="str">
            <v>M8395</v>
          </cell>
          <cell r="E348" t="str">
            <v>DEANN MADDOX</v>
          </cell>
          <cell r="F348" t="str">
            <v>WESSIN</v>
          </cell>
          <cell r="G348" t="str">
            <v>WESSINGTON CRYOGENICS LTD</v>
          </cell>
          <cell r="H348" t="str">
            <v>O</v>
          </cell>
          <cell r="I348" t="str">
            <v>Open</v>
          </cell>
          <cell r="J348">
            <v>176709</v>
          </cell>
          <cell r="K348">
            <v>50012.7</v>
          </cell>
          <cell r="L348">
            <v>50012.7</v>
          </cell>
          <cell r="M348">
            <v>50012.7</v>
          </cell>
          <cell r="N348" t="str">
            <v>B WISSLER/</v>
          </cell>
          <cell r="O348" t="str">
            <v>WISSLER, BLAINE</v>
          </cell>
          <cell r="P348" t="str">
            <v>wissler@jlab.org</v>
          </cell>
          <cell r="Q348" t="str">
            <v>BHATTACHARYA, RITENDRA N</v>
          </cell>
          <cell r="R348" t="str">
            <v>ritendra@jlab.org</v>
          </cell>
        </row>
        <row r="349">
          <cell r="A349" t="str">
            <v>22-C0202</v>
          </cell>
          <cell r="B349">
            <v>0</v>
          </cell>
          <cell r="C349" t="str">
            <v>S</v>
          </cell>
          <cell r="D349" t="str">
            <v>T3335</v>
          </cell>
          <cell r="E349" t="str">
            <v>GIUSEPPINA TENBUSCH</v>
          </cell>
          <cell r="F349" t="str">
            <v>GASURF</v>
          </cell>
          <cell r="G349" t="str">
            <v>GEORGIA STATE UNIVERSITY</v>
          </cell>
          <cell r="H349" t="str">
            <v>O</v>
          </cell>
          <cell r="I349" t="str">
            <v>Open</v>
          </cell>
          <cell r="J349">
            <v>37950</v>
          </cell>
          <cell r="K349">
            <v>24150</v>
          </cell>
          <cell r="L349">
            <v>0</v>
          </cell>
          <cell r="M349">
            <v>0</v>
          </cell>
          <cell r="N349" t="str">
            <v>TANYA GAYE STEWART BLDG 1</v>
          </cell>
          <cell r="O349" t="str">
            <v>STEWART, TANYA-GAYE N</v>
          </cell>
          <cell r="P349" t="str">
            <v>fraites@jlab.org</v>
          </cell>
          <cell r="Q349" t="str">
            <v>PARKINSON, SHARON K</v>
          </cell>
          <cell r="R349" t="str">
            <v>spark@jlab.org</v>
          </cell>
        </row>
        <row r="350">
          <cell r="A350" t="str">
            <v>22-C0275</v>
          </cell>
          <cell r="B350">
            <v>0</v>
          </cell>
          <cell r="C350" t="str">
            <v>S</v>
          </cell>
          <cell r="D350" t="str">
            <v>H3243</v>
          </cell>
          <cell r="E350" t="str">
            <v>THOMAS HURATIAK</v>
          </cell>
          <cell r="F350" t="str">
            <v>CRYUSA</v>
          </cell>
          <cell r="G350" t="str">
            <v>CRYTUR USA INC</v>
          </cell>
          <cell r="H350" t="str">
            <v>O</v>
          </cell>
          <cell r="I350" t="str">
            <v>Open</v>
          </cell>
          <cell r="J350">
            <v>322500</v>
          </cell>
          <cell r="K350">
            <v>0</v>
          </cell>
          <cell r="L350">
            <v>0</v>
          </cell>
          <cell r="M350">
            <v>0</v>
          </cell>
          <cell r="N350" t="str">
            <v>R ENT/12H</v>
          </cell>
          <cell r="O350" t="str">
            <v>WOOD, STEPHEN A</v>
          </cell>
          <cell r="P350" t="str">
            <v>saw@jlab.org</v>
          </cell>
          <cell r="Q350" t="str">
            <v>HURATIAK, THOMAS</v>
          </cell>
          <cell r="R350" t="str">
            <v>huratiak@jlab.org</v>
          </cell>
        </row>
        <row r="351">
          <cell r="A351" t="str">
            <v>22-C0278</v>
          </cell>
          <cell r="B351">
            <v>0</v>
          </cell>
          <cell r="C351" t="str">
            <v>S</v>
          </cell>
          <cell r="D351" t="str">
            <v>H3243</v>
          </cell>
          <cell r="E351" t="str">
            <v>THOMAS HURATIAK</v>
          </cell>
          <cell r="F351" t="str">
            <v>CRYUSA</v>
          </cell>
          <cell r="G351" t="str">
            <v>CRYTUR USA INC</v>
          </cell>
          <cell r="H351" t="str">
            <v>O</v>
          </cell>
          <cell r="I351" t="str">
            <v>Open</v>
          </cell>
          <cell r="J351">
            <v>498800</v>
          </cell>
          <cell r="K351">
            <v>0</v>
          </cell>
          <cell r="L351">
            <v>0</v>
          </cell>
          <cell r="M351">
            <v>0</v>
          </cell>
          <cell r="N351" t="str">
            <v>ALEXANDER SOMOV</v>
          </cell>
          <cell r="O351" t="str">
            <v>WOOD, STEPHEN A</v>
          </cell>
          <cell r="P351" t="str">
            <v>saw@jlab.org</v>
          </cell>
          <cell r="Q351" t="str">
            <v>HURATIAK, THOMAS</v>
          </cell>
          <cell r="R351" t="str">
            <v>huratiak@jlab.org</v>
          </cell>
        </row>
        <row r="352">
          <cell r="A352" t="str">
            <v>22-C0405</v>
          </cell>
          <cell r="B352">
            <v>0</v>
          </cell>
          <cell r="C352" t="str">
            <v>S</v>
          </cell>
          <cell r="D352" t="str">
            <v>H3243</v>
          </cell>
          <cell r="E352" t="str">
            <v>THOMAS HURATIAK</v>
          </cell>
          <cell r="F352" t="str">
            <v>MULTIE</v>
          </cell>
          <cell r="G352" t="str">
            <v>OCEM ACQUISITION CORP</v>
          </cell>
          <cell r="H352" t="str">
            <v>O</v>
          </cell>
          <cell r="I352" t="str">
            <v>Open</v>
          </cell>
          <cell r="J352">
            <v>290593</v>
          </cell>
          <cell r="K352">
            <v>87177.9</v>
          </cell>
          <cell r="L352">
            <v>0</v>
          </cell>
          <cell r="M352">
            <v>0</v>
          </cell>
          <cell r="N352" t="str">
            <v xml:space="preserve">PROBIR GHOSHAL BLDG 55_2 </v>
          </cell>
          <cell r="O352" t="str">
            <v>GHOSHAL, PROBIR K</v>
          </cell>
          <cell r="P352" t="str">
            <v>ghoshal@jlab.org</v>
          </cell>
          <cell r="Q352" t="str">
            <v>FAST, JAMES E</v>
          </cell>
          <cell r="R352" t="str">
            <v>jfast@jlab.org</v>
          </cell>
        </row>
        <row r="353">
          <cell r="A353" t="str">
            <v>22-C0444</v>
          </cell>
          <cell r="B353">
            <v>0</v>
          </cell>
          <cell r="C353" t="str">
            <v>S</v>
          </cell>
          <cell r="D353" t="str">
            <v>K7103</v>
          </cell>
          <cell r="E353" t="str">
            <v>MICHELE KHASIDIS</v>
          </cell>
          <cell r="F353" t="str">
            <v>WARWIC</v>
          </cell>
          <cell r="G353" t="str">
            <v>WARWICK PLUMBING&amp;HEATING</v>
          </cell>
          <cell r="H353" t="str">
            <v>O</v>
          </cell>
          <cell r="I353" t="str">
            <v>Open</v>
          </cell>
          <cell r="J353">
            <v>433800</v>
          </cell>
          <cell r="K353">
            <v>3878</v>
          </cell>
          <cell r="L353">
            <v>0</v>
          </cell>
          <cell r="M353">
            <v>0</v>
          </cell>
          <cell r="N353" t="str">
            <v>CELIA WHITLATCH</v>
          </cell>
          <cell r="O353" t="str">
            <v>RENZO, THOMAS C</v>
          </cell>
          <cell r="P353" t="str">
            <v>renzo@jlab.org</v>
          </cell>
        </row>
        <row r="354">
          <cell r="A354" t="str">
            <v>22-C0525</v>
          </cell>
          <cell r="B354">
            <v>0</v>
          </cell>
          <cell r="C354" t="str">
            <v>S</v>
          </cell>
          <cell r="D354" t="str">
            <v>T3335</v>
          </cell>
          <cell r="E354" t="str">
            <v>GIUSEPPINA TENBUSCH</v>
          </cell>
          <cell r="F354" t="str">
            <v>DUKEU2</v>
          </cell>
          <cell r="G354" t="str">
            <v>DUKE UNIVERSITY</v>
          </cell>
          <cell r="H354" t="str">
            <v>O</v>
          </cell>
          <cell r="I354" t="str">
            <v>Open</v>
          </cell>
          <cell r="J354">
            <v>18598.52</v>
          </cell>
          <cell r="K354">
            <v>0</v>
          </cell>
          <cell r="L354">
            <v>0</v>
          </cell>
          <cell r="M354">
            <v>0</v>
          </cell>
          <cell r="N354" t="str">
            <v>TANYA GAYE STEWART BLDG 1</v>
          </cell>
          <cell r="O354" t="str">
            <v>STEWART, TANYA-GAYE N</v>
          </cell>
          <cell r="P354" t="str">
            <v>fraites@jlab.org</v>
          </cell>
          <cell r="Q354" t="str">
            <v>PARKINSON, SHARON K</v>
          </cell>
          <cell r="R354" t="str">
            <v>spark@jlab.org</v>
          </cell>
        </row>
        <row r="355">
          <cell r="A355" t="str">
            <v>22-D0013</v>
          </cell>
          <cell r="B355">
            <v>0</v>
          </cell>
          <cell r="C355" t="str">
            <v>S</v>
          </cell>
          <cell r="D355" t="str">
            <v>T3153</v>
          </cell>
          <cell r="E355" t="str">
            <v>MELISSA TORRES</v>
          </cell>
          <cell r="F355" t="str">
            <v>LONGEN</v>
          </cell>
          <cell r="G355" t="str">
            <v>LONGENECKER &amp; ASSOCIATES</v>
          </cell>
          <cell r="H355" t="str">
            <v>O</v>
          </cell>
          <cell r="I355" t="str">
            <v>Open</v>
          </cell>
          <cell r="J355">
            <v>21023.42</v>
          </cell>
          <cell r="K355">
            <v>4735.8999999999996</v>
          </cell>
          <cell r="L355">
            <v>4561.05</v>
          </cell>
          <cell r="M355">
            <v>4561.05</v>
          </cell>
          <cell r="N355" t="str">
            <v xml:space="preserve">M TORRES/M SOLAROLI </v>
          </cell>
          <cell r="O355" t="str">
            <v>SOLAROLI, MICHELE L</v>
          </cell>
          <cell r="P355" t="str">
            <v>msolarol@jlab.org</v>
          </cell>
          <cell r="Q355" t="str">
            <v>TORRES, MELISSA C</v>
          </cell>
          <cell r="R355" t="str">
            <v>torres@jlab.org</v>
          </cell>
        </row>
        <row r="356">
          <cell r="A356" t="str">
            <v>22-D0066</v>
          </cell>
          <cell r="B356">
            <v>0</v>
          </cell>
          <cell r="C356" t="str">
            <v>S</v>
          </cell>
          <cell r="D356" t="str">
            <v>M8395</v>
          </cell>
          <cell r="E356" t="str">
            <v>DEANN MADDOX</v>
          </cell>
          <cell r="F356" t="str">
            <v>SUMPRE</v>
          </cell>
          <cell r="G356" t="str">
            <v>SUMITOMO PRECISION</v>
          </cell>
          <cell r="H356" t="str">
            <v>O</v>
          </cell>
          <cell r="I356" t="str">
            <v>Open</v>
          </cell>
          <cell r="J356">
            <v>53200</v>
          </cell>
          <cell r="K356">
            <v>0</v>
          </cell>
          <cell r="L356">
            <v>0</v>
          </cell>
          <cell r="M356">
            <v>0</v>
          </cell>
          <cell r="N356" t="str">
            <v>GARY CHENG BLDG 55</v>
          </cell>
          <cell r="O356" t="str">
            <v>CHENG, GUANGFENG</v>
          </cell>
          <cell r="P356" t="str">
            <v>cheng@jlab.org</v>
          </cell>
          <cell r="Q356" t="str">
            <v>HUQUE, NAEEM A</v>
          </cell>
          <cell r="R356" t="str">
            <v>huque@jlab.org</v>
          </cell>
        </row>
        <row r="357">
          <cell r="A357" t="str">
            <v>22-D0124</v>
          </cell>
          <cell r="B357">
            <v>0</v>
          </cell>
          <cell r="C357" t="str">
            <v>S</v>
          </cell>
          <cell r="D357" t="str">
            <v>M8395</v>
          </cell>
          <cell r="E357" t="str">
            <v>DEANN MADDOX</v>
          </cell>
          <cell r="F357" t="str">
            <v>CHAE&amp;C</v>
          </cell>
          <cell r="G357" t="str">
            <v xml:space="preserve">CHART ENERGY &amp; CHEMICALS </v>
          </cell>
          <cell r="H357" t="str">
            <v>O</v>
          </cell>
          <cell r="I357" t="str">
            <v>Open</v>
          </cell>
          <cell r="J357">
            <v>84000</v>
          </cell>
          <cell r="K357">
            <v>16800</v>
          </cell>
          <cell r="L357">
            <v>16800</v>
          </cell>
          <cell r="M357">
            <v>16800</v>
          </cell>
          <cell r="N357" t="str">
            <v>D MADDOX/MASTRACCI Bdg89</v>
          </cell>
          <cell r="O357" t="str">
            <v>MASTRACCI, BRIAN P</v>
          </cell>
          <cell r="P357" t="str">
            <v>brianm@jlab.org</v>
          </cell>
          <cell r="Q357" t="str">
            <v>YANG, SHUO</v>
          </cell>
          <cell r="R357" t="str">
            <v>syang@jlab.org</v>
          </cell>
        </row>
        <row r="358">
          <cell r="A358" t="str">
            <v>22-D0151</v>
          </cell>
          <cell r="B358">
            <v>0</v>
          </cell>
          <cell r="C358" t="str">
            <v>S</v>
          </cell>
          <cell r="D358" t="str">
            <v>K7103</v>
          </cell>
          <cell r="E358" t="str">
            <v>MICHELE KHASIDIS</v>
          </cell>
          <cell r="F358" t="str">
            <v>MISSIS</v>
          </cell>
          <cell r="G358" t="str">
            <v>MISSISSIPPI STATE UNIVER.</v>
          </cell>
          <cell r="H358" t="str">
            <v>O</v>
          </cell>
          <cell r="I358" t="str">
            <v>Open</v>
          </cell>
          <cell r="J358">
            <v>29840</v>
          </cell>
          <cell r="K358">
            <v>16560</v>
          </cell>
          <cell r="L358">
            <v>4140</v>
          </cell>
          <cell r="M358">
            <v>4140</v>
          </cell>
          <cell r="N358" t="str">
            <v xml:space="preserve">M KHASIDIS/TANYA STEWART 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22-D0165</v>
          </cell>
          <cell r="B359">
            <v>0</v>
          </cell>
          <cell r="C359" t="str">
            <v>S</v>
          </cell>
          <cell r="D359" t="str">
            <v>370932</v>
          </cell>
          <cell r="E359" t="str">
            <v>CHARLIE KIM</v>
          </cell>
          <cell r="F359" t="str">
            <v>MASTER</v>
          </cell>
          <cell r="G359" t="str">
            <v>MASTER MACHINE &amp; TOOL CO.</v>
          </cell>
          <cell r="H359" t="str">
            <v>O</v>
          </cell>
          <cell r="I359" t="str">
            <v>Open</v>
          </cell>
          <cell r="J359">
            <v>111462.87</v>
          </cell>
          <cell r="K359">
            <v>40715</v>
          </cell>
          <cell r="L359">
            <v>40715</v>
          </cell>
          <cell r="M359">
            <v>40715</v>
          </cell>
          <cell r="N359" t="str">
            <v>C KIM/BRUNO CORITON</v>
          </cell>
          <cell r="O359" t="str">
            <v>CIOVATI, GIANLUIGI</v>
          </cell>
          <cell r="P359" t="str">
            <v>gciovati@jlab.org</v>
          </cell>
        </row>
        <row r="360">
          <cell r="A360" t="str">
            <v>22-D0270</v>
          </cell>
          <cell r="B360">
            <v>0</v>
          </cell>
          <cell r="C360" t="str">
            <v>S</v>
          </cell>
          <cell r="D360" t="str">
            <v>K7103</v>
          </cell>
          <cell r="E360" t="str">
            <v>MICHELE KHASIDIS</v>
          </cell>
          <cell r="F360" t="str">
            <v>MIT</v>
          </cell>
          <cell r="G360" t="str">
            <v>MASSACHUSETTS INST OF TEC</v>
          </cell>
          <cell r="H360" t="str">
            <v>O</v>
          </cell>
          <cell r="I360" t="str">
            <v>Open</v>
          </cell>
          <cell r="J360">
            <v>12999.96</v>
          </cell>
          <cell r="K360">
            <v>3249.99</v>
          </cell>
          <cell r="L360">
            <v>0</v>
          </cell>
          <cell r="M360">
            <v>0</v>
          </cell>
          <cell r="N360" t="str">
            <v>TANYA GAYE STEWART BLDG 1</v>
          </cell>
          <cell r="O360" t="str">
            <v>STEWART, TANYA-GAYE N</v>
          </cell>
          <cell r="P360" t="str">
            <v>fraites@jlab.org</v>
          </cell>
        </row>
        <row r="361">
          <cell r="A361" t="str">
            <v>22-D0311</v>
          </cell>
          <cell r="B361">
            <v>0</v>
          </cell>
          <cell r="C361" t="str">
            <v>S</v>
          </cell>
          <cell r="D361" t="str">
            <v>K7103</v>
          </cell>
          <cell r="E361" t="str">
            <v>MICHELE KHASIDIS</v>
          </cell>
          <cell r="F361" t="str">
            <v>UVA</v>
          </cell>
          <cell r="G361" t="str">
            <v>UNIVERSITY OF VIRGINIA</v>
          </cell>
          <cell r="H361" t="str">
            <v>O</v>
          </cell>
          <cell r="I361" t="str">
            <v>Open</v>
          </cell>
          <cell r="J361">
            <v>28500</v>
          </cell>
          <cell r="K361">
            <v>9499.0499999999993</v>
          </cell>
          <cell r="L361">
            <v>0</v>
          </cell>
          <cell r="M361">
            <v>0</v>
          </cell>
          <cell r="N361" t="str">
            <v>TANYA GAYE STEWART BLDG 1</v>
          </cell>
          <cell r="O361" t="str">
            <v>STEWART, TANYA-GAYE N</v>
          </cell>
          <cell r="P361" t="str">
            <v>fraites@jlab.org</v>
          </cell>
          <cell r="Q361" t="str">
            <v>KHASIDIS, MICHELE</v>
          </cell>
          <cell r="R361" t="str">
            <v>michele@jlab.org</v>
          </cell>
        </row>
        <row r="362">
          <cell r="A362" t="str">
            <v>22-D0312</v>
          </cell>
          <cell r="B362">
            <v>0</v>
          </cell>
          <cell r="C362" t="str">
            <v>S</v>
          </cell>
          <cell r="D362" t="str">
            <v>K7103</v>
          </cell>
          <cell r="E362" t="str">
            <v>MICHELE KHASIDIS</v>
          </cell>
          <cell r="F362" t="str">
            <v>UVA</v>
          </cell>
          <cell r="G362" t="str">
            <v>UNIVERSITY OF VIRGINIA</v>
          </cell>
          <cell r="H362" t="str">
            <v>O</v>
          </cell>
          <cell r="I362" t="str">
            <v>Open</v>
          </cell>
          <cell r="J362">
            <v>36000</v>
          </cell>
          <cell r="K362">
            <v>9000</v>
          </cell>
          <cell r="L362">
            <v>9000</v>
          </cell>
          <cell r="M362">
            <v>9000</v>
          </cell>
          <cell r="N362" t="str">
            <v>TANYA GAYE STEWART BLDG 1</v>
          </cell>
          <cell r="O362" t="str">
            <v>STEWART, TANYA-GAYE N</v>
          </cell>
          <cell r="P362" t="str">
            <v>fraites@jlab.org</v>
          </cell>
          <cell r="Q362" t="str">
            <v>KHASIDIS, MICHELE</v>
          </cell>
          <cell r="R362" t="str">
            <v>michele@jlab.org</v>
          </cell>
        </row>
        <row r="363">
          <cell r="A363" t="str">
            <v>22-D0339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UNITE5</v>
          </cell>
          <cell r="G363" t="str">
            <v>UNIVERSITY OF TENNESSEE</v>
          </cell>
          <cell r="H363" t="str">
            <v>O</v>
          </cell>
          <cell r="I363" t="str">
            <v>Open</v>
          </cell>
          <cell r="J363">
            <v>47064</v>
          </cell>
          <cell r="K363">
            <v>11766</v>
          </cell>
          <cell r="L363">
            <v>11766</v>
          </cell>
          <cell r="M363">
            <v>11766</v>
          </cell>
          <cell r="N363" t="str">
            <v>TANYA GAYE STEWART BLDG 1</v>
          </cell>
          <cell r="O363" t="str">
            <v>STEWART, TANYA-GAYE N</v>
          </cell>
          <cell r="P363" t="str">
            <v>fraites@jlab.org</v>
          </cell>
          <cell r="Q363" t="str">
            <v>PARKINSON, SHARON K</v>
          </cell>
          <cell r="R363" t="str">
            <v>spark@jlab.org</v>
          </cell>
        </row>
        <row r="364">
          <cell r="A364" t="str">
            <v>22-D0450</v>
          </cell>
          <cell r="B364">
            <v>0</v>
          </cell>
          <cell r="C364" t="str">
            <v>S</v>
          </cell>
          <cell r="D364" t="str">
            <v>H3243</v>
          </cell>
          <cell r="E364" t="str">
            <v>THOMAS HURATIAK</v>
          </cell>
          <cell r="F364" t="str">
            <v>AIRCRY</v>
          </cell>
          <cell r="G364" t="str">
            <v>AIR LIQUIDE CRYOGENIC</v>
          </cell>
          <cell r="H364" t="str">
            <v>O</v>
          </cell>
          <cell r="I364" t="str">
            <v>Open</v>
          </cell>
          <cell r="J364">
            <v>180710</v>
          </cell>
          <cell r="K364">
            <v>0</v>
          </cell>
          <cell r="L364">
            <v>0</v>
          </cell>
          <cell r="M364">
            <v>0</v>
          </cell>
          <cell r="N364" t="str">
            <v>BUDDY CARLTON BLDG 89_1 R</v>
          </cell>
          <cell r="O364" t="str">
            <v>CARLTON, BUDDY J</v>
          </cell>
          <cell r="P364" t="str">
            <v>carltonb@jlab.org</v>
          </cell>
          <cell r="Q364" t="str">
            <v>CREEL, JONATHAN D</v>
          </cell>
          <cell r="R364" t="str">
            <v>creel@jlab.org</v>
          </cell>
        </row>
        <row r="365">
          <cell r="A365" t="str">
            <v>22-D0462</v>
          </cell>
          <cell r="B365">
            <v>0</v>
          </cell>
          <cell r="C365" t="str">
            <v>S</v>
          </cell>
          <cell r="D365" t="str">
            <v>K7103</v>
          </cell>
          <cell r="E365" t="str">
            <v>MICHELE KHASIDIS</v>
          </cell>
          <cell r="F365" t="str">
            <v>STEVIT</v>
          </cell>
          <cell r="G365" t="str">
            <v>STEVENS INSTITUTE OF TECH</v>
          </cell>
          <cell r="H365" t="str">
            <v>O</v>
          </cell>
          <cell r="I365" t="str">
            <v>Open</v>
          </cell>
          <cell r="J365">
            <v>41526.94</v>
          </cell>
          <cell r="K365">
            <v>4427.95</v>
          </cell>
          <cell r="L365">
            <v>0</v>
          </cell>
          <cell r="M365">
            <v>0</v>
          </cell>
          <cell r="N365" t="str">
            <v>TANYA GAYE STEWART BLDG 1</v>
          </cell>
          <cell r="O365" t="str">
            <v>STEWART, TANYA-GAYE N</v>
          </cell>
          <cell r="P365" t="str">
            <v>fraites@jlab.org</v>
          </cell>
        </row>
        <row r="366">
          <cell r="A366" t="str">
            <v>22-D0507</v>
          </cell>
          <cell r="B366">
            <v>0</v>
          </cell>
          <cell r="C366" t="str">
            <v>S</v>
          </cell>
          <cell r="D366" t="str">
            <v>T3335</v>
          </cell>
          <cell r="E366" t="str">
            <v>GIUSEPPINA TENBUSCH</v>
          </cell>
          <cell r="F366" t="str">
            <v>UNIVKR</v>
          </cell>
          <cell r="G366" t="str">
            <v>UNIVERSITY OF KANSAS RC</v>
          </cell>
          <cell r="H366" t="str">
            <v>O</v>
          </cell>
          <cell r="I366" t="str">
            <v>Open</v>
          </cell>
          <cell r="J366">
            <v>36000</v>
          </cell>
          <cell r="K366">
            <v>9000</v>
          </cell>
          <cell r="L366">
            <v>0</v>
          </cell>
          <cell r="M366">
            <v>0</v>
          </cell>
          <cell r="N366" t="str">
            <v>TANYA GAYE STEWART BLDG 1</v>
          </cell>
          <cell r="O366" t="str">
            <v>STEWART, TANYA-GAYE N</v>
          </cell>
          <cell r="P366" t="str">
            <v>fraites@jlab.org</v>
          </cell>
          <cell r="Q366" t="str">
            <v>PARKINSON, SHARON K</v>
          </cell>
          <cell r="R366" t="str">
            <v>spark@jlab.org</v>
          </cell>
        </row>
        <row r="367">
          <cell r="A367" t="str">
            <v>22-D0679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QUANTO</v>
          </cell>
          <cell r="G367" t="str">
            <v>QUANTUM OPUS LLC</v>
          </cell>
          <cell r="H367" t="str">
            <v>O</v>
          </cell>
          <cell r="I367" t="str">
            <v>Open</v>
          </cell>
          <cell r="J367">
            <v>225000</v>
          </cell>
          <cell r="K367">
            <v>0</v>
          </cell>
          <cell r="L367">
            <v>0</v>
          </cell>
          <cell r="M367">
            <v>0</v>
          </cell>
          <cell r="N367" t="str">
            <v>OLIVIER PFISTER, UVA/PHYS</v>
          </cell>
          <cell r="O367" t="str">
            <v>EDWARDS, ROBERT G</v>
          </cell>
          <cell r="P367" t="str">
            <v>edwards@jlab.org</v>
          </cell>
          <cell r="Q367" t="str">
            <v>STEWART, TANYA-GAYE N</v>
          </cell>
          <cell r="R367" t="str">
            <v>fraites@jlab.org</v>
          </cell>
        </row>
        <row r="368">
          <cell r="A368" t="str">
            <v>Overall - Summary</v>
          </cell>
          <cell r="J368">
            <v>323707370.99000001</v>
          </cell>
          <cell r="K368">
            <v>310438047.88999999</v>
          </cell>
          <cell r="L368">
            <v>309386840.37</v>
          </cell>
          <cell r="M368">
            <v>309386840.37</v>
          </cell>
        </row>
        <row r="369">
          <cell r="A369" t="str">
            <v>/content/folder[@name='Production']/folder[@name='Common Reports']/folder[@name='General Access']/folder[@name='Procurement']/report[@name='Subcontract PO Status Export']</v>
          </cell>
        </row>
        <row r="370">
          <cell r="A370" t="str">
            <v>/content/folder[@name='Production']/folder[@name='Packages']/folder[@name='General Access']/package[@name='Purchasing CP']/model[@name='2020-06-25T11:36:22.174Z']</v>
          </cell>
        </row>
        <row r="372">
          <cell r="A372" t="str">
            <v>March 31, 2022 : 9:05:03 AM</v>
          </cell>
          <cell r="J372" t="str">
            <v>Page: 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5"/>
  <sheetViews>
    <sheetView tabSelected="1" zoomScale="110" zoomScaleNormal="110" workbookViewId="0">
      <pane xSplit="3" ySplit="3" topLeftCell="K22" activePane="bottomRight" state="frozen"/>
      <selection pane="topRight" activeCell="D1" sqref="D1"/>
      <selection pane="bottomLeft" activeCell="A4" sqref="A4"/>
      <selection pane="bottomRight" sqref="A1:N85"/>
    </sheetView>
  </sheetViews>
  <sheetFormatPr defaultColWidth="12.42578125" defaultRowHeight="12.75" x14ac:dyDescent="0.2"/>
  <cols>
    <col min="1" max="1" width="15.42578125" style="2" customWidth="1"/>
    <col min="2" max="2" width="11.28515625" style="2" customWidth="1"/>
    <col min="3" max="3" width="23.140625" style="2" customWidth="1"/>
    <col min="4" max="7" width="13.140625" style="2" customWidth="1"/>
    <col min="8" max="8" width="14.42578125" style="2" customWidth="1"/>
    <col min="9" max="9" width="23.140625" style="2" customWidth="1"/>
    <col min="10" max="10" width="23.140625" style="2" hidden="1" customWidth="1"/>
    <col min="11" max="14" width="23.140625" style="5" customWidth="1"/>
    <col min="15" max="16384" width="12.42578125" style="7"/>
  </cols>
  <sheetData>
    <row r="1" spans="1:14" ht="23.25" x14ac:dyDescent="0.35">
      <c r="A1" s="1" t="s">
        <v>0</v>
      </c>
      <c r="E1" s="3" t="s">
        <v>1</v>
      </c>
      <c r="F1" s="4">
        <v>44651</v>
      </c>
      <c r="L1" s="4"/>
      <c r="M1" s="6"/>
      <c r="N1" s="6"/>
    </row>
    <row r="2" spans="1:14" ht="16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3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4.95" customHeight="1" x14ac:dyDescent="0.2">
      <c r="A4" s="12" t="s">
        <v>87</v>
      </c>
      <c r="B4" s="12" t="str">
        <f>VLOOKUP(A4,[1]CER_SubK_PO_Status!A:N,9,FALSE)</f>
        <v>Open</v>
      </c>
      <c r="C4" s="12" t="str">
        <f>VLOOKUP(A4,[1]CER_SubK_PO_Status!A:N,7,FALSE)</f>
        <v>ADVANCED ENG SYSTEMS LLC</v>
      </c>
      <c r="D4" s="13">
        <f>VLOOKUP(A4,[1]CER_SubK_PO_Status!A:N,10,FALSE)/1000</f>
        <v>649.70000000000005</v>
      </c>
      <c r="E4" s="13">
        <f>VLOOKUP(A4,[1]CER_SubK_PO_Status!A:N,11,FALSE)/1000</f>
        <v>90.65</v>
      </c>
      <c r="F4" s="13">
        <f>VLOOKUP(A4,[1]CER_SubK_PO_Status!A:N,12,FALSE)/1000</f>
        <v>0</v>
      </c>
      <c r="G4" s="13">
        <f t="shared" ref="G4:G69" si="0">D4-E4</f>
        <v>559.05000000000007</v>
      </c>
      <c r="H4" s="13">
        <f t="shared" ref="H4:H69" si="1">D4-F4</f>
        <v>649.70000000000005</v>
      </c>
      <c r="I4" s="12" t="str">
        <f>VLOOKUP(A4,[1]CER_SubK_PO_Status!A:N,5,FALSE)</f>
        <v>DEANN MADDOX</v>
      </c>
      <c r="J4" s="14" t="str">
        <f>RIGHT(VLOOKUP(A4,[1]CER_SubK_PO_Status!A:N,14,FALSE),LEN(VLOOKUP(A4,[1]CER_SubK_PO_Status!A:N,14,FALSE))-SEARCH("/",VLOOKUP(A4,[1]CER_SubK_PO_Status!A:N,14,FALSE),1))</f>
        <v>S YANG</v>
      </c>
      <c r="K4" s="15" t="str">
        <f>IF(VLOOKUP(A4,[1]CER_SubK_PO_Status!A:R,15,FALSE)=0,"",VLOOKUP(A4,[1]CER_SubK_PO_Status!A:R,15,FALSE))</f>
        <v>YANG, SHUO</v>
      </c>
      <c r="L4" s="15" t="str">
        <f>IF(VLOOKUP(A4,[1]CER_SubK_PO_Status!A:R,17,FALSE)=0,"",VLOOKUP(A4,[1]CER_SubK_PO_Status!A:R,17,FALSE))</f>
        <v>WIELICZKO, JOHN</v>
      </c>
      <c r="M4" s="15" t="str">
        <f>IF(VLOOKUP(A4,[1]CER_SubK_PO_Status!A:R,16,FALSE)=0,"",VLOOKUP(A4,[1]CER_SubK_PO_Status!A:R,16,FALSE))</f>
        <v>syang@jlab.org</v>
      </c>
      <c r="N4" s="15" t="str">
        <f>IF(VLOOKUP(A4,[1]CER_SubK_PO_Status!A:R,18,FALSE)=0,"",VLOOKUP(A4,[1]CER_SubK_PO_Status!A:R,18,FALSE))</f>
        <v>johnw@jlab.org</v>
      </c>
    </row>
    <row r="5" spans="1:14" ht="54.95" customHeight="1" x14ac:dyDescent="0.2">
      <c r="A5" s="12" t="s">
        <v>88</v>
      </c>
      <c r="B5" s="12" t="str">
        <f>VLOOKUP(A5,[1]CER_SubK_PO_Status!A:N,9,FALSE)</f>
        <v>Open</v>
      </c>
      <c r="C5" s="12" t="str">
        <f>VLOOKUP(A5,[1]CER_SubK_PO_Status!A:N,7,FALSE)</f>
        <v>AIR LIQUIDE CRYOGENIC</v>
      </c>
      <c r="D5" s="13">
        <f>VLOOKUP(A5,[1]CER_SubK_PO_Status!A:N,10,FALSE)/1000</f>
        <v>180.71</v>
      </c>
      <c r="E5" s="13">
        <f>VLOOKUP(A5,[1]CER_SubK_PO_Status!A:N,11,FALSE)/1000</f>
        <v>0</v>
      </c>
      <c r="F5" s="13">
        <f>VLOOKUP(A5,[1]CER_SubK_PO_Status!A:N,12,FALSE)/1000</f>
        <v>0</v>
      </c>
      <c r="G5" s="13">
        <f t="shared" si="0"/>
        <v>180.71</v>
      </c>
      <c r="H5" s="13">
        <f t="shared" si="1"/>
        <v>180.71</v>
      </c>
      <c r="I5" s="12" t="str">
        <f>VLOOKUP(A5,[1]CER_SubK_PO_Status!A:N,5,FALSE)</f>
        <v>THOMAS HURATIAK</v>
      </c>
      <c r="J5" s="14" t="e">
        <f>RIGHT(VLOOKUP(A5,[1]CER_SubK_PO_Status!A:N,14,FALSE),LEN(VLOOKUP(A5,[1]CER_SubK_PO_Status!A:N,14,FALSE))-SEARCH("/",VLOOKUP(A5,[1]CER_SubK_PO_Status!A:N,14,FALSE),1))</f>
        <v>#VALUE!</v>
      </c>
      <c r="K5" s="15" t="str">
        <f>IF(VLOOKUP(A5,[1]CER_SubK_PO_Status!A:R,15,FALSE)=0,"",VLOOKUP(A5,[1]CER_SubK_PO_Status!A:R,15,FALSE))</f>
        <v>CARLTON, BUDDY J</v>
      </c>
      <c r="L5" s="15" t="str">
        <f>IF(VLOOKUP(A5,[1]CER_SubK_PO_Status!A:R,17,FALSE)=0,"",VLOOKUP(A5,[1]CER_SubK_PO_Status!A:R,17,FALSE))</f>
        <v>CREEL, JONATHAN D</v>
      </c>
      <c r="M5" s="15" t="str">
        <f>IF(VLOOKUP(A5,[1]CER_SubK_PO_Status!A:R,16,FALSE)=0,"",VLOOKUP(A5,[1]CER_SubK_PO_Status!A:R,16,FALSE))</f>
        <v>carltonb@jlab.org</v>
      </c>
      <c r="N5" s="15" t="str">
        <f>IF(VLOOKUP(A5,[1]CER_SubK_PO_Status!A:R,18,FALSE)=0,"",VLOOKUP(A5,[1]CER_SubK_PO_Status!A:R,18,FALSE))</f>
        <v>creel@jlab.org</v>
      </c>
    </row>
    <row r="6" spans="1:14" ht="54.95" customHeight="1" x14ac:dyDescent="0.2">
      <c r="A6" s="12" t="s">
        <v>89</v>
      </c>
      <c r="B6" s="12" t="str">
        <f>VLOOKUP(A6,[1]CER_SubK_PO_Status!A:N,9,FALSE)</f>
        <v>Open</v>
      </c>
      <c r="C6" s="12" t="str">
        <f>VLOOKUP(A6,[1]CER_SubK_PO_Status!A:N,7,FALSE)</f>
        <v>ALLCON CONTRACTING CORP</v>
      </c>
      <c r="D6" s="13">
        <f>VLOOKUP(A6,[1]CER_SubK_PO_Status!A:N,10,FALSE)/1000</f>
        <v>357.92200000000003</v>
      </c>
      <c r="E6" s="13">
        <f>VLOOKUP(A6,[1]CER_SubK_PO_Status!A:N,11,FALSE)/1000</f>
        <v>35.792199999999994</v>
      </c>
      <c r="F6" s="13">
        <f>VLOOKUP(A6,[1]CER_SubK_PO_Status!A:N,12,FALSE)/1000</f>
        <v>0</v>
      </c>
      <c r="G6" s="13">
        <f t="shared" si="0"/>
        <v>322.12980000000005</v>
      </c>
      <c r="H6" s="13">
        <f t="shared" si="1"/>
        <v>357.92200000000003</v>
      </c>
      <c r="I6" s="12" t="str">
        <f>VLOOKUP(A6,[1]CER_SubK_PO_Status!A:N,5,FALSE)</f>
        <v>MELISSA TORRES</v>
      </c>
      <c r="J6" s="14" t="str">
        <f>RIGHT(VLOOKUP(A6,[1]CER_SubK_PO_Status!A:N,14,FALSE),LEN(VLOOKUP(A6,[1]CER_SubK_PO_Status!A:N,14,FALSE))-SEARCH("/",VLOOKUP(A6,[1]CER_SubK_PO_Status!A:N,14,FALSE),1))</f>
        <v>TOM RENZO</v>
      </c>
      <c r="K6" s="15" t="str">
        <f>IF(VLOOKUP(A6,[1]CER_SubK_PO_Status!A:R,15,FALSE)=0,"",VLOOKUP(A6,[1]CER_SubK_PO_Status!A:R,15,FALSE))</f>
        <v>FRIES, RUSSELL W</v>
      </c>
      <c r="L6" s="15" t="str">
        <f>IF(VLOOKUP(A6,[1]CER_SubK_PO_Status!A:R,17,FALSE)=0,"",VLOOKUP(A6,[1]CER_SubK_PO_Status!A:R,17,FALSE))</f>
        <v>TORRES, MELISSA C</v>
      </c>
      <c r="M6" s="15" t="str">
        <f>IF(VLOOKUP(A6,[1]CER_SubK_PO_Status!A:R,16,FALSE)=0,"",VLOOKUP(A6,[1]CER_SubK_PO_Status!A:R,16,FALSE))</f>
        <v>rfries@jlab.org</v>
      </c>
      <c r="N6" s="15" t="str">
        <f>IF(VLOOKUP(A6,[1]CER_SubK_PO_Status!A:R,18,FALSE)=0,"",VLOOKUP(A6,[1]CER_SubK_PO_Status!A:R,18,FALSE))</f>
        <v>torres@jlab.org</v>
      </c>
    </row>
    <row r="7" spans="1:14" ht="57.75" customHeight="1" x14ac:dyDescent="0.2">
      <c r="A7" s="12" t="s">
        <v>16</v>
      </c>
      <c r="B7" s="12" t="str">
        <f>VLOOKUP(A7,[1]CER_SubK_PO_Status!A:N,9,FALSE)</f>
        <v>Open</v>
      </c>
      <c r="C7" s="12" t="str">
        <f>VLOOKUP(A7,[1]CER_SubK_PO_Status!A:N,7,FALSE)</f>
        <v>ANDERSON &amp; DAHLEN INC</v>
      </c>
      <c r="D7" s="13">
        <f>VLOOKUP(A7,[1]CER_SubK_PO_Status!A:N,10,FALSE)/1000</f>
        <v>1573.62598</v>
      </c>
      <c r="E7" s="13">
        <f>VLOOKUP(A7,[1]CER_SubK_PO_Status!A:N,11,FALSE)/1000</f>
        <v>1353.86598</v>
      </c>
      <c r="F7" s="13">
        <f>VLOOKUP(A7,[1]CER_SubK_PO_Status!A:N,12,FALSE)/1000</f>
        <v>1353.86598</v>
      </c>
      <c r="G7" s="13">
        <f t="shared" si="0"/>
        <v>219.76</v>
      </c>
      <c r="H7" s="13">
        <f t="shared" si="1"/>
        <v>219.76</v>
      </c>
      <c r="I7" s="12" t="str">
        <f>VLOOKUP(A7,[1]CER_SubK_PO_Status!A:N,5,FALSE)</f>
        <v>CHARLIE KIM</v>
      </c>
      <c r="J7" s="14" t="str">
        <f>RIGHT(VLOOKUP(A7,[1]CER_SubK_PO_Status!A:N,14,FALSE),LEN(VLOOKUP(A7,[1]CER_SubK_PO_Status!A:N,14,FALSE))-SEARCH("/",VLOOKUP(A7,[1]CER_SubK_PO_Status!A:N,14,FALSE),1))</f>
        <v>MARCHLIK</v>
      </c>
      <c r="K7" s="15" t="str">
        <f>IF(VLOOKUP(A7,[1]CER_SubK_PO_Status!A:R,15,FALSE)=0,"",VLOOKUP(A7,[1]CER_SubK_PO_Status!A:R,15,FALSE))</f>
        <v>MARCHLIK, MATTHEW J</v>
      </c>
      <c r="L7" s="15" t="str">
        <f>IF(VLOOKUP(A7,[1]CER_SubK_PO_Status!A:R,17,FALSE)=0,"",VLOOKUP(A7,[1]CER_SubK_PO_Status!A:R,17,FALSE))</f>
        <v>HUQUE, NAEEM A</v>
      </c>
      <c r="M7" s="15" t="str">
        <f>IF(VLOOKUP(A7,[1]CER_SubK_PO_Status!A:R,16,FALSE)=0,"",VLOOKUP(A7,[1]CER_SubK_PO_Status!A:R,16,FALSE))</f>
        <v>marchlik@jlab.org</v>
      </c>
      <c r="N7" s="15" t="str">
        <f>IF(VLOOKUP(A7,[1]CER_SubK_PO_Status!A:R,18,FALSE)=0,"",VLOOKUP(A7,[1]CER_SubK_PO_Status!A:R,18,FALSE))</f>
        <v>huque@jlab.org</v>
      </c>
    </row>
    <row r="8" spans="1:14" ht="57.75" customHeight="1" x14ac:dyDescent="0.2">
      <c r="A8" s="12" t="s">
        <v>90</v>
      </c>
      <c r="B8" s="12" t="str">
        <f>VLOOKUP(A8,[1]CER_SubK_PO_Status!A:N,9,FALSE)</f>
        <v>Open</v>
      </c>
      <c r="C8" s="12" t="str">
        <f>VLOOKUP(A8,[1]CER_SubK_PO_Status!A:N,7,FALSE)</f>
        <v>BENNU GROUP INC</v>
      </c>
      <c r="D8" s="13">
        <f>VLOOKUP(A8,[1]CER_SubK_PO_Status!A:N,10,FALSE)/1000</f>
        <v>114.38200000000001</v>
      </c>
      <c r="E8" s="13">
        <f>VLOOKUP(A8,[1]CER_SubK_PO_Status!A:N,11,FALSE)/1000</f>
        <v>86.835030000000003</v>
      </c>
      <c r="F8" s="13">
        <f>VLOOKUP(A8,[1]CER_SubK_PO_Status!A:N,12,FALSE)/1000</f>
        <v>56.941000000000003</v>
      </c>
      <c r="G8" s="13">
        <f t="shared" si="0"/>
        <v>27.546970000000002</v>
      </c>
      <c r="H8" s="13">
        <f t="shared" si="1"/>
        <v>57.441000000000003</v>
      </c>
      <c r="I8" s="12" t="str">
        <f>VLOOKUP(A8,[1]CER_SubK_PO_Status!A:N,5,FALSE)</f>
        <v>THOMAS HURATIAK</v>
      </c>
      <c r="J8" s="14" t="str">
        <f>RIGHT(VLOOKUP(A8,[1]CER_SubK_PO_Status!A:N,14,FALSE),LEN(VLOOKUP(A8,[1]CER_SubK_PO_Status!A:N,14,FALSE))-SEARCH("/",VLOOKUP(A8,[1]CER_SubK_PO_Status!A:N,14,FALSE),1))</f>
        <v>B WISSLER</v>
      </c>
      <c r="K8" s="15" t="str">
        <f>IF(VLOOKUP(A8,[1]CER_SubK_PO_Status!A:R,15,FALSE)=0,"",VLOOKUP(A8,[1]CER_SubK_PO_Status!A:R,15,FALSE))</f>
        <v>PERRY, CHRISTOPHER C</v>
      </c>
      <c r="L8" s="15" t="str">
        <f>IF(VLOOKUP(A8,[1]CER_SubK_PO_Status!A:R,17,FALSE)=0,"",VLOOKUP(A8,[1]CER_SubK_PO_Status!A:R,17,FALSE))</f>
        <v/>
      </c>
      <c r="M8" s="15" t="str">
        <f>IF(VLOOKUP(A8,[1]CER_SubK_PO_Status!A:R,16,FALSE)=0,"",VLOOKUP(A8,[1]CER_SubK_PO_Status!A:R,16,FALSE))</f>
        <v>cperry@jlab.org</v>
      </c>
      <c r="N8" s="15" t="str">
        <f>IF(VLOOKUP(A8,[1]CER_SubK_PO_Status!A:R,18,FALSE)=0,"",VLOOKUP(A8,[1]CER_SubK_PO_Status!A:R,18,FALSE))</f>
        <v/>
      </c>
    </row>
    <row r="9" spans="1:14" ht="57.75" customHeight="1" x14ac:dyDescent="0.2">
      <c r="A9" s="12" t="s">
        <v>17</v>
      </c>
      <c r="B9" s="12" t="str">
        <f>VLOOKUP(A9,[1]CER_SubK_PO_Status!A:N,9,FALSE)</f>
        <v>Open</v>
      </c>
      <c r="C9" s="12" t="str">
        <f>VLOOKUP(A9,[1]CER_SubK_PO_Status!A:N,7,FALSE)</f>
        <v>CENTRE NATIONALE DE</v>
      </c>
      <c r="D9" s="13">
        <f>VLOOKUP(A9,[1]CER_SubK_PO_Status!A:N,10,FALSE)/1000</f>
        <v>36</v>
      </c>
      <c r="E9" s="13">
        <f>VLOOKUP(A9,[1]CER_SubK_PO_Status!A:N,11,FALSE)/1000</f>
        <v>36</v>
      </c>
      <c r="F9" s="13">
        <f>VLOOKUP(A9,[1]CER_SubK_PO_Status!A:N,12,FALSE)/1000</f>
        <v>0</v>
      </c>
      <c r="G9" s="13">
        <f t="shared" si="0"/>
        <v>0</v>
      </c>
      <c r="H9" s="13">
        <f t="shared" si="1"/>
        <v>36</v>
      </c>
      <c r="I9" s="12" t="str">
        <f>VLOOKUP(A9,[1]CER_SubK_PO_Status!A:N,5,FALSE)</f>
        <v>GIUSEPPINA TENBUSCH</v>
      </c>
      <c r="J9" s="14" t="str">
        <f>RIGHT(VLOOKUP(A9,[1]CER_SubK_PO_Status!A:N,14,FALSE),LEN(VLOOKUP(A9,[1]CER_SubK_PO_Status!A:N,14,FALSE))-SEARCH("/",VLOOKUP(A9,[1]CER_SubK_PO_Status!A:N,14,FALSE),1))</f>
        <v>TANYA STEWART</v>
      </c>
      <c r="K9" s="15" t="str">
        <f>IF(VLOOKUP(A9,[1]CER_SubK_PO_Status!A:R,15,FALSE)=0,"",VLOOKUP(A9,[1]CER_SubK_PO_Status!A:R,15,FALSE))</f>
        <v>STEWART, TANYA-GAYE N</v>
      </c>
      <c r="L9" s="15" t="str">
        <f>IF(VLOOKUP(A9,[1]CER_SubK_PO_Status!A:R,17,FALSE)=0,"",VLOOKUP(A9,[1]CER_SubK_PO_Status!A:R,17,FALSE))</f>
        <v>PARKINSON, SHARON K</v>
      </c>
      <c r="M9" s="15" t="str">
        <f>IF(VLOOKUP(A9,[1]CER_SubK_PO_Status!A:R,16,FALSE)=0,"",VLOOKUP(A9,[1]CER_SubK_PO_Status!A:R,16,FALSE))</f>
        <v>fraites@jlab.org</v>
      </c>
      <c r="N9" s="15" t="str">
        <f>IF(VLOOKUP(A9,[1]CER_SubK_PO_Status!A:R,18,FALSE)=0,"",VLOOKUP(A9,[1]CER_SubK_PO_Status!A:R,18,FALSE))</f>
        <v>spark@jlab.org</v>
      </c>
    </row>
    <row r="10" spans="1:14" ht="60" customHeight="1" x14ac:dyDescent="0.2">
      <c r="A10" s="12" t="s">
        <v>91</v>
      </c>
      <c r="B10" s="12" t="str">
        <f>VLOOKUP(A10,[1]CER_SubK_PO_Status!A:N,9,FALSE)</f>
        <v>Open</v>
      </c>
      <c r="C10" s="12" t="str">
        <f>VLOOKUP(A10,[1]CER_SubK_PO_Status!A:N,7,FALSE)</f>
        <v xml:space="preserve">CHART ENERGY &amp; CHEMICALS </v>
      </c>
      <c r="D10" s="13">
        <f>VLOOKUP(A10,[1]CER_SubK_PO_Status!A:N,10,FALSE)/1000</f>
        <v>84</v>
      </c>
      <c r="E10" s="13">
        <f>VLOOKUP(A10,[1]CER_SubK_PO_Status!A:N,11,FALSE)/1000</f>
        <v>16.8</v>
      </c>
      <c r="F10" s="13">
        <f>VLOOKUP(A10,[1]CER_SubK_PO_Status!A:N,12,FALSE)/1000</f>
        <v>16.8</v>
      </c>
      <c r="G10" s="13">
        <f t="shared" si="0"/>
        <v>67.2</v>
      </c>
      <c r="H10" s="13">
        <f t="shared" si="1"/>
        <v>67.2</v>
      </c>
      <c r="I10" s="12" t="str">
        <f>VLOOKUP(A10,[1]CER_SubK_PO_Status!A:N,5,FALSE)</f>
        <v>DEANN MADDOX</v>
      </c>
      <c r="J10" s="14" t="str">
        <f>RIGHT(VLOOKUP(A10,[1]CER_SubK_PO_Status!A:N,14,FALSE),LEN(VLOOKUP(A10,[1]CER_SubK_PO_Status!A:N,14,FALSE))-SEARCH("/",VLOOKUP(A10,[1]CER_SubK_PO_Status!A:N,14,FALSE),1))</f>
        <v>MASTRACCI Bdg89</v>
      </c>
      <c r="K10" s="15" t="str">
        <f>IF(VLOOKUP(A10,[1]CER_SubK_PO_Status!A:R,15,FALSE)=0,"",VLOOKUP(A10,[1]CER_SubK_PO_Status!A:R,15,FALSE))</f>
        <v>MASTRACCI, BRIAN P</v>
      </c>
      <c r="L10" s="15" t="str">
        <f>IF(VLOOKUP(A10,[1]CER_SubK_PO_Status!A:R,17,FALSE)=0,"",VLOOKUP(A10,[1]CER_SubK_PO_Status!A:R,17,FALSE))</f>
        <v>YANG, SHUO</v>
      </c>
      <c r="M10" s="15" t="str">
        <f>IF(VLOOKUP(A10,[1]CER_SubK_PO_Status!A:R,16,FALSE)=0,"",VLOOKUP(A10,[1]CER_SubK_PO_Status!A:R,16,FALSE))</f>
        <v>brianm@jlab.org</v>
      </c>
      <c r="N10" s="15" t="str">
        <f>IF(VLOOKUP(A10,[1]CER_SubK_PO_Status!A:R,18,FALSE)=0,"",VLOOKUP(A10,[1]CER_SubK_PO_Status!A:R,18,FALSE))</f>
        <v>syang@jlab.org</v>
      </c>
    </row>
    <row r="11" spans="1:14" ht="54.95" customHeight="1" x14ac:dyDescent="0.2">
      <c r="A11" s="12" t="s">
        <v>18</v>
      </c>
      <c r="B11" s="12" t="str">
        <f>VLOOKUP(A11,[1]CER_SubK_PO_Status!A:N,9,FALSE)</f>
        <v>Open</v>
      </c>
      <c r="C11" s="12" t="str">
        <f>VLOOKUP(A11,[1]CER_SubK_PO_Status!A:N,7,FALSE)</f>
        <v>CHRISTOPHER NEWPORT UNIV.</v>
      </c>
      <c r="D11" s="13">
        <f>VLOOKUP(A11,[1]CER_SubK_PO_Status!A:N,10,FALSE)/1000</f>
        <v>361.66935999999998</v>
      </c>
      <c r="E11" s="13">
        <f>VLOOKUP(A11,[1]CER_SubK_PO_Status!A:N,11,FALSE)/1000</f>
        <v>303.23503999999997</v>
      </c>
      <c r="F11" s="13">
        <f>VLOOKUP(A11,[1]CER_SubK_PO_Status!A:N,12,FALSE)/1000</f>
        <v>208.63373000000001</v>
      </c>
      <c r="G11" s="13">
        <f>D11-E11</f>
        <v>58.434320000000014</v>
      </c>
      <c r="H11" s="13">
        <f>D11-F11</f>
        <v>153.03562999999997</v>
      </c>
      <c r="I11" s="12" t="str">
        <f>VLOOKUP(A11,[1]CER_SubK_PO_Status!A:N,5,FALSE)</f>
        <v>MICHELE KHASIDIS</v>
      </c>
      <c r="J11" s="14" t="str">
        <f>RIGHT(VLOOKUP(A11,[1]CER_SubK_PO_Status!A:N,14,FALSE),LEN(VLOOKUP(A11,[1]CER_SubK_PO_Status!A:N,14,FALSE))-SEARCH("/",VLOOKUP(A11,[1]CER_SubK_PO_Status!A:N,14,FALSE),1))</f>
        <v>TANYA STEWART</v>
      </c>
      <c r="K11" s="15" t="str">
        <f>IF(VLOOKUP(A11,[1]CER_SubK_PO_Status!A:R,15,FALSE)=0,"",VLOOKUP(A11,[1]CER_SubK_PO_Status!A:R,15,FALSE))</f>
        <v>STEWART, TANYA-GAYE N</v>
      </c>
      <c r="L11" s="15" t="str">
        <f>IF(VLOOKUP(A11,[1]CER_SubK_PO_Status!A:R,17,FALSE)=0,"",VLOOKUP(A11,[1]CER_SubK_PO_Status!A:R,17,FALSE))</f>
        <v/>
      </c>
      <c r="M11" s="15" t="str">
        <f>IF(VLOOKUP(A11,[1]CER_SubK_PO_Status!A:R,16,FALSE)=0,"",VLOOKUP(A11,[1]CER_SubK_PO_Status!A:R,16,FALSE))</f>
        <v>fraites@jlab.org</v>
      </c>
      <c r="N11" s="15" t="str">
        <f>IF(VLOOKUP(A11,[1]CER_SubK_PO_Status!A:R,18,FALSE)=0,"",VLOOKUP(A11,[1]CER_SubK_PO_Status!A:R,18,FALSE))</f>
        <v/>
      </c>
    </row>
    <row r="12" spans="1:14" ht="54.95" customHeight="1" x14ac:dyDescent="0.2">
      <c r="A12" s="12" t="s">
        <v>19</v>
      </c>
      <c r="B12" s="12" t="str">
        <f>VLOOKUP(A12,[1]CER_SubK_PO_Status!A:N,9,FALSE)</f>
        <v>Open</v>
      </c>
      <c r="C12" s="12" t="str">
        <f>VLOOKUP(A12,[1]CER_SubK_PO_Status!A:N,7,FALSE)</f>
        <v>CLARK NEXSEN INC</v>
      </c>
      <c r="D12" s="13">
        <f>VLOOKUP(A12,[1]CER_SubK_PO_Status!A:N,10,FALSE)/1000</f>
        <v>3386.9227000000001</v>
      </c>
      <c r="E12" s="13">
        <f>VLOOKUP(A12,[1]CER_SubK_PO_Status!A:N,11,FALSE)/1000</f>
        <v>3077.9005699999998</v>
      </c>
      <c r="F12" s="13">
        <f>VLOOKUP(A12,[1]CER_SubK_PO_Status!A:N,12,FALSE)/1000</f>
        <v>3070.1104999999998</v>
      </c>
      <c r="G12" s="13">
        <f t="shared" si="0"/>
        <v>309.02213000000029</v>
      </c>
      <c r="H12" s="13">
        <f t="shared" si="1"/>
        <v>316.8122000000003</v>
      </c>
      <c r="I12" s="12" t="str">
        <f>VLOOKUP(A12,[1]CER_SubK_PO_Status!A:N,5,FALSE)</f>
        <v>MELISSA TORRES</v>
      </c>
      <c r="J12" s="14" t="str">
        <f>RIGHT(VLOOKUP(A12,[1]CER_SubK_PO_Status!A:N,14,FALSE),LEN(VLOOKUP(A12,[1]CER_SubK_PO_Status!A:N,14,FALSE))-SEARCH("/",VLOOKUP(A12,[1]CER_SubK_PO_Status!A:N,14,FALSE),1))</f>
        <v>C SNETTER</v>
      </c>
      <c r="K12" s="15" t="str">
        <f>IF(VLOOKUP(A12,[1]CER_SubK_PO_Status!A:R,15,FALSE)=0,"",VLOOKUP(A12,[1]CER_SubK_PO_Status!A:R,15,FALSE))</f>
        <v>SNETTER, CHRISTINE F</v>
      </c>
      <c r="L12" s="15" t="str">
        <f>IF(VLOOKUP(A12,[1]CER_SubK_PO_Status!A:R,17,FALSE)=0,"",VLOOKUP(A12,[1]CER_SubK_PO_Status!A:R,17,FALSE))</f>
        <v>TORRES, MELISSA C</v>
      </c>
      <c r="M12" s="15" t="str">
        <f>IF(VLOOKUP(A12,[1]CER_SubK_PO_Status!A:R,16,FALSE)=0,"",VLOOKUP(A12,[1]CER_SubK_PO_Status!A:R,16,FALSE))</f>
        <v>snetter@jlab.org</v>
      </c>
      <c r="N12" s="15" t="str">
        <f>IF(VLOOKUP(A12,[1]CER_SubK_PO_Status!A:R,18,FALSE)=0,"",VLOOKUP(A12,[1]CER_SubK_PO_Status!A:R,18,FALSE))</f>
        <v>torres@jlab.org</v>
      </c>
    </row>
    <row r="13" spans="1:14" ht="54.95" customHeight="1" x14ac:dyDescent="0.2">
      <c r="A13" s="12" t="s">
        <v>20</v>
      </c>
      <c r="B13" s="12" t="str">
        <f>VLOOKUP(A13,[1]CER_SubK_PO_Status!A:N,9,FALSE)</f>
        <v>Open</v>
      </c>
      <c r="C13" s="12" t="str">
        <f>VLOOKUP(A13,[1]CER_SubK_PO_Status!A:N,7,FALSE)</f>
        <v>COLLEGE OF WILLIAM &amp; MARY</v>
      </c>
      <c r="D13" s="13">
        <f>VLOOKUP(A13,[1]CER_SubK_PO_Status!A:N,10,FALSE)/1000</f>
        <v>777.27319</v>
      </c>
      <c r="E13" s="13">
        <f>VLOOKUP(A13,[1]CER_SubK_PO_Status!A:N,11,FALSE)/1000</f>
        <v>725.02319</v>
      </c>
      <c r="F13" s="13">
        <f>VLOOKUP(A13,[1]CER_SubK_PO_Status!A:N,12,FALSE)/1000</f>
        <v>696.46573000000001</v>
      </c>
      <c r="G13" s="13">
        <f t="shared" si="0"/>
        <v>52.25</v>
      </c>
      <c r="H13" s="13">
        <f t="shared" si="1"/>
        <v>80.807459999999992</v>
      </c>
      <c r="I13" s="12" t="str">
        <f>VLOOKUP(A13,[1]CER_SubK_PO_Status!A:N,5,FALSE)</f>
        <v>DENISE LEARY-STITH</v>
      </c>
      <c r="J13" s="14" t="str">
        <f>RIGHT(VLOOKUP(A13,[1]CER_SubK_PO_Status!A:N,14,FALSE),LEN(VLOOKUP(A13,[1]CER_SubK_PO_Status!A:N,14,FALSE))-SEARCH("/",VLOOKUP(A13,[1]CER_SubK_PO_Status!A:N,14,FALSE),1))</f>
        <v>TANYA STEWART</v>
      </c>
      <c r="K13" s="15" t="str">
        <f>IF(VLOOKUP(A13,[1]CER_SubK_PO_Status!A:R,15,FALSE)=0,"",VLOOKUP(A13,[1]CER_SubK_PO_Status!A:R,15,FALSE))</f>
        <v>STEWART, TANYA-GAYE N</v>
      </c>
      <c r="L13" s="15" t="str">
        <f>IF(VLOOKUP(A13,[1]CER_SubK_PO_Status!A:R,17,FALSE)=0,"",VLOOKUP(A13,[1]CER_SubK_PO_Status!A:R,17,FALSE))</f>
        <v>PARKINSON, SHARON K</v>
      </c>
      <c r="M13" s="15" t="str">
        <f>IF(VLOOKUP(A13,[1]CER_SubK_PO_Status!A:R,16,FALSE)=0,"",VLOOKUP(A13,[1]CER_SubK_PO_Status!A:R,16,FALSE))</f>
        <v>fraites@jlab.org</v>
      </c>
      <c r="N13" s="15" t="str">
        <f>IF(VLOOKUP(A13,[1]CER_SubK_PO_Status!A:R,18,FALSE)=0,"",VLOOKUP(A13,[1]CER_SubK_PO_Status!A:R,18,FALSE))</f>
        <v>spark@jlab.org</v>
      </c>
    </row>
    <row r="14" spans="1:14" ht="54.95" customHeight="1" x14ac:dyDescent="0.2">
      <c r="A14" s="12" t="s">
        <v>21</v>
      </c>
      <c r="B14" s="12" t="str">
        <f>VLOOKUP(A14,[1]CER_SubK_PO_Status!A:N,9,FALSE)</f>
        <v>Open</v>
      </c>
      <c r="C14" s="12" t="str">
        <f>VLOOKUP(A14,[1]CER_SubK_PO_Status!A:N,7,FALSE)</f>
        <v>COLLEGE OF WILLIAM &amp; MARY</v>
      </c>
      <c r="D14" s="13">
        <f>VLOOKUP(A14,[1]CER_SubK_PO_Status!A:N,10,FALSE)/1000</f>
        <v>1466.4088000000002</v>
      </c>
      <c r="E14" s="13">
        <f>VLOOKUP(A14,[1]CER_SubK_PO_Status!A:N,11,FALSE)/1000</f>
        <v>1374.1554199999998</v>
      </c>
      <c r="F14" s="13">
        <f>VLOOKUP(A14,[1]CER_SubK_PO_Status!A:N,12,FALSE)/1000</f>
        <v>1316.0373100000002</v>
      </c>
      <c r="G14" s="13">
        <f t="shared" si="0"/>
        <v>92.253380000000334</v>
      </c>
      <c r="H14" s="13">
        <f t="shared" si="1"/>
        <v>150.37148999999999</v>
      </c>
      <c r="I14" s="12" t="str">
        <f>VLOOKUP(A14,[1]CER_SubK_PO_Status!A:N,5,FALSE)</f>
        <v>DENISE LEARY-STITH</v>
      </c>
      <c r="J14" s="14" t="str">
        <f>RIGHT(VLOOKUP(A14,[1]CER_SubK_PO_Status!A:N,14,FALSE),LEN(VLOOKUP(A14,[1]CER_SubK_PO_Status!A:N,14,FALSE))-SEARCH("/",VLOOKUP(A14,[1]CER_SubK_PO_Status!A:N,14,FALSE),1))</f>
        <v>TANYA STEWART</v>
      </c>
      <c r="K14" s="15" t="str">
        <f>IF(VLOOKUP(A14,[1]CER_SubK_PO_Status!A:R,15,FALSE)=0,"",VLOOKUP(A14,[1]CER_SubK_PO_Status!A:R,15,FALSE))</f>
        <v>STEWART, TANYA-GAYE N</v>
      </c>
      <c r="L14" s="15" t="str">
        <f>IF(VLOOKUP(A14,[1]CER_SubK_PO_Status!A:R,17,FALSE)=0,"",VLOOKUP(A14,[1]CER_SubK_PO_Status!A:R,17,FALSE))</f>
        <v>PARKINSON, SHARON K</v>
      </c>
      <c r="M14" s="15" t="str">
        <f>IF(VLOOKUP(A14,[1]CER_SubK_PO_Status!A:R,16,FALSE)=0,"",VLOOKUP(A14,[1]CER_SubK_PO_Status!A:R,16,FALSE))</f>
        <v>fraites@jlab.org</v>
      </c>
      <c r="N14" s="15" t="str">
        <f>IF(VLOOKUP(A14,[1]CER_SubK_PO_Status!A:R,18,FALSE)=0,"",VLOOKUP(A14,[1]CER_SubK_PO_Status!A:R,18,FALSE))</f>
        <v>spark@jlab.org</v>
      </c>
    </row>
    <row r="15" spans="1:14" ht="54.95" customHeight="1" x14ac:dyDescent="0.2">
      <c r="A15" s="12" t="s">
        <v>22</v>
      </c>
      <c r="B15" s="12" t="str">
        <f>VLOOKUP(A15,[1]CER_SubK_PO_Status!A:N,9,FALSE)</f>
        <v>Open</v>
      </c>
      <c r="C15" s="12" t="str">
        <f>VLOOKUP(A15,[1]CER_SubK_PO_Status!A:N,7,FALSE)</f>
        <v>COLONIAL WEBB CONTRACTORS</v>
      </c>
      <c r="D15" s="13">
        <f>VLOOKUP(A15,[1]CER_SubK_PO_Status!A:N,10,FALSE)/1000</f>
        <v>1166.492</v>
      </c>
      <c r="E15" s="13">
        <f>VLOOKUP(A15,[1]CER_SubK_PO_Status!A:N,11,FALSE)/1000</f>
        <v>1156.55854</v>
      </c>
      <c r="F15" s="13">
        <f>VLOOKUP(A15,[1]CER_SubK_PO_Status!A:N,12,FALSE)/1000</f>
        <v>1129.277</v>
      </c>
      <c r="G15" s="13">
        <f t="shared" si="0"/>
        <v>9.9334599999999682</v>
      </c>
      <c r="H15" s="13">
        <f t="shared" si="1"/>
        <v>37.214999999999918</v>
      </c>
      <c r="I15" s="12" t="str">
        <f>VLOOKUP(A15,[1]CER_SubK_PO_Status!A:N,5,FALSE)</f>
        <v>CAROLYN STEPNEY</v>
      </c>
      <c r="J15" s="14" t="str">
        <f>RIGHT(VLOOKUP(A15,[1]CER_SubK_PO_Status!A:N,14,FALSE),LEN(VLOOKUP(A15,[1]CER_SubK_PO_Status!A:N,14,FALSE))-SEARCH("/",VLOOKUP(A15,[1]CER_SubK_PO_Status!A:N,14,FALSE),1))</f>
        <v>C WHITLATCH</v>
      </c>
      <c r="K15" s="15" t="str">
        <f>IF(VLOOKUP(A15,[1]CER_SubK_PO_Status!A:R,15,FALSE)=0,"",VLOOKUP(A15,[1]CER_SubK_PO_Status!A:R,15,FALSE))</f>
        <v>RENZO, THOMAS C</v>
      </c>
      <c r="L15" s="15" t="str">
        <f>IF(VLOOKUP(A15,[1]CER_SubK_PO_Status!A:R,17,FALSE)=0,"",VLOOKUP(A15,[1]CER_SubK_PO_Status!A:R,17,FALSE))</f>
        <v>FRIES, RUSSELL W</v>
      </c>
      <c r="M15" s="15" t="str">
        <f>IF(VLOOKUP(A15,[1]CER_SubK_PO_Status!A:R,16,FALSE)=0,"",VLOOKUP(A15,[1]CER_SubK_PO_Status!A:R,16,FALSE))</f>
        <v>renzo@jlab.org</v>
      </c>
      <c r="N15" s="15" t="str">
        <f>IF(VLOOKUP(A15,[1]CER_SubK_PO_Status!A:R,18,FALSE)=0,"",VLOOKUP(A15,[1]CER_SubK_PO_Status!A:R,18,FALSE))</f>
        <v>rfries@jlab.org</v>
      </c>
    </row>
    <row r="16" spans="1:14" ht="54.95" customHeight="1" x14ac:dyDescent="0.2">
      <c r="A16" s="12" t="s">
        <v>23</v>
      </c>
      <c r="B16" s="12" t="str">
        <f>VLOOKUP(A16,[1]CER_SubK_PO_Status!A:N,9,FALSE)</f>
        <v>Open</v>
      </c>
      <c r="C16" s="12" t="str">
        <f>VLOOKUP(A16,[1]CER_SubK_PO_Status!A:N,7,FALSE)</f>
        <v>CPI INTERNATIONAL INC</v>
      </c>
      <c r="D16" s="13">
        <f>VLOOKUP(A16,[1]CER_SubK_PO_Status!A:N,10,FALSE)/1000</f>
        <v>5813.1977500000003</v>
      </c>
      <c r="E16" s="13">
        <f>VLOOKUP(A16,[1]CER_SubK_PO_Status!A:N,11,FALSE)/1000</f>
        <v>3298.02925</v>
      </c>
      <c r="F16" s="13">
        <f>VLOOKUP(A16,[1]CER_SubK_PO_Status!A:N,12,FALSE)/1000</f>
        <v>3298.02925</v>
      </c>
      <c r="G16" s="13">
        <f t="shared" si="0"/>
        <v>2515.1685000000002</v>
      </c>
      <c r="H16" s="13">
        <f t="shared" si="1"/>
        <v>2515.1685000000002</v>
      </c>
      <c r="I16" s="12" t="str">
        <f>VLOOKUP(A16,[1]CER_SubK_PO_Status!A:N,5,FALSE)</f>
        <v>THOMAS HURATIAK</v>
      </c>
      <c r="J16" s="14" t="str">
        <f>RIGHT(VLOOKUP(A16,[1]CER_SubK_PO_Status!A:N,14,FALSE),LEN(VLOOKUP(A16,[1]CER_SubK_PO_Status!A:N,14,FALSE))-SEARCH("/",VLOOKUP(A16,[1]CER_SubK_PO_Status!A:N,14,FALSE),1))</f>
        <v>HUQUE</v>
      </c>
      <c r="K16" s="15" t="str">
        <f>IF(VLOOKUP(A16,[1]CER_SubK_PO_Status!A:R,15,FALSE)=0,"",VLOOKUP(A16,[1]CER_SubK_PO_Status!A:R,15,FALSE))</f>
        <v>HUQUE, NAEEM A</v>
      </c>
      <c r="L16" s="15" t="str">
        <f>IF(VLOOKUP(A16,[1]CER_SubK_PO_Status!A:R,17,FALSE)=0,"",VLOOKUP(A16,[1]CER_SubK_PO_Status!A:R,17,FALSE))</f>
        <v>WILSON, KATHERINE M</v>
      </c>
      <c r="M16" s="15" t="str">
        <f>IF(VLOOKUP(A16,[1]CER_SubK_PO_Status!A:R,16,FALSE)=0,"",VLOOKUP(A16,[1]CER_SubK_PO_Status!A:R,16,FALSE))</f>
        <v>huque@jlab.org</v>
      </c>
      <c r="N16" s="15" t="str">
        <f>IF(VLOOKUP(A16,[1]CER_SubK_PO_Status!A:R,18,FALSE)=0,"",VLOOKUP(A16,[1]CER_SubK_PO_Status!A:R,18,FALSE))</f>
        <v>kwilson@jlab.org</v>
      </c>
    </row>
    <row r="17" spans="1:14" ht="54.95" customHeight="1" x14ac:dyDescent="0.2">
      <c r="A17" s="12" t="s">
        <v>24</v>
      </c>
      <c r="B17" s="12" t="str">
        <f>VLOOKUP(A17,[1]CER_SubK_PO_Status!A:N,9,FALSE)</f>
        <v>Open</v>
      </c>
      <c r="C17" s="12" t="str">
        <f>VLOOKUP(A17,[1]CER_SubK_PO_Status!A:N,7,FALSE)</f>
        <v xml:space="preserve">CRYONOVA PROCESS SYSTEMS </v>
      </c>
      <c r="D17" s="13">
        <f>VLOOKUP(A17,[1]CER_SubK_PO_Status!A:N,10,FALSE)/1000</f>
        <v>213.35017999999999</v>
      </c>
      <c r="E17" s="13">
        <f>VLOOKUP(A17,[1]CER_SubK_PO_Status!A:N,11,FALSE)/1000</f>
        <v>110.84017999999999</v>
      </c>
      <c r="F17" s="13">
        <f>VLOOKUP(A17,[1]CER_SubK_PO_Status!A:N,12,FALSE)/1000</f>
        <v>110.84017999999999</v>
      </c>
      <c r="G17" s="13">
        <f t="shared" si="0"/>
        <v>102.51</v>
      </c>
      <c r="H17" s="13">
        <f t="shared" si="1"/>
        <v>102.51</v>
      </c>
      <c r="I17" s="12" t="str">
        <f>VLOOKUP(A17,[1]CER_SubK_PO_Status!A:N,5,FALSE)</f>
        <v>THOMAS HURATIAK</v>
      </c>
      <c r="J17" s="14" t="str">
        <f>RIGHT(VLOOKUP(A17,[1]CER_SubK_PO_Status!A:N,14,FALSE),LEN(VLOOKUP(A17,[1]CER_SubK_PO_Status!A:N,14,FALSE))-SEARCH("/",VLOOKUP(A17,[1]CER_SubK_PO_Status!A:N,14,FALSE),1))</f>
        <v>T WIJERATNE</v>
      </c>
      <c r="K17" s="15" t="str">
        <f>IF(VLOOKUP(A17,[1]CER_SubK_PO_Status!A:R,15,FALSE)=0,"",VLOOKUP(A17,[1]CER_SubK_PO_Status!A:R,15,FALSE))</f>
        <v>WIJERATNE, THILAN K</v>
      </c>
      <c r="L17" s="15" t="str">
        <f>IF(VLOOKUP(A17,[1]CER_SubK_PO_Status!A:R,17,FALSE)=0,"",VLOOKUP(A17,[1]CER_SubK_PO_Status!A:R,17,FALSE))</f>
        <v>SMITH, CORRY E</v>
      </c>
      <c r="M17" s="15" t="str">
        <f>IF(VLOOKUP(A17,[1]CER_SubK_PO_Status!A:R,16,FALSE)=0,"",VLOOKUP(A17,[1]CER_SubK_PO_Status!A:R,16,FALSE))</f>
        <v>thilan@jlab.org</v>
      </c>
      <c r="N17" s="15" t="str">
        <f>IF(VLOOKUP(A17,[1]CER_SubK_PO_Status!A:R,18,FALSE)=0,"",VLOOKUP(A17,[1]CER_SubK_PO_Status!A:R,18,FALSE))</f>
        <v>csmith@jlab.org</v>
      </c>
    </row>
    <row r="18" spans="1:14" ht="57.75" customHeight="1" x14ac:dyDescent="0.2">
      <c r="A18" s="12" t="s">
        <v>92</v>
      </c>
      <c r="B18" s="12" t="str">
        <f>VLOOKUP(A18,[1]CER_SubK_PO_Status!A:N,9,FALSE)</f>
        <v>System Closed</v>
      </c>
      <c r="C18" s="12" t="str">
        <f>VLOOKUP(A18,[1]CER_SubK_PO_Status!A:N,7,FALSE)</f>
        <v>CRYTUR USA INC</v>
      </c>
      <c r="D18" s="13">
        <f>VLOOKUP(A18,[1]CER_SubK_PO_Status!A:N,10,FALSE)/1000</f>
        <v>408.85</v>
      </c>
      <c r="E18" s="13">
        <f>VLOOKUP(A18,[1]CER_SubK_PO_Status!A:N,11,FALSE)/1000</f>
        <v>408.85</v>
      </c>
      <c r="F18" s="13">
        <f>VLOOKUP(A18,[1]CER_SubK_PO_Status!A:N,12,FALSE)/1000</f>
        <v>408.85</v>
      </c>
      <c r="G18" s="13">
        <f>D18-E18</f>
        <v>0</v>
      </c>
      <c r="H18" s="13">
        <f>D18-F18</f>
        <v>0</v>
      </c>
      <c r="I18" s="12" t="str">
        <f>VLOOKUP(A18,[1]CER_SubK_PO_Status!A:N,5,FALSE)</f>
        <v>THOMAS HURATIAK</v>
      </c>
      <c r="J18" s="14" t="str">
        <f>RIGHT(VLOOKUP(A18,[1]CER_SubK_PO_Status!A:N,14,FALSE),LEN(VLOOKUP(A18,[1]CER_SubK_PO_Status!A:N,14,FALSE))-SEARCH("/",VLOOKUP(A18,[1]CER_SubK_PO_Status!A:N,14,FALSE),1))</f>
        <v>ROLF ENT</v>
      </c>
      <c r="K18" s="15" t="str">
        <f>IF(VLOOKUP(A18,[1]CER_SubK_PO_Status!A:R,15,FALSE)=0,"",VLOOKUP(A18,[1]CER_SubK_PO_Status!A:R,15,FALSE))</f>
        <v>WOOD, STEPHEN A</v>
      </c>
      <c r="L18" s="15" t="str">
        <f>IF(VLOOKUP(A18,[1]CER_SubK_PO_Status!A:R,17,FALSE)=0,"",VLOOKUP(A18,[1]CER_SubK_PO_Status!A:R,17,FALSE))</f>
        <v>HURATIAK, THOMAS</v>
      </c>
      <c r="M18" s="15" t="str">
        <f>IF(VLOOKUP(A18,[1]CER_SubK_PO_Status!A:R,16,FALSE)=0,"",VLOOKUP(A18,[1]CER_SubK_PO_Status!A:R,16,FALSE))</f>
        <v>saw@jlab.org</v>
      </c>
      <c r="N18" s="15" t="str">
        <f>IF(VLOOKUP(A18,[1]CER_SubK_PO_Status!A:R,18,FALSE)=0,"",VLOOKUP(A18,[1]CER_SubK_PO_Status!A:R,18,FALSE))</f>
        <v>huratiak@jlab.org</v>
      </c>
    </row>
    <row r="19" spans="1:14" ht="57.75" customHeight="1" x14ac:dyDescent="0.2">
      <c r="A19" s="12" t="s">
        <v>93</v>
      </c>
      <c r="B19" s="12" t="str">
        <f>VLOOKUP(A19,[1]CER_SubK_PO_Status!A:N,9,FALSE)</f>
        <v>Open</v>
      </c>
      <c r="C19" s="12" t="str">
        <f>VLOOKUP(A19,[1]CER_SubK_PO_Status!A:N,7,FALSE)</f>
        <v>CRYTUR USA INC</v>
      </c>
      <c r="D19" s="13">
        <f>VLOOKUP(A19,[1]CER_SubK_PO_Status!A:N,10,FALSE)/1000</f>
        <v>322.5</v>
      </c>
      <c r="E19" s="13">
        <f>VLOOKUP(A19,[1]CER_SubK_PO_Status!A:N,11,FALSE)/1000</f>
        <v>0</v>
      </c>
      <c r="F19" s="13">
        <f>VLOOKUP(A19,[1]CER_SubK_PO_Status!A:N,12,FALSE)/1000</f>
        <v>0</v>
      </c>
      <c r="G19" s="13">
        <f t="shared" ref="G19:G20" si="2">D19-E19</f>
        <v>322.5</v>
      </c>
      <c r="H19" s="13">
        <f t="shared" ref="H19:H20" si="3">D19-F19</f>
        <v>322.5</v>
      </c>
      <c r="I19" s="12" t="str">
        <f>VLOOKUP(A19,[1]CER_SubK_PO_Status!A:N,5,FALSE)</f>
        <v>THOMAS HURATIAK</v>
      </c>
      <c r="J19" s="14" t="str">
        <f>RIGHT(VLOOKUP(A19,[1]CER_SubK_PO_Status!A:N,14,FALSE),LEN(VLOOKUP(A19,[1]CER_SubK_PO_Status!A:N,14,FALSE))-SEARCH("/",VLOOKUP(A19,[1]CER_SubK_PO_Status!A:N,14,FALSE),1))</f>
        <v>12H</v>
      </c>
      <c r="K19" s="15" t="str">
        <f>IF(VLOOKUP(A19,[1]CER_SubK_PO_Status!A:R,15,FALSE)=0,"",VLOOKUP(A19,[1]CER_SubK_PO_Status!A:R,15,FALSE))</f>
        <v>WOOD, STEPHEN A</v>
      </c>
      <c r="L19" s="15" t="str">
        <f>IF(VLOOKUP(A19,[1]CER_SubK_PO_Status!A:R,17,FALSE)=0,"",VLOOKUP(A19,[1]CER_SubK_PO_Status!A:R,17,FALSE))</f>
        <v>HURATIAK, THOMAS</v>
      </c>
      <c r="M19" s="15" t="str">
        <f>IF(VLOOKUP(A19,[1]CER_SubK_PO_Status!A:R,16,FALSE)=0,"",VLOOKUP(A19,[1]CER_SubK_PO_Status!A:R,16,FALSE))</f>
        <v>saw@jlab.org</v>
      </c>
      <c r="N19" s="15" t="str">
        <f>IF(VLOOKUP(A19,[1]CER_SubK_PO_Status!A:R,18,FALSE)=0,"",VLOOKUP(A19,[1]CER_SubK_PO_Status!A:R,18,FALSE))</f>
        <v>huratiak@jlab.org</v>
      </c>
    </row>
    <row r="20" spans="1:14" ht="54.95" customHeight="1" x14ac:dyDescent="0.2">
      <c r="A20" s="12" t="s">
        <v>94</v>
      </c>
      <c r="B20" s="12" t="str">
        <f>VLOOKUP(A20,[1]CER_SubK_PO_Status!A:N,9,FALSE)</f>
        <v>Open</v>
      </c>
      <c r="C20" s="12" t="str">
        <f>VLOOKUP(A20,[1]CER_SubK_PO_Status!A:N,7,FALSE)</f>
        <v>CRYTUR USA INC</v>
      </c>
      <c r="D20" s="13">
        <f>VLOOKUP(A20,[1]CER_SubK_PO_Status!A:N,10,FALSE)/1000</f>
        <v>498.8</v>
      </c>
      <c r="E20" s="13">
        <f>VLOOKUP(A20,[1]CER_SubK_PO_Status!A:N,11,FALSE)/1000</f>
        <v>0</v>
      </c>
      <c r="F20" s="13">
        <f>VLOOKUP(A20,[1]CER_SubK_PO_Status!A:N,12,FALSE)/1000</f>
        <v>0</v>
      </c>
      <c r="G20" s="13">
        <f t="shared" si="2"/>
        <v>498.8</v>
      </c>
      <c r="H20" s="13">
        <f t="shared" si="3"/>
        <v>498.8</v>
      </c>
      <c r="I20" s="12" t="str">
        <f>VLOOKUP(A20,[1]CER_SubK_PO_Status!A:N,5,FALSE)</f>
        <v>THOMAS HURATIAK</v>
      </c>
      <c r="J20" s="14" t="e">
        <f>RIGHT(VLOOKUP(A20,[1]CER_SubK_PO_Status!A:N,14,FALSE),LEN(VLOOKUP(A20,[1]CER_SubK_PO_Status!A:N,14,FALSE))-SEARCH("/",VLOOKUP(A20,[1]CER_SubK_PO_Status!A:N,14,FALSE),1))</f>
        <v>#VALUE!</v>
      </c>
      <c r="K20" s="15" t="str">
        <f>IF(VLOOKUP(A20,[1]CER_SubK_PO_Status!A:R,15,FALSE)=0,"",VLOOKUP(A20,[1]CER_SubK_PO_Status!A:R,15,FALSE))</f>
        <v>WOOD, STEPHEN A</v>
      </c>
      <c r="L20" s="15" t="str">
        <f>IF(VLOOKUP(A20,[1]CER_SubK_PO_Status!A:R,17,FALSE)=0,"",VLOOKUP(A20,[1]CER_SubK_PO_Status!A:R,17,FALSE))</f>
        <v>HURATIAK, THOMAS</v>
      </c>
      <c r="M20" s="15" t="str">
        <f>IF(VLOOKUP(A20,[1]CER_SubK_PO_Status!A:R,16,FALSE)=0,"",VLOOKUP(A20,[1]CER_SubK_PO_Status!A:R,16,FALSE))</f>
        <v>saw@jlab.org</v>
      </c>
      <c r="N20" s="15" t="str">
        <f>IF(VLOOKUP(A20,[1]CER_SubK_PO_Status!A:R,18,FALSE)=0,"",VLOOKUP(A20,[1]CER_SubK_PO_Status!A:R,18,FALSE))</f>
        <v>huratiak@jlab.org</v>
      </c>
    </row>
    <row r="21" spans="1:14" ht="54.95" customHeight="1" x14ac:dyDescent="0.2">
      <c r="A21" s="12" t="s">
        <v>95</v>
      </c>
      <c r="B21" s="12" t="str">
        <f>VLOOKUP(A21,[1]CER_SubK_PO_Status!A:N,9,FALSE)</f>
        <v>Open</v>
      </c>
      <c r="C21" s="12" t="str">
        <f>VLOOKUP(A21,[1]CER_SubK_PO_Status!A:N,7,FALSE)</f>
        <v>CT HX LLC</v>
      </c>
      <c r="D21" s="13">
        <f>VLOOKUP(A21,[1]CER_SubK_PO_Status!A:N,10,FALSE)/1000</f>
        <v>58.932000000000002</v>
      </c>
      <c r="E21" s="13">
        <f>VLOOKUP(A21,[1]CER_SubK_PO_Status!A:N,11,FALSE)/1000</f>
        <v>19.916640000000001</v>
      </c>
      <c r="F21" s="13">
        <f>VLOOKUP(A21,[1]CER_SubK_PO_Status!A:N,12,FALSE)/1000</f>
        <v>0</v>
      </c>
      <c r="G21" s="13">
        <f>D21-E21</f>
        <v>39.015360000000001</v>
      </c>
      <c r="H21" s="13">
        <f>D21-F21</f>
        <v>58.932000000000002</v>
      </c>
      <c r="I21" s="12" t="str">
        <f>VLOOKUP(A21,[1]CER_SubK_PO_Status!A:N,5,FALSE)</f>
        <v>MELISSA TORRES</v>
      </c>
      <c r="J21" s="14" t="str">
        <f>RIGHT(VLOOKUP(A21,[1]CER_SubK_PO_Status!A:N,14,FALSE),LEN(VLOOKUP(A21,[1]CER_SubK_PO_Status!A:N,14,FALSE))-SEARCH("/",VLOOKUP(A21,[1]CER_SubK_PO_Status!A:N,14,FALSE),1))</f>
        <v>CARROLL JONES</v>
      </c>
      <c r="K21" s="15" t="str">
        <f>IF(VLOOKUP(A21,[1]CER_SubK_PO_Status!A:R,15,FALSE)=0,"",VLOOKUP(A21,[1]CER_SubK_PO_Status!A:R,15,FALSE))</f>
        <v>JONES, CARROLL W</v>
      </c>
      <c r="L21" s="15" t="str">
        <f>IF(VLOOKUP(A21,[1]CER_SubK_PO_Status!A:R,17,FALSE)=0,"",VLOOKUP(A21,[1]CER_SubK_PO_Status!A:R,17,FALSE))</f>
        <v/>
      </c>
      <c r="M21" s="15" t="str">
        <f>IF(VLOOKUP(A21,[1]CER_SubK_PO_Status!A:R,16,FALSE)=0,"",VLOOKUP(A21,[1]CER_SubK_PO_Status!A:R,16,FALSE))</f>
        <v>jonesc@jlab.org</v>
      </c>
      <c r="N21" s="15" t="str">
        <f>IF(VLOOKUP(A21,[1]CER_SubK_PO_Status!A:R,18,FALSE)=0,"",VLOOKUP(A21,[1]CER_SubK_PO_Status!A:R,18,FALSE))</f>
        <v/>
      </c>
    </row>
    <row r="22" spans="1:14" ht="75" customHeight="1" x14ac:dyDescent="0.2">
      <c r="A22" s="12" t="s">
        <v>25</v>
      </c>
      <c r="B22" s="12" t="str">
        <f>VLOOKUP(A22,[1]CER_SubK_PO_Status!A:N,9,FALSE)</f>
        <v>Open</v>
      </c>
      <c r="C22" s="12" t="str">
        <f>VLOOKUP(A22,[1]CER_SubK_PO_Status!A:N,7,FALSE)</f>
        <v>DANFYSIK A/S</v>
      </c>
      <c r="D22" s="13">
        <f>VLOOKUP(A22,[1]CER_SubK_PO_Status!A:N,10,FALSE)/1000</f>
        <v>155</v>
      </c>
      <c r="E22" s="13">
        <f>VLOOKUP(A22,[1]CER_SubK_PO_Status!A:N,11,FALSE)/1000</f>
        <v>110</v>
      </c>
      <c r="F22" s="13">
        <f>VLOOKUP(A22,[1]CER_SubK_PO_Status!A:N,12,FALSE)/1000</f>
        <v>110</v>
      </c>
      <c r="G22" s="13">
        <f t="shared" si="0"/>
        <v>45</v>
      </c>
      <c r="H22" s="13">
        <f t="shared" si="1"/>
        <v>45</v>
      </c>
      <c r="I22" s="12" t="str">
        <f>VLOOKUP(A22,[1]CER_SubK_PO_Status!A:N,5,FALSE)</f>
        <v>THOMAS HURATIAK</v>
      </c>
      <c r="J22" s="14" t="str">
        <f>RIGHT(VLOOKUP(A22,[1]CER_SubK_PO_Status!A:N,14,FALSE),LEN(VLOOKUP(A22,[1]CER_SubK_PO_Status!A:N,14,FALSE))-SEARCH("/",VLOOKUP(A22,[1]CER_SubK_PO_Status!A:N,14,FALSE),1))</f>
        <v>D GRIFFITH</v>
      </c>
      <c r="K22" s="15" t="str">
        <f>IF(VLOOKUP(A22,[1]CER_SubK_PO_Status!A:R,15,FALSE)=0,"",VLOOKUP(A22,[1]CER_SubK_PO_Status!A:R,15,FALSE))</f>
        <v>PHILIP, SARIN</v>
      </c>
      <c r="L22" s="15" t="str">
        <f>IF(VLOOKUP(A22,[1]CER_SubK_PO_Status!A:R,17,FALSE)=0,"",VLOOKUP(A22,[1]CER_SubK_PO_Status!A:R,17,FALSE))</f>
        <v/>
      </c>
      <c r="M22" s="15" t="str">
        <f>IF(VLOOKUP(A22,[1]CER_SubK_PO_Status!A:R,16,FALSE)=0,"",VLOOKUP(A22,[1]CER_SubK_PO_Status!A:R,16,FALSE))</f>
        <v>philip@jlab.org</v>
      </c>
      <c r="N22" s="15" t="str">
        <f>IF(VLOOKUP(A22,[1]CER_SubK_PO_Status!A:R,18,FALSE)=0,"",VLOOKUP(A22,[1]CER_SubK_PO_Status!A:R,18,FALSE))</f>
        <v/>
      </c>
    </row>
    <row r="23" spans="1:14" ht="75" customHeight="1" x14ac:dyDescent="0.2">
      <c r="A23" s="12" t="s">
        <v>26</v>
      </c>
      <c r="B23" s="12" t="str">
        <f>VLOOKUP(A23,[1]CER_SubK_PO_Status!A:N,9,FALSE)</f>
        <v>Open</v>
      </c>
      <c r="C23" s="12" t="str">
        <f>VLOOKUP(A23,[1]CER_SubK_PO_Status!A:N,7,FALSE)</f>
        <v>DUKE UNIVERSITY</v>
      </c>
      <c r="D23" s="13">
        <f>VLOOKUP(A23,[1]CER_SubK_PO_Status!A:N,10,FALSE)/1000</f>
        <v>343.89677</v>
      </c>
      <c r="E23" s="13">
        <f>VLOOKUP(A23,[1]CER_SubK_PO_Status!A:N,11,FALSE)/1000</f>
        <v>343.89677</v>
      </c>
      <c r="F23" s="13">
        <f>VLOOKUP(A23,[1]CER_SubK_PO_Status!A:N,12,FALSE)/1000</f>
        <v>339.55689000000001</v>
      </c>
      <c r="G23" s="13">
        <f t="shared" si="0"/>
        <v>0</v>
      </c>
      <c r="H23" s="13">
        <f t="shared" si="1"/>
        <v>4.3398799999999937</v>
      </c>
      <c r="I23" s="12" t="str">
        <f>VLOOKUP(A23,[1]CER_SubK_PO_Status!A:N,5,FALSE)</f>
        <v>GIUSEPPINA TENBUSCH</v>
      </c>
      <c r="J23" s="14" t="str">
        <f>RIGHT(VLOOKUP(A23,[1]CER_SubK_PO_Status!A:N,14,FALSE),LEN(VLOOKUP(A23,[1]CER_SubK_PO_Status!A:N,14,FALSE))-SEARCH("/",VLOOKUP(A23,[1]CER_SubK_PO_Status!A:N,14,FALSE),1))</f>
        <v>TANYA STEWART</v>
      </c>
      <c r="K23" s="15" t="str">
        <f>IF(VLOOKUP(A23,[1]CER_SubK_PO_Status!A:R,15,FALSE)=0,"",VLOOKUP(A23,[1]CER_SubK_PO_Status!A:R,15,FALSE))</f>
        <v>STEWART, TANYA-GAYE N</v>
      </c>
      <c r="L23" s="15" t="str">
        <f>IF(VLOOKUP(A23,[1]CER_SubK_PO_Status!A:R,17,FALSE)=0,"",VLOOKUP(A23,[1]CER_SubK_PO_Status!A:R,17,FALSE))</f>
        <v>PARKINSON, SHARON K</v>
      </c>
      <c r="M23" s="15" t="str">
        <f>IF(VLOOKUP(A23,[1]CER_SubK_PO_Status!A:R,16,FALSE)=0,"",VLOOKUP(A23,[1]CER_SubK_PO_Status!A:R,16,FALSE))</f>
        <v>fraites@jlab.org</v>
      </c>
      <c r="N23" s="15" t="str">
        <f>IF(VLOOKUP(A23,[1]CER_SubK_PO_Status!A:R,18,FALSE)=0,"",VLOOKUP(A23,[1]CER_SubK_PO_Status!A:R,18,FALSE))</f>
        <v>spark@jlab.org</v>
      </c>
    </row>
    <row r="24" spans="1:14" s="17" customFormat="1" ht="66.75" customHeight="1" x14ac:dyDescent="0.2">
      <c r="A24" s="12" t="s">
        <v>96</v>
      </c>
      <c r="B24" s="12" t="str">
        <f>VLOOKUP(A24,[1]CER_SubK_PO_Status!A:N,9,FALSE)</f>
        <v>Open</v>
      </c>
      <c r="C24" s="12" t="str">
        <f>VLOOKUP(A24,[1]CER_SubK_PO_Status!A:N,7,FALSE)</f>
        <v>DUKE UNIVERSITY</v>
      </c>
      <c r="D24" s="13">
        <f>VLOOKUP(A24,[1]CER_SubK_PO_Status!A:N,10,FALSE)/1000</f>
        <v>18.598520000000001</v>
      </c>
      <c r="E24" s="13">
        <f>VLOOKUP(A24,[1]CER_SubK_PO_Status!A:N,11,FALSE)/1000</f>
        <v>0</v>
      </c>
      <c r="F24" s="13">
        <f>VLOOKUP(A24,[1]CER_SubK_PO_Status!A:N,12,FALSE)/1000</f>
        <v>0</v>
      </c>
      <c r="G24" s="13">
        <f t="shared" si="0"/>
        <v>18.598520000000001</v>
      </c>
      <c r="H24" s="13">
        <f t="shared" si="1"/>
        <v>18.598520000000001</v>
      </c>
      <c r="I24" s="12" t="str">
        <f>VLOOKUP(A24,[1]CER_SubK_PO_Status!A:N,5,FALSE)</f>
        <v>GIUSEPPINA TENBUSCH</v>
      </c>
      <c r="J24" s="14" t="e">
        <f>RIGHT(VLOOKUP(A24,[1]CER_SubK_PO_Status!A:N,14,FALSE),LEN(VLOOKUP(A24,[1]CER_SubK_PO_Status!A:N,14,FALSE))-SEARCH("/",VLOOKUP(A24,[1]CER_SubK_PO_Status!A:N,14,FALSE),1))</f>
        <v>#VALUE!</v>
      </c>
      <c r="K24" s="15" t="str">
        <f>IF(VLOOKUP(A24,[1]CER_SubK_PO_Status!A:R,15,FALSE)=0,"",VLOOKUP(A24,[1]CER_SubK_PO_Status!A:R,15,FALSE))</f>
        <v>STEWART, TANYA-GAYE N</v>
      </c>
      <c r="L24" s="15" t="str">
        <f>IF(VLOOKUP(A24,[1]CER_SubK_PO_Status!A:R,17,FALSE)=0,"",VLOOKUP(A24,[1]CER_SubK_PO_Status!A:R,17,FALSE))</f>
        <v>PARKINSON, SHARON K</v>
      </c>
      <c r="M24" s="15" t="str">
        <f>IF(VLOOKUP(A24,[1]CER_SubK_PO_Status!A:R,16,FALSE)=0,"",VLOOKUP(A24,[1]CER_SubK_PO_Status!A:R,16,FALSE))</f>
        <v>fraites@jlab.org</v>
      </c>
      <c r="N24" s="15" t="str">
        <f>IF(VLOOKUP(A24,[1]CER_SubK_PO_Status!A:R,18,FALSE)=0,"",VLOOKUP(A24,[1]CER_SubK_PO_Status!A:R,18,FALSE))</f>
        <v>spark@jlab.org</v>
      </c>
    </row>
    <row r="25" spans="1:14" ht="54.95" customHeight="1" x14ac:dyDescent="0.2">
      <c r="A25" s="12" t="s">
        <v>27</v>
      </c>
      <c r="B25" s="12" t="str">
        <f>VLOOKUP(A25,[1]CER_SubK_PO_Status!A:N,9,FALSE)</f>
        <v>Open</v>
      </c>
      <c r="C25" s="12" t="str">
        <f>VLOOKUP(A25,[1]CER_SubK_PO_Status!A:N,7,FALSE)</f>
        <v>ENERGYPULSE SYSTEMS IDA</v>
      </c>
      <c r="D25" s="13">
        <f>VLOOKUP(A25,[1]CER_SubK_PO_Status!A:N,10,FALSE)/1000</f>
        <v>48</v>
      </c>
      <c r="E25" s="13">
        <f>VLOOKUP(A25,[1]CER_SubK_PO_Status!A:N,11,FALSE)/1000</f>
        <v>24</v>
      </c>
      <c r="F25" s="13">
        <f>VLOOKUP(A25,[1]CER_SubK_PO_Status!A:N,12,FALSE)/1000</f>
        <v>24</v>
      </c>
      <c r="G25" s="13">
        <f t="shared" si="0"/>
        <v>24</v>
      </c>
      <c r="H25" s="13">
        <f t="shared" si="1"/>
        <v>24</v>
      </c>
      <c r="I25" s="12" t="str">
        <f>VLOOKUP(A25,[1]CER_SubK_PO_Status!A:N,5,FALSE)</f>
        <v>THOMAS HURATIAK</v>
      </c>
      <c r="J25" s="14" t="str">
        <f>RIGHT(VLOOKUP(A25,[1]CER_SubK_PO_Status!A:N,14,FALSE),LEN(VLOOKUP(A25,[1]CER_SubK_PO_Status!A:N,14,FALSE))-SEARCH("/",VLOOKUP(A25,[1]CER_SubK_PO_Status!A:N,14,FALSE),1))</f>
        <v>A M VALENTE</v>
      </c>
      <c r="K25" s="15" t="str">
        <f>IF(VLOOKUP(A25,[1]CER_SubK_PO_Status!A:R,15,FALSE)=0,"",VLOOKUP(A25,[1]CER_SubK_PO_Status!A:R,15,FALSE))</f>
        <v>VALENTE-FELICIANO, ANNE-M</v>
      </c>
      <c r="L25" s="15" t="str">
        <f>IF(VLOOKUP(A25,[1]CER_SubK_PO_Status!A:R,17,FALSE)=0,"",VLOOKUP(A25,[1]CER_SubK_PO_Status!A:R,17,FALSE))</f>
        <v/>
      </c>
      <c r="M25" s="15" t="str">
        <f>IF(VLOOKUP(A25,[1]CER_SubK_PO_Status!A:R,16,FALSE)=0,"",VLOOKUP(A25,[1]CER_SubK_PO_Status!A:R,16,FALSE))</f>
        <v>valente@jlab.org</v>
      </c>
      <c r="N25" s="15" t="str">
        <f>IF(VLOOKUP(A25,[1]CER_SubK_PO_Status!A:R,18,FALSE)=0,"",VLOOKUP(A25,[1]CER_SubK_PO_Status!A:R,18,FALSE))</f>
        <v/>
      </c>
    </row>
    <row r="26" spans="1:14" ht="54.95" customHeight="1" x14ac:dyDescent="0.2">
      <c r="A26" s="12" t="s">
        <v>97</v>
      </c>
      <c r="B26" s="12" t="str">
        <f>VLOOKUP(A26,[1]CER_SubK_PO_Status!A:N,9,FALSE)</f>
        <v>Open</v>
      </c>
      <c r="C26" s="12" t="str">
        <f>VLOOKUP(A26,[1]CER_SubK_PO_Status!A:N,7,FALSE)</f>
        <v>EVERSON TESLA INC.</v>
      </c>
      <c r="D26" s="13">
        <f>VLOOKUP(A26,[1]CER_SubK_PO_Status!A:N,10,FALSE)/1000</f>
        <v>169.97499999999999</v>
      </c>
      <c r="E26" s="13">
        <f>VLOOKUP(A26,[1]CER_SubK_PO_Status!A:N,11,FALSE)/1000</f>
        <v>0</v>
      </c>
      <c r="F26" s="13">
        <f>VLOOKUP(A26,[1]CER_SubK_PO_Status!A:N,12,FALSE)/1000</f>
        <v>0</v>
      </c>
      <c r="G26" s="13">
        <f t="shared" si="0"/>
        <v>169.97499999999999</v>
      </c>
      <c r="H26" s="13">
        <f t="shared" si="1"/>
        <v>169.97499999999999</v>
      </c>
      <c r="I26" s="12" t="str">
        <f>VLOOKUP(A26,[1]CER_SubK_PO_Status!A:N,5,FALSE)</f>
        <v>DEANN MADDOX</v>
      </c>
      <c r="J26" s="14" t="str">
        <f>RIGHT(VLOOKUP(A26,[1]CER_SubK_PO_Status!A:N,14,FALSE),LEN(VLOOKUP(A26,[1]CER_SubK_PO_Status!A:N,14,FALSE))-SEARCH("/",VLOOKUP(A26,[1]CER_SubK_PO_Status!A:N,14,FALSE),1))</f>
        <v>D KASHY/55E</v>
      </c>
      <c r="K26" s="15" t="str">
        <f>IF(VLOOKUP(A26,[1]CER_SubK_PO_Status!A:R,15,FALSE)=0,"",VLOOKUP(A26,[1]CER_SubK_PO_Status!A:R,15,FALSE))</f>
        <v>KASHY, DAVID H</v>
      </c>
      <c r="L26" s="15" t="str">
        <f>IF(VLOOKUP(A26,[1]CER_SubK_PO_Status!A:R,17,FALSE)=0,"",VLOOKUP(A26,[1]CER_SubK_PO_Status!A:R,17,FALSE))</f>
        <v>BEVINS, MICHAEL E.</v>
      </c>
      <c r="M26" s="15" t="str">
        <f>IF(VLOOKUP(A26,[1]CER_SubK_PO_Status!A:R,16,FALSE)=0,"",VLOOKUP(A26,[1]CER_SubK_PO_Status!A:R,16,FALSE))</f>
        <v>kashy@jlab.org</v>
      </c>
      <c r="N26" s="15" t="str">
        <f>IF(VLOOKUP(A26,[1]CER_SubK_PO_Status!A:R,18,FALSE)=0,"",VLOOKUP(A26,[1]CER_SubK_PO_Status!A:R,18,FALSE))</f>
        <v>mbevins@jlab.org</v>
      </c>
    </row>
    <row r="27" spans="1:14" ht="54.95" customHeight="1" x14ac:dyDescent="0.2">
      <c r="A27" s="12" t="s">
        <v>28</v>
      </c>
      <c r="B27" s="12" t="str">
        <f>VLOOKUP(A27,[1]CER_SubK_PO_Status!A:N,9,FALSE)</f>
        <v>Open</v>
      </c>
      <c r="C27" s="12" t="str">
        <f>VLOOKUP(A27,[1]CER_SubK_PO_Status!A:N,7,FALSE)</f>
        <v>FLORIDA STATE UNIVERSITY</v>
      </c>
      <c r="D27" s="13">
        <f>VLOOKUP(A27,[1]CER_SubK_PO_Status!A:N,10,FALSE)/1000</f>
        <v>131.99360000000001</v>
      </c>
      <c r="E27" s="13">
        <f>VLOOKUP(A27,[1]CER_SubK_PO_Status!A:N,11,FALSE)/1000</f>
        <v>125.64391999999999</v>
      </c>
      <c r="F27" s="13">
        <f>VLOOKUP(A27,[1]CER_SubK_PO_Status!A:N,12,FALSE)/1000</f>
        <v>122.75319999999999</v>
      </c>
      <c r="G27" s="13">
        <f t="shared" si="0"/>
        <v>6.3496800000000206</v>
      </c>
      <c r="H27" s="13">
        <f t="shared" si="1"/>
        <v>9.2404000000000224</v>
      </c>
      <c r="I27" s="12" t="str">
        <f>VLOOKUP(A27,[1]CER_SubK_PO_Status!A:N,5,FALSE)</f>
        <v>GIUSEPPINA TENBUSCH</v>
      </c>
      <c r="J27" s="14" t="str">
        <f>RIGHT(VLOOKUP(A27,[1]CER_SubK_PO_Status!A:N,14,FALSE),LEN(VLOOKUP(A27,[1]CER_SubK_PO_Status!A:N,14,FALSE))-SEARCH("/",VLOOKUP(A27,[1]CER_SubK_PO_Status!A:N,14,FALSE),1))</f>
        <v>TANYA STEWART</v>
      </c>
      <c r="K27" s="15" t="str">
        <f>IF(VLOOKUP(A27,[1]CER_SubK_PO_Status!A:R,15,FALSE)=0,"",VLOOKUP(A27,[1]CER_SubK_PO_Status!A:R,15,FALSE))</f>
        <v>STEWART, TANYA-GAYE N</v>
      </c>
      <c r="L27" s="15" t="str">
        <f>IF(VLOOKUP(A27,[1]CER_SubK_PO_Status!A:R,17,FALSE)=0,"",VLOOKUP(A27,[1]CER_SubK_PO_Status!A:R,17,FALSE))</f>
        <v>PARKINSON, SHARON K</v>
      </c>
      <c r="M27" s="15" t="str">
        <f>IF(VLOOKUP(A27,[1]CER_SubK_PO_Status!A:R,16,FALSE)=0,"",VLOOKUP(A27,[1]CER_SubK_PO_Status!A:R,16,FALSE))</f>
        <v>fraites@jlab.org</v>
      </c>
      <c r="N27" s="15" t="str">
        <f>IF(VLOOKUP(A27,[1]CER_SubK_PO_Status!A:R,18,FALSE)=0,"",VLOOKUP(A27,[1]CER_SubK_PO_Status!A:R,18,FALSE))</f>
        <v>spark@jlab.org</v>
      </c>
    </row>
    <row r="28" spans="1:14" ht="54.95" customHeight="1" x14ac:dyDescent="0.2">
      <c r="A28" s="12" t="s">
        <v>29</v>
      </c>
      <c r="B28" s="12" t="str">
        <f>VLOOKUP(A28,[1]CER_SubK_PO_Status!A:N,9,FALSE)</f>
        <v>Open</v>
      </c>
      <c r="C28" s="12" t="str">
        <f>VLOOKUP(A28,[1]CER_SubK_PO_Status!A:N,7,FALSE)</f>
        <v>GEORGE WASHINGTON UNIV</v>
      </c>
      <c r="D28" s="13">
        <f>VLOOKUP(A28,[1]CER_SubK_PO_Status!A:N,10,FALSE)/1000</f>
        <v>241.73738</v>
      </c>
      <c r="E28" s="13">
        <f>VLOOKUP(A28,[1]CER_SubK_PO_Status!A:N,11,FALSE)/1000</f>
        <v>232.16307</v>
      </c>
      <c r="F28" s="13">
        <f>VLOOKUP(A28,[1]CER_SubK_PO_Status!A:N,12,FALSE)/1000</f>
        <v>222.07996</v>
      </c>
      <c r="G28" s="13">
        <f t="shared" si="0"/>
        <v>9.574309999999997</v>
      </c>
      <c r="H28" s="13">
        <f t="shared" si="1"/>
        <v>19.657420000000002</v>
      </c>
      <c r="I28" s="12" t="str">
        <f>VLOOKUP(A28,[1]CER_SubK_PO_Status!A:N,5,FALSE)</f>
        <v>MICHELE KHASIDIS</v>
      </c>
      <c r="J28" s="14" t="str">
        <f>RIGHT(VLOOKUP(A28,[1]CER_SubK_PO_Status!A:N,14,FALSE),LEN(VLOOKUP(A28,[1]CER_SubK_PO_Status!A:N,14,FALSE))-SEARCH("/",VLOOKUP(A28,[1]CER_SubK_PO_Status!A:N,14,FALSE),1))</f>
        <v>T STEWART</v>
      </c>
      <c r="K28" s="15" t="str">
        <f>IF(VLOOKUP(A28,[1]CER_SubK_PO_Status!A:R,15,FALSE)=0,"",VLOOKUP(A28,[1]CER_SubK_PO_Status!A:R,15,FALSE))</f>
        <v>STEWART, TANYA-GAYE N</v>
      </c>
      <c r="L28" s="15" t="str">
        <f>IF(VLOOKUP(A28,[1]CER_SubK_PO_Status!A:R,17,FALSE)=0,"",VLOOKUP(A28,[1]CER_SubK_PO_Status!A:R,17,FALSE))</f>
        <v/>
      </c>
      <c r="M28" s="15" t="str">
        <f>IF(VLOOKUP(A28,[1]CER_SubK_PO_Status!A:R,16,FALSE)=0,"",VLOOKUP(A28,[1]CER_SubK_PO_Status!A:R,16,FALSE))</f>
        <v>fraites@jlab.org</v>
      </c>
      <c r="N28" s="15" t="str">
        <f>IF(VLOOKUP(A28,[1]CER_SubK_PO_Status!A:R,18,FALSE)=0,"",VLOOKUP(A28,[1]CER_SubK_PO_Status!A:R,18,FALSE))</f>
        <v/>
      </c>
    </row>
    <row r="29" spans="1:14" ht="54.95" customHeight="1" x14ac:dyDescent="0.2">
      <c r="A29" s="12" t="s">
        <v>98</v>
      </c>
      <c r="B29" s="12" t="str">
        <f>VLOOKUP(A29,[1]CER_SubK_PO_Status!A:N,9,FALSE)</f>
        <v>Open</v>
      </c>
      <c r="C29" s="12" t="str">
        <f>VLOOKUP(A29,[1]CER_SubK_PO_Status!A:N,7,FALSE)</f>
        <v>GEORGIA STATE UNIVERSITY</v>
      </c>
      <c r="D29" s="13">
        <f>VLOOKUP(A29,[1]CER_SubK_PO_Status!A:N,10,FALSE)/1000</f>
        <v>37.950000000000003</v>
      </c>
      <c r="E29" s="13">
        <f>VLOOKUP(A29,[1]CER_SubK_PO_Status!A:N,11,FALSE)/1000</f>
        <v>24.15</v>
      </c>
      <c r="F29" s="13">
        <f>VLOOKUP(A29,[1]CER_SubK_PO_Status!A:N,12,FALSE)/1000</f>
        <v>0</v>
      </c>
      <c r="G29" s="13">
        <f t="shared" si="0"/>
        <v>13.800000000000004</v>
      </c>
      <c r="H29" s="13">
        <f t="shared" si="1"/>
        <v>37.950000000000003</v>
      </c>
      <c r="I29" s="22" t="str">
        <f>VLOOKUP(A29,[1]CER_SubK_PO_Status!A:N,5,FALSE)</f>
        <v>GIUSEPPINA TENBUSCH</v>
      </c>
      <c r="J29" s="14" t="e">
        <f>RIGHT(VLOOKUP(A29,[1]CER_SubK_PO_Status!A:N,14,FALSE),LEN(VLOOKUP(A29,[1]CER_SubK_PO_Status!A:N,14,FALSE))-SEARCH("/",VLOOKUP(A29,[1]CER_SubK_PO_Status!A:N,14,FALSE),1))</f>
        <v>#VALUE!</v>
      </c>
      <c r="K29" s="15" t="str">
        <f>IF(VLOOKUP(A29,[1]CER_SubK_PO_Status!A:R,15,FALSE)=0,"",VLOOKUP(A29,[1]CER_SubK_PO_Status!A:R,15,FALSE))</f>
        <v>STEWART, TANYA-GAYE N</v>
      </c>
      <c r="L29" s="15" t="str">
        <f>IF(VLOOKUP(A29,[1]CER_SubK_PO_Status!A:R,17,FALSE)=0,"",VLOOKUP(A29,[1]CER_SubK_PO_Status!A:R,17,FALSE))</f>
        <v>PARKINSON, SHARON K</v>
      </c>
      <c r="M29" s="15" t="str">
        <f>IF(VLOOKUP(A29,[1]CER_SubK_PO_Status!A:R,16,FALSE)=0,"",VLOOKUP(A29,[1]CER_SubK_PO_Status!A:R,16,FALSE))</f>
        <v>fraites@jlab.org</v>
      </c>
      <c r="N29" s="15" t="str">
        <f>IF(VLOOKUP(A29,[1]CER_SubK_PO_Status!A:R,18,FALSE)=0,"",VLOOKUP(A29,[1]CER_SubK_PO_Status!A:R,18,FALSE))</f>
        <v>spark@jlab.org</v>
      </c>
    </row>
    <row r="30" spans="1:14" ht="54.95" customHeight="1" x14ac:dyDescent="0.2">
      <c r="A30" s="12" t="s">
        <v>30</v>
      </c>
      <c r="B30" s="12" t="str">
        <f>VLOOKUP(A30,[1]CER_SubK_PO_Status!A:N,9,FALSE)</f>
        <v>Open</v>
      </c>
      <c r="C30" s="12" t="str">
        <f>VLOOKUP(A30,[1]CER_SubK_PO_Status!A:N,7,FALSE)</f>
        <v>HAMPTON UNIVERSITY</v>
      </c>
      <c r="D30" s="13">
        <f>VLOOKUP(A30,[1]CER_SubK_PO_Status!A:N,10,FALSE)/1000</f>
        <v>273.83335999999997</v>
      </c>
      <c r="E30" s="13">
        <f>VLOOKUP(A30,[1]CER_SubK_PO_Status!A:N,11,FALSE)/1000</f>
        <v>264.33335999999997</v>
      </c>
      <c r="F30" s="13">
        <f>VLOOKUP(A30,[1]CER_SubK_PO_Status!A:N,12,FALSE)/1000</f>
        <v>254.83336</v>
      </c>
      <c r="G30" s="13">
        <f>D30-E30</f>
        <v>9.5</v>
      </c>
      <c r="H30" s="13">
        <f>D30-F30</f>
        <v>18.999999999999972</v>
      </c>
      <c r="I30" s="12" t="str">
        <f>VLOOKUP(A30,[1]CER_SubK_PO_Status!A:N,5,FALSE)</f>
        <v>GIUSEPPINA TENBUSCH</v>
      </c>
      <c r="J30" s="14" t="str">
        <f>RIGHT(VLOOKUP(A30,[1]CER_SubK_PO_Status!A:N,14,FALSE),LEN(VLOOKUP(A30,[1]CER_SubK_PO_Status!A:N,14,FALSE))-SEARCH("/",VLOOKUP(A30,[1]CER_SubK_PO_Status!A:N,14,FALSE),1))</f>
        <v>TANYA STEWART</v>
      </c>
      <c r="K30" s="15" t="str">
        <f>IF(VLOOKUP(A30,[1]CER_SubK_PO_Status!A:R,15,FALSE)=0,"",VLOOKUP(A30,[1]CER_SubK_PO_Status!A:R,15,FALSE))</f>
        <v>STEWART, TANYA-GAYE N</v>
      </c>
      <c r="L30" s="15" t="str">
        <f>IF(VLOOKUP(A30,[1]CER_SubK_PO_Status!A:R,17,FALSE)=0,"",VLOOKUP(A30,[1]CER_SubK_PO_Status!A:R,17,FALSE))</f>
        <v>PARKINSON, SHARON K</v>
      </c>
      <c r="M30" s="15" t="str">
        <f>IF(VLOOKUP(A30,[1]CER_SubK_PO_Status!A:R,16,FALSE)=0,"",VLOOKUP(A30,[1]CER_SubK_PO_Status!A:R,16,FALSE))</f>
        <v>fraites@jlab.org</v>
      </c>
      <c r="N30" s="15" t="str">
        <f>IF(VLOOKUP(A30,[1]CER_SubK_PO_Status!A:R,18,FALSE)=0,"",VLOOKUP(A30,[1]CER_SubK_PO_Status!A:R,18,FALSE))</f>
        <v>spark@jlab.org</v>
      </c>
    </row>
    <row r="31" spans="1:14" ht="54.95" customHeight="1" x14ac:dyDescent="0.2">
      <c r="A31" s="12" t="s">
        <v>31</v>
      </c>
      <c r="B31" s="12" t="str">
        <f>VLOOKUP(A31,[1]CER_SubK_PO_Status!A:N,9,FALSE)</f>
        <v>Open</v>
      </c>
      <c r="C31" s="12" t="str">
        <f>VLOOKUP(A31,[1]CER_SubK_PO_Status!A:N,7,FALSE)</f>
        <v>HAMPTON UNIVERSITY</v>
      </c>
      <c r="D31" s="13">
        <f>VLOOKUP(A31,[1]CER_SubK_PO_Status!A:N,10,FALSE)/1000</f>
        <v>579.40731000000005</v>
      </c>
      <c r="E31" s="13">
        <f>VLOOKUP(A31,[1]CER_SubK_PO_Status!A:N,11,FALSE)/1000</f>
        <v>552.27743999999996</v>
      </c>
      <c r="F31" s="13">
        <f>VLOOKUP(A31,[1]CER_SubK_PO_Status!A:N,12,FALSE)/1000</f>
        <v>527.73814000000004</v>
      </c>
      <c r="G31" s="13">
        <f t="shared" si="0"/>
        <v>27.129870000000096</v>
      </c>
      <c r="H31" s="13">
        <f t="shared" si="1"/>
        <v>51.669170000000008</v>
      </c>
      <c r="I31" s="12" t="str">
        <f>VLOOKUP(A31,[1]CER_SubK_PO_Status!A:N,5,FALSE)</f>
        <v>GIUSEPPINA TENBUSCH</v>
      </c>
      <c r="J31" s="14" t="str">
        <f>RIGHT(VLOOKUP(A31,[1]CER_SubK_PO_Status!A:N,14,FALSE),LEN(VLOOKUP(A31,[1]CER_SubK_PO_Status!A:N,14,FALSE))-SEARCH("/",VLOOKUP(A31,[1]CER_SubK_PO_Status!A:N,14,FALSE),1))</f>
        <v>TANYA STEWART</v>
      </c>
      <c r="K31" s="15" t="str">
        <f>IF(VLOOKUP(A31,[1]CER_SubK_PO_Status!A:R,15,FALSE)=0,"",VLOOKUP(A31,[1]CER_SubK_PO_Status!A:R,15,FALSE))</f>
        <v>STEWART, TANYA-GAYE N</v>
      </c>
      <c r="L31" s="15" t="str">
        <f>IF(VLOOKUP(A31,[1]CER_SubK_PO_Status!A:R,17,FALSE)=0,"",VLOOKUP(A31,[1]CER_SubK_PO_Status!A:R,17,FALSE))</f>
        <v>PARKINSON, SHARON K</v>
      </c>
      <c r="M31" s="15" t="str">
        <f>IF(VLOOKUP(A31,[1]CER_SubK_PO_Status!A:R,16,FALSE)=0,"",VLOOKUP(A31,[1]CER_SubK_PO_Status!A:R,16,FALSE))</f>
        <v>fraites@jlab.org</v>
      </c>
      <c r="N31" s="15" t="str">
        <f>IF(VLOOKUP(A31,[1]CER_SubK_PO_Status!A:R,18,FALSE)=0,"",VLOOKUP(A31,[1]CER_SubK_PO_Status!A:R,18,FALSE))</f>
        <v>spark@jlab.org</v>
      </c>
    </row>
    <row r="32" spans="1:14" ht="54.95" customHeight="1" x14ac:dyDescent="0.2">
      <c r="A32" s="12" t="s">
        <v>32</v>
      </c>
      <c r="B32" s="12" t="str">
        <f>VLOOKUP(A32,[1]CER_SubK_PO_Status!A:N,9,FALSE)</f>
        <v>Open</v>
      </c>
      <c r="C32" s="12" t="str">
        <f>VLOOKUP(A32,[1]CER_SubK_PO_Status!A:N,7,FALSE)</f>
        <v>HAYASHI-REPIC CO LTD</v>
      </c>
      <c r="D32" s="13">
        <f>VLOOKUP(A32,[1]CER_SubK_PO_Status!A:N,10,FALSE)/1000</f>
        <v>350</v>
      </c>
      <c r="E32" s="13">
        <f>VLOOKUP(A32,[1]CER_SubK_PO_Status!A:N,11,FALSE)/1000</f>
        <v>0</v>
      </c>
      <c r="F32" s="13">
        <f>VLOOKUP(A32,[1]CER_SubK_PO_Status!A:N,12,FALSE)/1000</f>
        <v>0</v>
      </c>
      <c r="G32" s="13">
        <f t="shared" si="0"/>
        <v>350</v>
      </c>
      <c r="H32" s="13">
        <f t="shared" si="1"/>
        <v>350</v>
      </c>
      <c r="I32" s="12" t="str">
        <f>VLOOKUP(A32,[1]CER_SubK_PO_Status!A:N,5,FALSE)</f>
        <v>THOMAS HURATIAK</v>
      </c>
      <c r="J32" s="14" t="str">
        <f>RIGHT(VLOOKUP(A32,[1]CER_SubK_PO_Status!A:N,14,FALSE),LEN(VLOOKUP(A32,[1]CER_SubK_PO_Status!A:N,14,FALSE))-SEARCH("/",VLOOKUP(A32,[1]CER_SubK_PO_Status!A:N,14,FALSE),1))</f>
        <v xml:space="preserve">GIGI CIOVATI </v>
      </c>
      <c r="K32" s="15" t="str">
        <f>IF(VLOOKUP(A32,[1]CER_SubK_PO_Status!A:R,15,FALSE)=0,"",VLOOKUP(A32,[1]CER_SubK_PO_Status!A:R,15,FALSE))</f>
        <v>CIOVATI, GIANLUIGI</v>
      </c>
      <c r="L32" s="15" t="str">
        <f>IF(VLOOKUP(A32,[1]CER_SubK_PO_Status!A:R,17,FALSE)=0,"",VLOOKUP(A32,[1]CER_SubK_PO_Status!A:R,17,FALSE))</f>
        <v/>
      </c>
      <c r="M32" s="15" t="str">
        <f>IF(VLOOKUP(A32,[1]CER_SubK_PO_Status!A:R,16,FALSE)=0,"",VLOOKUP(A32,[1]CER_SubK_PO_Status!A:R,16,FALSE))</f>
        <v>gciovati@jlab.org</v>
      </c>
      <c r="N32" s="15" t="str">
        <f>IF(VLOOKUP(A32,[1]CER_SubK_PO_Status!A:R,18,FALSE)=0,"",VLOOKUP(A32,[1]CER_SubK_PO_Status!A:R,18,FALSE))</f>
        <v/>
      </c>
    </row>
    <row r="33" spans="1:14" ht="54.95" customHeight="1" x14ac:dyDescent="0.2">
      <c r="A33" s="12" t="s">
        <v>33</v>
      </c>
      <c r="B33" s="12" t="str">
        <f>VLOOKUP(A33,[1]CER_SubK_PO_Status!A:N,9,FALSE)</f>
        <v>Open</v>
      </c>
      <c r="C33" s="12" t="str">
        <f>VLOOKUP(A33,[1]CER_SubK_PO_Status!A:N,7,FALSE)</f>
        <v>HOMELAND CONTRACTING CORP</v>
      </c>
      <c r="D33" s="13">
        <f>VLOOKUP(A33,[1]CER_SubK_PO_Status!A:N,10,FALSE)/1000</f>
        <v>1517.1369999999999</v>
      </c>
      <c r="E33" s="13">
        <f>VLOOKUP(A33,[1]CER_SubK_PO_Status!A:N,11,FALSE)/1000</f>
        <v>1514.82879</v>
      </c>
      <c r="F33" s="13">
        <f>VLOOKUP(A33,[1]CER_SubK_PO_Status!A:N,12,FALSE)/1000</f>
        <v>1514.692</v>
      </c>
      <c r="G33" s="13">
        <f t="shared" si="0"/>
        <v>2.3082099999999173</v>
      </c>
      <c r="H33" s="13">
        <f t="shared" si="1"/>
        <v>2.4449999999999363</v>
      </c>
      <c r="I33" s="12" t="str">
        <f>VLOOKUP(A33,[1]CER_SubK_PO_Status!A:N,5,FALSE)</f>
        <v>CAROLYN STEPNEY</v>
      </c>
      <c r="J33" s="14" t="str">
        <f>RIGHT(VLOOKUP(A33,[1]CER_SubK_PO_Status!A:N,14,FALSE),LEN(VLOOKUP(A33,[1]CER_SubK_PO_Status!A:N,14,FALSE))-SEARCH("/",VLOOKUP(A33,[1]CER_SubK_PO_Status!A:N,14,FALSE),1))</f>
        <v>T RENZO</v>
      </c>
      <c r="K33" s="15" t="str">
        <f>IF(VLOOKUP(A33,[1]CER_SubK_PO_Status!A:R,15,FALSE)=0,"",VLOOKUP(A33,[1]CER_SubK_PO_Status!A:R,15,FALSE))</f>
        <v>FRIES, RUSSELL W</v>
      </c>
      <c r="L33" s="15" t="str">
        <f>IF(VLOOKUP(A33,[1]CER_SubK_PO_Status!A:R,17,FALSE)=0,"",VLOOKUP(A33,[1]CER_SubK_PO_Status!A:R,17,FALSE))</f>
        <v>DOLBECK, JOEL</v>
      </c>
      <c r="M33" s="15" t="str">
        <f>IF(VLOOKUP(A33,[1]CER_SubK_PO_Status!A:R,16,FALSE)=0,"",VLOOKUP(A33,[1]CER_SubK_PO_Status!A:R,16,FALSE))</f>
        <v>rfries@jlab.org</v>
      </c>
      <c r="N33" s="15" t="str">
        <f>IF(VLOOKUP(A33,[1]CER_SubK_PO_Status!A:R,18,FALSE)=0,"",VLOOKUP(A33,[1]CER_SubK_PO_Status!A:R,18,FALSE))</f>
        <v>dolbeck@jlab.org</v>
      </c>
    </row>
    <row r="34" spans="1:14" ht="54.95" customHeight="1" x14ac:dyDescent="0.2">
      <c r="A34" s="12" t="s">
        <v>34</v>
      </c>
      <c r="B34" s="12" t="str">
        <f>VLOOKUP(A34,[1]CER_SubK_PO_Status!A:N,9,FALSE)</f>
        <v>Open</v>
      </c>
      <c r="C34" s="12" t="str">
        <f>VLOOKUP(A34,[1]CER_SubK_PO_Status!A:N,7,FALSE)</f>
        <v>JOSEPH OAT CORPORATION</v>
      </c>
      <c r="D34" s="13">
        <f>VLOOKUP(A34,[1]CER_SubK_PO_Status!A:N,10,FALSE)/1000</f>
        <v>1847.24</v>
      </c>
      <c r="E34" s="13">
        <f>VLOOKUP(A34,[1]CER_SubK_PO_Status!A:N,11,FALSE)/1000</f>
        <v>1847.24</v>
      </c>
      <c r="F34" s="13">
        <f>VLOOKUP(A34,[1]CER_SubK_PO_Status!A:N,12,FALSE)/1000</f>
        <v>1827.3131599999999</v>
      </c>
      <c r="G34" s="13">
        <f t="shared" si="0"/>
        <v>0</v>
      </c>
      <c r="H34" s="13">
        <f t="shared" si="1"/>
        <v>19.926840000000084</v>
      </c>
      <c r="I34" s="12" t="str">
        <f>VLOOKUP(A34,[1]CER_SubK_PO_Status!A:N,5,FALSE)</f>
        <v>THOMAS HURATIAK</v>
      </c>
      <c r="J34" s="14" t="str">
        <f>RIGHT(VLOOKUP(A34,[1]CER_SubK_PO_Status!A:N,14,FALSE),LEN(VLOOKUP(A34,[1]CER_SubK_PO_Status!A:N,14,FALSE))-SEARCH("/",VLOOKUP(A34,[1]CER_SubK_PO_Status!A:N,14,FALSE),1))</f>
        <v>K WILSON/MIKED</v>
      </c>
      <c r="K34" s="15" t="str">
        <f>IF(VLOOKUP(A34,[1]CER_SubK_PO_Status!A:R,15,FALSE)=0,"",VLOOKUP(A34,[1]CER_SubK_PO_Status!A:R,15,FALSE))</f>
        <v>WILSON, KATHERINE M</v>
      </c>
      <c r="L34" s="15" t="str">
        <f>IF(VLOOKUP(A34,[1]CER_SubK_PO_Status!A:R,17,FALSE)=0,"",VLOOKUP(A34,[1]CER_SubK_PO_Status!A:R,17,FALSE))</f>
        <v>HURATIAK, THOMAS</v>
      </c>
      <c r="M34" s="15" t="str">
        <f>IF(VLOOKUP(A34,[1]CER_SubK_PO_Status!A:R,16,FALSE)=0,"",VLOOKUP(A34,[1]CER_SubK_PO_Status!A:R,16,FALSE))</f>
        <v>kwilson@jlab.org</v>
      </c>
      <c r="N34" s="15" t="str">
        <f>IF(VLOOKUP(A34,[1]CER_SubK_PO_Status!A:R,18,FALSE)=0,"",VLOOKUP(A34,[1]CER_SubK_PO_Status!A:R,18,FALSE))</f>
        <v>huratiak@jlab.org</v>
      </c>
    </row>
    <row r="35" spans="1:14" ht="63.6" customHeight="1" x14ac:dyDescent="0.2">
      <c r="A35" s="12" t="s">
        <v>35</v>
      </c>
      <c r="B35" s="12" t="str">
        <f>VLOOKUP(A35,[1]CER_SubK_PO_Status!A:N,9,FALSE)</f>
        <v>Open</v>
      </c>
      <c r="C35" s="12" t="str">
        <f>VLOOKUP(A35,[1]CER_SubK_PO_Status!A:N,7,FALSE)</f>
        <v>JOSEPH OAT CORPORATION</v>
      </c>
      <c r="D35" s="13">
        <f>VLOOKUP(A35,[1]CER_SubK_PO_Status!A:N,10,FALSE)/1000</f>
        <v>437.95699999999999</v>
      </c>
      <c r="E35" s="13">
        <f>VLOOKUP(A35,[1]CER_SubK_PO_Status!A:N,11,FALSE)/1000</f>
        <v>350.36559999999997</v>
      </c>
      <c r="F35" s="13">
        <f>VLOOKUP(A35,[1]CER_SubK_PO_Status!A:N,12,FALSE)/1000</f>
        <v>350.36559999999997</v>
      </c>
      <c r="G35" s="13">
        <f t="shared" si="0"/>
        <v>87.591400000000021</v>
      </c>
      <c r="H35" s="13">
        <f t="shared" si="1"/>
        <v>87.591400000000021</v>
      </c>
      <c r="I35" s="12" t="str">
        <f>VLOOKUP(A35,[1]CER_SubK_PO_Status!A:N,5,FALSE)</f>
        <v>THOMAS HURATIAK</v>
      </c>
      <c r="J35" s="14" t="str">
        <f>RIGHT(VLOOKUP(A35,[1]CER_SubK_PO_Status!A:N,14,FALSE),LEN(VLOOKUP(A35,[1]CER_SubK_PO_Status!A:N,14,FALSE))-SEARCH("/",VLOOKUP(A35,[1]CER_SubK_PO_Status!A:N,14,FALSE),1))</f>
        <v>K WILSON</v>
      </c>
      <c r="K35" s="15" t="str">
        <f>IF(VLOOKUP(A35,[1]CER_SubK_PO_Status!A:R,15,FALSE)=0,"",VLOOKUP(A35,[1]CER_SubK_PO_Status!A:R,15,FALSE))</f>
        <v>WILSON, KATHERINE M</v>
      </c>
      <c r="L35" s="15" t="str">
        <f>IF(VLOOKUP(A35,[1]CER_SubK_PO_Status!A:R,17,FALSE)=0,"",VLOOKUP(A35,[1]CER_SubK_PO_Status!A:R,17,FALSE))</f>
        <v>HUQUE, NAEEM A</v>
      </c>
      <c r="M35" s="15" t="str">
        <f>IF(VLOOKUP(A35,[1]CER_SubK_PO_Status!A:R,16,FALSE)=0,"",VLOOKUP(A35,[1]CER_SubK_PO_Status!A:R,16,FALSE))</f>
        <v>kwilson@jlab.org</v>
      </c>
      <c r="N35" s="15" t="str">
        <f>IF(VLOOKUP(A35,[1]CER_SubK_PO_Status!A:R,18,FALSE)=0,"",VLOOKUP(A35,[1]CER_SubK_PO_Status!A:R,18,FALSE))</f>
        <v>huque@jlab.org</v>
      </c>
    </row>
    <row r="36" spans="1:14" ht="54.95" customHeight="1" x14ac:dyDescent="0.2">
      <c r="A36" s="12" t="s">
        <v>99</v>
      </c>
      <c r="B36" s="12" t="str">
        <f>VLOOKUP(A36,[1]CER_SubK_PO_Status!A:N,9,FALSE)</f>
        <v>Open</v>
      </c>
      <c r="C36" s="12" t="str">
        <f>VLOOKUP(A36,[1]CER_SubK_PO_Status!A:N,7,FALSE)</f>
        <v>KENDALL HOLDINGS LTD.</v>
      </c>
      <c r="D36" s="13">
        <f>VLOOKUP(A36,[1]CER_SubK_PO_Status!A:N,10,FALSE)/1000</f>
        <v>202.517</v>
      </c>
      <c r="E36" s="13">
        <f>VLOOKUP(A36,[1]CER_SubK_PO_Status!A:N,11,FALSE)/1000</f>
        <v>70.880949999999999</v>
      </c>
      <c r="F36" s="13">
        <f>VLOOKUP(A36,[1]CER_SubK_PO_Status!A:N,12,FALSE)/1000</f>
        <v>70.880949999999999</v>
      </c>
      <c r="G36" s="13">
        <f>D36-E36</f>
        <v>131.63605000000001</v>
      </c>
      <c r="H36" s="13">
        <f>D36-F36</f>
        <v>131.63605000000001</v>
      </c>
      <c r="I36" s="12" t="str">
        <f>VLOOKUP(A36,[1]CER_SubK_PO_Status!A:N,5,FALSE)</f>
        <v>THOMAS HURATIAK</v>
      </c>
      <c r="J36" s="14" t="str">
        <f>RIGHT(VLOOKUP(A36,[1]CER_SubK_PO_Status!A:N,14,FALSE),LEN(VLOOKUP(A36,[1]CER_SubK_PO_Status!A:N,14,FALSE))-SEARCH("/",VLOOKUP(A36,[1]CER_SubK_PO_Status!A:N,14,FALSE),1))</f>
        <v>T WIJERATNE</v>
      </c>
      <c r="K36" s="15" t="str">
        <f>IF(VLOOKUP(A36,[1]CER_SubK_PO_Status!A:R,15,FALSE)=0,"",VLOOKUP(A36,[1]CER_SubK_PO_Status!A:R,15,FALSE))</f>
        <v>WIJERATNE, THILAN K</v>
      </c>
      <c r="L36" s="15" t="str">
        <f>IF(VLOOKUP(A36,[1]CER_SubK_PO_Status!A:R,17,FALSE)=0,"",VLOOKUP(A36,[1]CER_SubK_PO_Status!A:R,17,FALSE))</f>
        <v/>
      </c>
      <c r="M36" s="15" t="str">
        <f>IF(VLOOKUP(A36,[1]CER_SubK_PO_Status!A:R,16,FALSE)=0,"",VLOOKUP(A36,[1]CER_SubK_PO_Status!A:R,16,FALSE))</f>
        <v>thilan@jlab.org</v>
      </c>
      <c r="N36" s="15" t="str">
        <f>IF(VLOOKUP(A36,[1]CER_SubK_PO_Status!A:R,18,FALSE)=0,"",VLOOKUP(A36,[1]CER_SubK_PO_Status!A:R,18,FALSE))</f>
        <v/>
      </c>
    </row>
    <row r="37" spans="1:14" ht="54.95" customHeight="1" x14ac:dyDescent="0.2">
      <c r="A37" s="12" t="s">
        <v>100</v>
      </c>
      <c r="B37" s="12" t="str">
        <f>VLOOKUP(A37,[1]CER_SubK_PO_Status!A:N,9,FALSE)</f>
        <v>Open</v>
      </c>
      <c r="C37" s="12" t="str">
        <f>VLOOKUP(A37,[1]CER_SubK_PO_Status!A:N,7,FALSE)</f>
        <v>LONGENECKER &amp; ASSOCIATES</v>
      </c>
      <c r="D37" s="13">
        <f>VLOOKUP(A37,[1]CER_SubK_PO_Status!A:N,10,FALSE)/1000</f>
        <v>21.023419999999998</v>
      </c>
      <c r="E37" s="13">
        <f>VLOOKUP(A37,[1]CER_SubK_PO_Status!A:N,11,FALSE)/1000</f>
        <v>4.7359</v>
      </c>
      <c r="F37" s="13">
        <f>VLOOKUP(A37,[1]CER_SubK_PO_Status!A:N,12,FALSE)/1000</f>
        <v>4.5610499999999998</v>
      </c>
      <c r="G37" s="13">
        <f>D37-E37</f>
        <v>16.287519999999997</v>
      </c>
      <c r="H37" s="13">
        <f>D37-F37</f>
        <v>16.46237</v>
      </c>
      <c r="I37" s="12" t="str">
        <f>VLOOKUP(A37,[1]CER_SubK_PO_Status!A:N,5,FALSE)</f>
        <v>MELISSA TORRES</v>
      </c>
      <c r="J37" s="14" t="str">
        <f>RIGHT(VLOOKUP(A37,[1]CER_SubK_PO_Status!A:N,14,FALSE),LEN(VLOOKUP(A37,[1]CER_SubK_PO_Status!A:N,14,FALSE))-SEARCH("/",VLOOKUP(A37,[1]CER_SubK_PO_Status!A:N,14,FALSE),1))</f>
        <v xml:space="preserve">M SOLAROLI </v>
      </c>
      <c r="K37" s="15" t="str">
        <f>IF(VLOOKUP(A37,[1]CER_SubK_PO_Status!A:R,15,FALSE)=0,"",VLOOKUP(A37,[1]CER_SubK_PO_Status!A:R,15,FALSE))</f>
        <v>SOLAROLI, MICHELE L</v>
      </c>
      <c r="L37" s="15" t="str">
        <f>IF(VLOOKUP(A37,[1]CER_SubK_PO_Status!A:R,17,FALSE)=0,"",VLOOKUP(A37,[1]CER_SubK_PO_Status!A:R,17,FALSE))</f>
        <v>TORRES, MELISSA C</v>
      </c>
      <c r="M37" s="15" t="str">
        <f>IF(VLOOKUP(A37,[1]CER_SubK_PO_Status!A:R,16,FALSE)=0,"",VLOOKUP(A37,[1]CER_SubK_PO_Status!A:R,16,FALSE))</f>
        <v>msolarol@jlab.org</v>
      </c>
      <c r="N37" s="15" t="str">
        <f>IF(VLOOKUP(A37,[1]CER_SubK_PO_Status!A:R,18,FALSE)=0,"",VLOOKUP(A37,[1]CER_SubK_PO_Status!A:R,18,FALSE))</f>
        <v>torres@jlab.org</v>
      </c>
    </row>
    <row r="38" spans="1:14" ht="54.95" customHeight="1" x14ac:dyDescent="0.2">
      <c r="A38" s="12" t="s">
        <v>101</v>
      </c>
      <c r="B38" s="12" t="str">
        <f>VLOOKUP(A38,[1]CER_SubK_PO_Status!A:N,9,FALSE)</f>
        <v>Open</v>
      </c>
      <c r="C38" s="12" t="str">
        <f>VLOOKUP(A38,[1]CER_SubK_PO_Status!A:N,7,FALSE)</f>
        <v>MARK D. BAKER</v>
      </c>
      <c r="D38" s="13">
        <f>VLOOKUP(A38,[1]CER_SubK_PO_Status!A:N,10,FALSE)/1000</f>
        <v>51.408000000000001</v>
      </c>
      <c r="E38" s="13">
        <f>VLOOKUP(A38,[1]CER_SubK_PO_Status!A:N,11,FALSE)/1000</f>
        <v>45.594000000000001</v>
      </c>
      <c r="F38" s="13">
        <f>VLOOKUP(A38,[1]CER_SubK_PO_Status!A:N,12,FALSE)/1000</f>
        <v>45.594000000000001</v>
      </c>
      <c r="G38" s="13">
        <f>D38-E38</f>
        <v>5.8140000000000001</v>
      </c>
      <c r="H38" s="13">
        <f>D38-F38</f>
        <v>5.8140000000000001</v>
      </c>
      <c r="I38" s="12" t="str">
        <f>VLOOKUP(A38,[1]CER_SubK_PO_Status!A:N,5,FALSE)</f>
        <v>GIUSEPPINA TENBUSCH</v>
      </c>
      <c r="J38" s="14" t="str">
        <f>RIGHT(VLOOKUP(A38,[1]CER_SubK_PO_Status!A:N,14,FALSE),LEN(VLOOKUP(A38,[1]CER_SubK_PO_Status!A:N,14,FALSE))-SEARCH("/",VLOOKUP(A38,[1]CER_SubK_PO_Status!A:N,14,FALSE),1))</f>
        <v>D HIGINBOTHAM</v>
      </c>
      <c r="K38" s="15" t="str">
        <f>IF(VLOOKUP(A38,[1]CER_SubK_PO_Status!A:R,15,FALSE)=0,"",VLOOKUP(A38,[1]CER_SubK_PO_Status!A:R,15,FALSE))</f>
        <v>HIGINBOTHAM, DOUGLAS W.</v>
      </c>
      <c r="L38" s="15" t="str">
        <f>IF(VLOOKUP(A38,[1]CER_SubK_PO_Status!A:R,17,FALSE)=0,"",VLOOKUP(A38,[1]CER_SubK_PO_Status!A:R,17,FALSE))</f>
        <v/>
      </c>
      <c r="M38" s="15" t="str">
        <f>IF(VLOOKUP(A38,[1]CER_SubK_PO_Status!A:R,16,FALSE)=0,"",VLOOKUP(A38,[1]CER_SubK_PO_Status!A:R,16,FALSE))</f>
        <v>doug@jlab.org</v>
      </c>
      <c r="N38" s="15" t="str">
        <f>IF(VLOOKUP(A38,[1]CER_SubK_PO_Status!A:R,18,FALSE)=0,"",VLOOKUP(A38,[1]CER_SubK_PO_Status!A:R,18,FALSE))</f>
        <v/>
      </c>
    </row>
    <row r="39" spans="1:14" ht="70.5" customHeight="1" x14ac:dyDescent="0.2">
      <c r="A39" s="12" t="s">
        <v>36</v>
      </c>
      <c r="B39" s="12" t="str">
        <f>VLOOKUP(A39,[1]CER_SubK_PO_Status!A:N,9,FALSE)</f>
        <v>Open</v>
      </c>
      <c r="C39" s="12" t="str">
        <f>VLOOKUP(A39,[1]CER_SubK_PO_Status!A:N,7,FALSE)</f>
        <v>MASSACHUSETTS INST OF TEC</v>
      </c>
      <c r="D39" s="13">
        <f>VLOOKUP(A39,[1]CER_SubK_PO_Status!A:N,10,FALSE)/1000</f>
        <v>510.76</v>
      </c>
      <c r="E39" s="13">
        <f>VLOOKUP(A39,[1]CER_SubK_PO_Status!A:N,11,FALSE)/1000</f>
        <v>18.43844</v>
      </c>
      <c r="F39" s="13">
        <f>VLOOKUP(A39,[1]CER_SubK_PO_Status!A:N,12,FALSE)/1000</f>
        <v>18.390180000000001</v>
      </c>
      <c r="G39" s="13">
        <f t="shared" si="0"/>
        <v>492.32155999999998</v>
      </c>
      <c r="H39" s="13">
        <f t="shared" si="1"/>
        <v>492.36982</v>
      </c>
      <c r="I39" s="12" t="str">
        <f>VLOOKUP(A39,[1]CER_SubK_PO_Status!A:N,5,FALSE)</f>
        <v>MITCHELL LANEY</v>
      </c>
      <c r="J39" s="14" t="str">
        <f>RIGHT(VLOOKUP(A39,[1]CER_SubK_PO_Status!A:N,14,FALSE),LEN(VLOOKUP(A39,[1]CER_SubK_PO_Status!A:N,14,FALSE))-SEARCH("/",VLOOKUP(A39,[1]CER_SubK_PO_Status!A:N,14,FALSE),1))</f>
        <v>M BIVENS</v>
      </c>
      <c r="K39" s="15" t="str">
        <f>IF(VLOOKUP(A39,[1]CER_SubK_PO_Status!A:R,15,FALSE)=0,"",VLOOKUP(A39,[1]CER_SubK_PO_Status!A:R,15,FALSE))</f>
        <v>BEVINS, MICHAEL E.</v>
      </c>
      <c r="L39" s="15" t="str">
        <f>IF(VLOOKUP(A39,[1]CER_SubK_PO_Status!A:R,17,FALSE)=0,"",VLOOKUP(A39,[1]CER_SubK_PO_Status!A:R,17,FALSE))</f>
        <v>LANEY, MITCHELL L</v>
      </c>
      <c r="M39" s="15" t="str">
        <f>IF(VLOOKUP(A39,[1]CER_SubK_PO_Status!A:R,16,FALSE)=0,"",VLOOKUP(A39,[1]CER_SubK_PO_Status!A:R,16,FALSE))</f>
        <v>mbevins@jlab.org</v>
      </c>
      <c r="N39" s="15" t="str">
        <f>IF(VLOOKUP(A39,[1]CER_SubK_PO_Status!A:R,18,FALSE)=0,"",VLOOKUP(A39,[1]CER_SubK_PO_Status!A:R,18,FALSE))</f>
        <v>laney@jlab.org</v>
      </c>
    </row>
    <row r="40" spans="1:14" ht="70.5" customHeight="1" x14ac:dyDescent="0.2">
      <c r="A40" s="12" t="s">
        <v>102</v>
      </c>
      <c r="B40" s="12" t="str">
        <f>VLOOKUP(A40,[1]CER_SubK_PO_Status!A:N,9,FALSE)</f>
        <v>Open</v>
      </c>
      <c r="C40" s="12" t="str">
        <f>VLOOKUP(A40,[1]CER_SubK_PO_Status!A:N,7,FALSE)</f>
        <v>MASSACHUSETTS INST OF TEC</v>
      </c>
      <c r="D40" s="13">
        <f>VLOOKUP(A40,[1]CER_SubK_PO_Status!A:N,10,FALSE)/1000</f>
        <v>12.99996</v>
      </c>
      <c r="E40" s="13">
        <f>VLOOKUP(A40,[1]CER_SubK_PO_Status!A:N,11,FALSE)/1000</f>
        <v>3.2499899999999999</v>
      </c>
      <c r="F40" s="13">
        <f>VLOOKUP(A40,[1]CER_SubK_PO_Status!A:N,12,FALSE)/1000</f>
        <v>0</v>
      </c>
      <c r="G40" s="13">
        <f t="shared" si="0"/>
        <v>9.7499699999999994</v>
      </c>
      <c r="H40" s="13">
        <f t="shared" si="1"/>
        <v>12.99996</v>
      </c>
      <c r="I40" s="12" t="str">
        <f>VLOOKUP(A40,[1]CER_SubK_PO_Status!A:N,5,FALSE)</f>
        <v>MICHELE KHASIDIS</v>
      </c>
      <c r="J40" s="14" t="e">
        <f>RIGHT(VLOOKUP(A40,[1]CER_SubK_PO_Status!A:N,14,FALSE),LEN(VLOOKUP(A40,[1]CER_SubK_PO_Status!A:N,14,FALSE))-SEARCH("/",VLOOKUP(A40,[1]CER_SubK_PO_Status!A:N,14,FALSE),1))</f>
        <v>#VALUE!</v>
      </c>
      <c r="K40" s="15" t="str">
        <f>IF(VLOOKUP(A40,[1]CER_SubK_PO_Status!A:R,15,FALSE)=0,"",VLOOKUP(A40,[1]CER_SubK_PO_Status!A:R,15,FALSE))</f>
        <v>STEWART, TANYA-GAYE N</v>
      </c>
      <c r="L40" s="15" t="str">
        <f>IF(VLOOKUP(A40,[1]CER_SubK_PO_Status!A:R,17,FALSE)=0,"",VLOOKUP(A40,[1]CER_SubK_PO_Status!A:R,17,FALSE))</f>
        <v/>
      </c>
      <c r="M40" s="15" t="str">
        <f>IF(VLOOKUP(A40,[1]CER_SubK_PO_Status!A:R,16,FALSE)=0,"",VLOOKUP(A40,[1]CER_SubK_PO_Status!A:R,16,FALSE))</f>
        <v>fraites@jlab.org</v>
      </c>
      <c r="N40" s="15" t="str">
        <f>IF(VLOOKUP(A40,[1]CER_SubK_PO_Status!A:R,18,FALSE)=0,"",VLOOKUP(A40,[1]CER_SubK_PO_Status!A:R,18,FALSE))</f>
        <v/>
      </c>
    </row>
    <row r="41" spans="1:14" ht="54.95" customHeight="1" x14ac:dyDescent="0.2">
      <c r="A41" s="12" t="s">
        <v>103</v>
      </c>
      <c r="B41" s="12" t="str">
        <f>VLOOKUP(A41,[1]CER_SubK_PO_Status!A:N,9,FALSE)</f>
        <v>Open</v>
      </c>
      <c r="C41" s="12" t="str">
        <f>VLOOKUP(A41,[1]CER_SubK_PO_Status!A:N,7,FALSE)</f>
        <v>MASTER MACHINE &amp; TOOL CO.</v>
      </c>
      <c r="D41" s="13">
        <f>VLOOKUP(A41,[1]CER_SubK_PO_Status!A:N,10,FALSE)/1000</f>
        <v>111.46287</v>
      </c>
      <c r="E41" s="13">
        <f>VLOOKUP(A41,[1]CER_SubK_PO_Status!A:N,11,FALSE)/1000</f>
        <v>40.715000000000003</v>
      </c>
      <c r="F41" s="13">
        <f>VLOOKUP(A41,[1]CER_SubK_PO_Status!A:N,12,FALSE)/1000</f>
        <v>40.715000000000003</v>
      </c>
      <c r="G41" s="13">
        <f t="shared" si="0"/>
        <v>70.747869999999992</v>
      </c>
      <c r="H41" s="13">
        <f t="shared" si="1"/>
        <v>70.747869999999992</v>
      </c>
      <c r="I41" s="12" t="str">
        <f>VLOOKUP(A41,[1]CER_SubK_PO_Status!A:N,5,FALSE)</f>
        <v>CHARLIE KIM</v>
      </c>
      <c r="J41" s="14" t="str">
        <f>RIGHT(VLOOKUP(A41,[1]CER_SubK_PO_Status!A:N,14,FALSE),LEN(VLOOKUP(A41,[1]CER_SubK_PO_Status!A:N,14,FALSE))-SEARCH("/",VLOOKUP(A41,[1]CER_SubK_PO_Status!A:N,14,FALSE),1))</f>
        <v>BRUNO CORITON</v>
      </c>
      <c r="K41" s="15" t="str">
        <f>IF(VLOOKUP(A41,[1]CER_SubK_PO_Status!A:R,15,FALSE)=0,"",VLOOKUP(A41,[1]CER_SubK_PO_Status!A:R,15,FALSE))</f>
        <v>CIOVATI, GIANLUIGI</v>
      </c>
      <c r="L41" s="15" t="str">
        <f>IF(VLOOKUP(A41,[1]CER_SubK_PO_Status!A:R,17,FALSE)=0,"",VLOOKUP(A41,[1]CER_SubK_PO_Status!A:R,17,FALSE))</f>
        <v/>
      </c>
      <c r="M41" s="15" t="str">
        <f>IF(VLOOKUP(A41,[1]CER_SubK_PO_Status!A:R,16,FALSE)=0,"",VLOOKUP(A41,[1]CER_SubK_PO_Status!A:R,16,FALSE))</f>
        <v>gciovati@jlab.org</v>
      </c>
      <c r="N41" s="15" t="str">
        <f>IF(VLOOKUP(A41,[1]CER_SubK_PO_Status!A:R,18,FALSE)=0,"",VLOOKUP(A41,[1]CER_SubK_PO_Status!A:R,18,FALSE))</f>
        <v/>
      </c>
    </row>
    <row r="42" spans="1:14" ht="54.95" customHeight="1" x14ac:dyDescent="0.2">
      <c r="A42" s="12" t="s">
        <v>104</v>
      </c>
      <c r="B42" s="12" t="str">
        <f>VLOOKUP(A42,[1]CER_SubK_PO_Status!A:N,9,FALSE)</f>
        <v>Open</v>
      </c>
      <c r="C42" s="12" t="str">
        <f>VLOOKUP(A42,[1]CER_SubK_PO_Status!A:N,7,FALSE)</f>
        <v>MEYER TOOL &amp; MFG INC</v>
      </c>
      <c r="D42" s="13">
        <f>VLOOKUP(A42,[1]CER_SubK_PO_Status!A:N,10,FALSE)/1000</f>
        <v>1821.229</v>
      </c>
      <c r="E42" s="13">
        <f>VLOOKUP(A42,[1]CER_SubK_PO_Status!A:N,11,FALSE)/1000</f>
        <v>1153.53865</v>
      </c>
      <c r="F42" s="13">
        <f>VLOOKUP(A42,[1]CER_SubK_PO_Status!A:N,12,FALSE)/1000</f>
        <v>1153.53864</v>
      </c>
      <c r="G42" s="13">
        <f t="shared" si="0"/>
        <v>667.69035000000008</v>
      </c>
      <c r="H42" s="13">
        <f t="shared" si="1"/>
        <v>667.69036000000006</v>
      </c>
      <c r="I42" s="12" t="str">
        <f>VLOOKUP(A42,[1]CER_SubK_PO_Status!A:N,5,FALSE)</f>
        <v>MITCHELL LANEY</v>
      </c>
      <c r="J42" s="14" t="str">
        <f>RIGHT(VLOOKUP(A42,[1]CER_SubK_PO_Status!A:N,14,FALSE),LEN(VLOOKUP(A42,[1]CER_SubK_PO_Status!A:N,14,FALSE))-SEARCH("/",VLOOKUP(A42,[1]CER_SubK_PO_Status!A:N,14,FALSE),1))</f>
        <v>G CHENG</v>
      </c>
      <c r="K42" s="15" t="str">
        <f>IF(VLOOKUP(A42,[1]CER_SubK_PO_Status!A:R,15,FALSE)=0,"",VLOOKUP(A42,[1]CER_SubK_PO_Status!A:R,15,FALSE))</f>
        <v>CHENG, GUANGFENG</v>
      </c>
      <c r="L42" s="15" t="str">
        <f>IF(VLOOKUP(A42,[1]CER_SubK_PO_Status!A:R,17,FALSE)=0,"",VLOOKUP(A42,[1]CER_SubK_PO_Status!A:R,17,FALSE))</f>
        <v>LANEY, MITCHELL L</v>
      </c>
      <c r="M42" s="15" t="str">
        <f>IF(VLOOKUP(A42,[1]CER_SubK_PO_Status!A:R,16,FALSE)=0,"",VLOOKUP(A42,[1]CER_SubK_PO_Status!A:R,16,FALSE))</f>
        <v>cheng@jlab.org</v>
      </c>
      <c r="N42" s="15" t="str">
        <f>IF(VLOOKUP(A42,[1]CER_SubK_PO_Status!A:R,18,FALSE)=0,"",VLOOKUP(A42,[1]CER_SubK_PO_Status!A:R,18,FALSE))</f>
        <v>laney@jlab.org</v>
      </c>
    </row>
    <row r="43" spans="1:14" ht="59.25" customHeight="1" x14ac:dyDescent="0.2">
      <c r="A43" s="12" t="s">
        <v>37</v>
      </c>
      <c r="B43" s="12" t="str">
        <f>VLOOKUP(A43,[1]CER_SubK_PO_Status!A:N,9,FALSE)</f>
        <v>Open</v>
      </c>
      <c r="C43" s="12" t="str">
        <f>VLOOKUP(A43,[1]CER_SubK_PO_Status!A:N,7,FALSE)</f>
        <v>MICHIGAN STATE UNIVERSITY</v>
      </c>
      <c r="D43" s="13">
        <f>VLOOKUP(A43,[1]CER_SubK_PO_Status!A:N,10,FALSE)/1000</f>
        <v>126.86304</v>
      </c>
      <c r="E43" s="13">
        <f>VLOOKUP(A43,[1]CER_SubK_PO_Status!A:N,11,FALSE)/1000</f>
        <v>118.62316</v>
      </c>
      <c r="F43" s="13">
        <f>VLOOKUP(A43,[1]CER_SubK_PO_Status!A:N,12,FALSE)/1000</f>
        <v>111.28974000000001</v>
      </c>
      <c r="G43" s="13">
        <f t="shared" si="0"/>
        <v>8.2398799999999994</v>
      </c>
      <c r="H43" s="13">
        <f t="shared" si="1"/>
        <v>15.573299999999989</v>
      </c>
      <c r="I43" s="12" t="str">
        <f>VLOOKUP(A43,[1]CER_SubK_PO_Status!A:N,5,FALSE)</f>
        <v>MICHELE KHASIDIS</v>
      </c>
      <c r="J43" s="14" t="str">
        <f>RIGHT(VLOOKUP(A43,[1]CER_SubK_PO_Status!A:N,14,FALSE),LEN(VLOOKUP(A43,[1]CER_SubK_PO_Status!A:N,14,FALSE))-SEARCH("/",VLOOKUP(A43,[1]CER_SubK_PO_Status!A:N,14,FALSE),1))</f>
        <v>TANYA STEWART</v>
      </c>
      <c r="K43" s="15" t="str">
        <f>IF(VLOOKUP(A43,[1]CER_SubK_PO_Status!A:R,15,FALSE)=0,"",VLOOKUP(A43,[1]CER_SubK_PO_Status!A:R,15,FALSE))</f>
        <v>STEWART, TANYA-GAYE N</v>
      </c>
      <c r="L43" s="15" t="str">
        <f>IF(VLOOKUP(A43,[1]CER_SubK_PO_Status!A:R,17,FALSE)=0,"",VLOOKUP(A43,[1]CER_SubK_PO_Status!A:R,17,FALSE))</f>
        <v/>
      </c>
      <c r="M43" s="15" t="str">
        <f>IF(VLOOKUP(A43,[1]CER_SubK_PO_Status!A:R,16,FALSE)=0,"",VLOOKUP(A43,[1]CER_SubK_PO_Status!A:R,16,FALSE))</f>
        <v>fraites@jlab.org</v>
      </c>
      <c r="N43" s="15" t="str">
        <f>IF(VLOOKUP(A43,[1]CER_SubK_PO_Status!A:R,18,FALSE)=0,"",VLOOKUP(A43,[1]CER_SubK_PO_Status!A:R,18,FALSE))</f>
        <v/>
      </c>
    </row>
    <row r="44" spans="1:14" ht="59.25" customHeight="1" x14ac:dyDescent="0.2">
      <c r="A44" s="12" t="s">
        <v>105</v>
      </c>
      <c r="B44" s="12" t="str">
        <f>VLOOKUP(A44,[1]CER_SubK_PO_Status!A:N,9,FALSE)</f>
        <v>Open</v>
      </c>
      <c r="C44" s="12" t="str">
        <f>VLOOKUP(A44,[1]CER_SubK_PO_Status!A:N,7,FALSE)</f>
        <v>MISSISSIPPI STATE UNIVER.</v>
      </c>
      <c r="D44" s="13">
        <f>VLOOKUP(A44,[1]CER_SubK_PO_Status!A:N,10,FALSE)/1000</f>
        <v>29.84</v>
      </c>
      <c r="E44" s="13">
        <f>VLOOKUP(A44,[1]CER_SubK_PO_Status!A:N,11,FALSE)/1000</f>
        <v>16.559999999999999</v>
      </c>
      <c r="F44" s="13">
        <f>VLOOKUP(A44,[1]CER_SubK_PO_Status!A:N,12,FALSE)/1000</f>
        <v>4.1399999999999997</v>
      </c>
      <c r="G44" s="13">
        <f t="shared" si="0"/>
        <v>13.280000000000001</v>
      </c>
      <c r="H44" s="13">
        <f t="shared" si="1"/>
        <v>25.7</v>
      </c>
      <c r="I44" s="12" t="str">
        <f>VLOOKUP(A44,[1]CER_SubK_PO_Status!A:N,5,FALSE)</f>
        <v>MICHELE KHASIDIS</v>
      </c>
      <c r="J44" s="14" t="str">
        <f>RIGHT(VLOOKUP(A44,[1]CER_SubK_PO_Status!A:N,14,FALSE),LEN(VLOOKUP(A44,[1]CER_SubK_PO_Status!A:N,14,FALSE))-SEARCH("/",VLOOKUP(A44,[1]CER_SubK_PO_Status!A:N,14,FALSE),1))</f>
        <v xml:space="preserve">TANYA STEWART </v>
      </c>
      <c r="K44" s="15" t="str">
        <f>IF(VLOOKUP(A44,[1]CER_SubK_PO_Status!A:R,15,FALSE)=0,"",VLOOKUP(A44,[1]CER_SubK_PO_Status!A:R,15,FALSE))</f>
        <v>STEWART, TANYA-GAYE N</v>
      </c>
      <c r="L44" s="15" t="str">
        <f>IF(VLOOKUP(A44,[1]CER_SubK_PO_Status!A:R,17,FALSE)=0,"",VLOOKUP(A44,[1]CER_SubK_PO_Status!A:R,17,FALSE))</f>
        <v/>
      </c>
      <c r="M44" s="15" t="str">
        <f>IF(VLOOKUP(A44,[1]CER_SubK_PO_Status!A:R,16,FALSE)=0,"",VLOOKUP(A44,[1]CER_SubK_PO_Status!A:R,16,FALSE))</f>
        <v>fraites@jlab.org</v>
      </c>
      <c r="N44" s="15" t="str">
        <f>IF(VLOOKUP(A44,[1]CER_SubK_PO_Status!A:R,18,FALSE)=0,"",VLOOKUP(A44,[1]CER_SubK_PO_Status!A:R,18,FALSE))</f>
        <v/>
      </c>
    </row>
    <row r="45" spans="1:14" ht="59.25" customHeight="1" x14ac:dyDescent="0.2">
      <c r="A45" s="12" t="s">
        <v>106</v>
      </c>
      <c r="B45" s="12" t="str">
        <f>VLOOKUP(A45,[1]CER_SubK_PO_Status!A:N,9,FALSE)</f>
        <v>Open</v>
      </c>
      <c r="C45" s="12" t="str">
        <f>VLOOKUP(A45,[1]CER_SubK_PO_Status!A:N,7,FALSE)</f>
        <v>NINGXIA ORIENT TANTALUM</v>
      </c>
      <c r="D45" s="13">
        <f>VLOOKUP(A45,[1]CER_SubK_PO_Status!A:N,10,FALSE)/1000</f>
        <v>377.875</v>
      </c>
      <c r="E45" s="13">
        <f>VLOOKUP(A45,[1]CER_SubK_PO_Status!A:N,11,FALSE)/1000</f>
        <v>173.07300000000001</v>
      </c>
      <c r="F45" s="13">
        <f>VLOOKUP(A45,[1]CER_SubK_PO_Status!A:N,12,FALSE)/1000</f>
        <v>144.22749999999999</v>
      </c>
      <c r="G45" s="13">
        <f t="shared" si="0"/>
        <v>204.80199999999999</v>
      </c>
      <c r="H45" s="13">
        <f t="shared" si="1"/>
        <v>233.64750000000001</v>
      </c>
      <c r="I45" s="12" t="str">
        <f>VLOOKUP(A45,[1]CER_SubK_PO_Status!A:N,5,FALSE)</f>
        <v>THOMAS HURATIAK</v>
      </c>
      <c r="J45" s="14" t="str">
        <f>RIGHT(VLOOKUP(A45,[1]CER_SubK_PO_Status!A:N,14,FALSE),LEN(VLOOKUP(A45,[1]CER_SubK_PO_Status!A:N,14,FALSE))-SEARCH("/",VLOOKUP(A45,[1]CER_SubK_PO_Status!A:N,14,FALSE),1))</f>
        <v>JIQUAN GUO</v>
      </c>
      <c r="K45" s="15" t="str">
        <f>IF(VLOOKUP(A45,[1]CER_SubK_PO_Status!A:R,15,FALSE)=0,"",VLOOKUP(A45,[1]CER_SubK_PO_Status!A:R,15,FALSE))</f>
        <v>GUO, JIQUAN</v>
      </c>
      <c r="L45" s="15" t="str">
        <f>IF(VLOOKUP(A45,[1]CER_SubK_PO_Status!A:R,17,FALSE)=0,"",VLOOKUP(A45,[1]CER_SubK_PO_Status!A:R,17,FALSE))</f>
        <v/>
      </c>
      <c r="M45" s="15" t="str">
        <f>IF(VLOOKUP(A45,[1]CER_SubK_PO_Status!A:R,16,FALSE)=0,"",VLOOKUP(A45,[1]CER_SubK_PO_Status!A:R,16,FALSE))</f>
        <v>jguo@jlab.org</v>
      </c>
      <c r="N45" s="15" t="str">
        <f>IF(VLOOKUP(A45,[1]CER_SubK_PO_Status!A:R,18,FALSE)=0,"",VLOOKUP(A45,[1]CER_SubK_PO_Status!A:R,18,FALSE))</f>
        <v/>
      </c>
    </row>
    <row r="46" spans="1:14" ht="101.45" customHeight="1" x14ac:dyDescent="0.2">
      <c r="A46" s="12" t="s">
        <v>38</v>
      </c>
      <c r="B46" s="12" t="str">
        <f>VLOOKUP(A46,[1]CER_SubK_PO_Status!A:N,9,FALSE)</f>
        <v>Open</v>
      </c>
      <c r="C46" s="12" t="str">
        <f>VLOOKUP(A46,[1]CER_SubK_PO_Status!A:N,7,FALSE)</f>
        <v>NORFOLK STATE UNIVERSITY</v>
      </c>
      <c r="D46" s="13">
        <f>VLOOKUP(A46,[1]CER_SubK_PO_Status!A:N,10,FALSE)/1000</f>
        <v>187.75507000000002</v>
      </c>
      <c r="E46" s="13">
        <f>VLOOKUP(A46,[1]CER_SubK_PO_Status!A:N,11,FALSE)/1000</f>
        <v>169.34772000000001</v>
      </c>
      <c r="F46" s="13">
        <f>VLOOKUP(A46,[1]CER_SubK_PO_Status!A:N,12,FALSE)/1000</f>
        <v>154.62183999999999</v>
      </c>
      <c r="G46" s="13">
        <f>D46-E46</f>
        <v>18.407350000000008</v>
      </c>
      <c r="H46" s="13">
        <f>D46-F46</f>
        <v>33.133230000000026</v>
      </c>
      <c r="I46" s="12" t="str">
        <f>VLOOKUP(A46,[1]CER_SubK_PO_Status!A:N,5,FALSE)</f>
        <v>MICHELE KHASIDIS</v>
      </c>
      <c r="J46" s="14" t="str">
        <f>RIGHT(VLOOKUP(A46,[1]CER_SubK_PO_Status!A:N,14,FALSE),LEN(VLOOKUP(A46,[1]CER_SubK_PO_Status!A:N,14,FALSE))-SEARCH("/",VLOOKUP(A46,[1]CER_SubK_PO_Status!A:N,14,FALSE),1))</f>
        <v>T STEWART</v>
      </c>
      <c r="K46" s="15" t="str">
        <f>IF(VLOOKUP(A46,[1]CER_SubK_PO_Status!A:R,15,FALSE)=0,"",VLOOKUP(A46,[1]CER_SubK_PO_Status!A:R,15,FALSE))</f>
        <v>STEWART, TANYA-GAYE N</v>
      </c>
      <c r="L46" s="15" t="str">
        <f>IF(VLOOKUP(A46,[1]CER_SubK_PO_Status!A:R,17,FALSE)=0,"",VLOOKUP(A46,[1]CER_SubK_PO_Status!A:R,17,FALSE))</f>
        <v/>
      </c>
      <c r="M46" s="15" t="str">
        <f>IF(VLOOKUP(A46,[1]CER_SubK_PO_Status!A:R,16,FALSE)=0,"",VLOOKUP(A46,[1]CER_SubK_PO_Status!A:R,16,FALSE))</f>
        <v>fraites@jlab.org</v>
      </c>
      <c r="N46" s="15" t="str">
        <f>IF(VLOOKUP(A46,[1]CER_SubK_PO_Status!A:R,18,FALSE)=0,"",VLOOKUP(A46,[1]CER_SubK_PO_Status!A:R,18,FALSE))</f>
        <v/>
      </c>
    </row>
    <row r="47" spans="1:14" ht="59.25" customHeight="1" x14ac:dyDescent="0.2">
      <c r="A47" s="12" t="s">
        <v>107</v>
      </c>
      <c r="B47" s="12" t="str">
        <f>VLOOKUP(A47,[1]CER_SubK_PO_Status!A:N,9,FALSE)</f>
        <v>Open</v>
      </c>
      <c r="C47" s="12" t="str">
        <f>VLOOKUP(A47,[1]CER_SubK_PO_Status!A:N,7,FALSE)</f>
        <v>OCEM ACQUISITION CORP</v>
      </c>
      <c r="D47" s="13">
        <f>VLOOKUP(A47,[1]CER_SubK_PO_Status!A:N,10,FALSE)/1000</f>
        <v>290.59300000000002</v>
      </c>
      <c r="E47" s="13">
        <f>VLOOKUP(A47,[1]CER_SubK_PO_Status!A:N,11,FALSE)/1000</f>
        <v>87.177899999999994</v>
      </c>
      <c r="F47" s="13">
        <f>VLOOKUP(A47,[1]CER_SubK_PO_Status!A:N,12,FALSE)/1000</f>
        <v>0</v>
      </c>
      <c r="G47" s="13">
        <f>D47-E47</f>
        <v>203.41510000000002</v>
      </c>
      <c r="H47" s="13">
        <f>D47-F47</f>
        <v>290.59300000000002</v>
      </c>
      <c r="I47" s="12" t="str">
        <f>VLOOKUP(A47,[1]CER_SubK_PO_Status!A:N,5,FALSE)</f>
        <v>THOMAS HURATIAK</v>
      </c>
      <c r="J47" s="14" t="e">
        <f>RIGHT(VLOOKUP(A47,[1]CER_SubK_PO_Status!A:N,14,FALSE),LEN(VLOOKUP(A47,[1]CER_SubK_PO_Status!A:N,14,FALSE))-SEARCH("/",VLOOKUP(A47,[1]CER_SubK_PO_Status!A:N,14,FALSE),1))</f>
        <v>#VALUE!</v>
      </c>
      <c r="K47" s="15" t="str">
        <f>IF(VLOOKUP(A47,[1]CER_SubK_PO_Status!A:R,15,FALSE)=0,"",VLOOKUP(A47,[1]CER_SubK_PO_Status!A:R,15,FALSE))</f>
        <v>GHOSHAL, PROBIR K</v>
      </c>
      <c r="L47" s="15" t="str">
        <f>IF(VLOOKUP(A47,[1]CER_SubK_PO_Status!A:R,17,FALSE)=0,"",VLOOKUP(A47,[1]CER_SubK_PO_Status!A:R,17,FALSE))</f>
        <v>FAST, JAMES E</v>
      </c>
      <c r="M47" s="15" t="str">
        <f>IF(VLOOKUP(A47,[1]CER_SubK_PO_Status!A:R,16,FALSE)=0,"",VLOOKUP(A47,[1]CER_SubK_PO_Status!A:R,16,FALSE))</f>
        <v>ghoshal@jlab.org</v>
      </c>
      <c r="N47" s="15" t="str">
        <f>IF(VLOOKUP(A47,[1]CER_SubK_PO_Status!A:R,18,FALSE)=0,"",VLOOKUP(A47,[1]CER_SubK_PO_Status!A:R,18,FALSE))</f>
        <v>jfast@jlab.org</v>
      </c>
    </row>
    <row r="48" spans="1:14" ht="54.95" customHeight="1" x14ac:dyDescent="0.2">
      <c r="A48" s="12" t="s">
        <v>39</v>
      </c>
      <c r="B48" s="12" t="str">
        <f>VLOOKUP(A48,[1]CER_SubK_PO_Status!A:N,9,FALSE)</f>
        <v>Open</v>
      </c>
      <c r="C48" s="12" t="str">
        <f>VLOOKUP(A48,[1]CER_SubK_PO_Status!A:N,7,FALSE)</f>
        <v>OHIO UNIVERSITY</v>
      </c>
      <c r="D48" s="13">
        <f>VLOOKUP(A48,[1]CER_SubK_PO_Status!A:N,10,FALSE)/1000</f>
        <v>89.718980000000002</v>
      </c>
      <c r="E48" s="13">
        <f>VLOOKUP(A48,[1]CER_SubK_PO_Status!A:N,11,FALSE)/1000</f>
        <v>43.295989999999996</v>
      </c>
      <c r="F48" s="13">
        <f>VLOOKUP(A48,[1]CER_SubK_PO_Status!A:N,12,FALSE)/1000</f>
        <v>43.295989999999996</v>
      </c>
      <c r="G48" s="13">
        <f t="shared" ref="G48" si="4">D48-E48</f>
        <v>46.422990000000006</v>
      </c>
      <c r="H48" s="13">
        <f t="shared" ref="H48" si="5">D48-F48</f>
        <v>46.422990000000006</v>
      </c>
      <c r="I48" s="12" t="str">
        <f>VLOOKUP(A48,[1]CER_SubK_PO_Status!A:N,5,FALSE)</f>
        <v>MICHELE KHASIDIS</v>
      </c>
      <c r="J48" s="14" t="str">
        <f>RIGHT(VLOOKUP(A48,[1]CER_SubK_PO_Status!A:N,14,FALSE),LEN(VLOOKUP(A48,[1]CER_SubK_PO_Status!A:N,14,FALSE))-SEARCH("/",VLOOKUP(A48,[1]CER_SubK_PO_Status!A:N,14,FALSE),1))</f>
        <v>TANYA STEWART</v>
      </c>
      <c r="K48" s="15" t="str">
        <f>IF(VLOOKUP(A48,[1]CER_SubK_PO_Status!A:R,15,FALSE)=0,"",VLOOKUP(A48,[1]CER_SubK_PO_Status!A:R,15,FALSE))</f>
        <v>STEWART, TANYA-GAYE N</v>
      </c>
      <c r="L48" s="15" t="str">
        <f>IF(VLOOKUP(A48,[1]CER_SubK_PO_Status!A:R,17,FALSE)=0,"",VLOOKUP(A48,[1]CER_SubK_PO_Status!A:R,17,FALSE))</f>
        <v/>
      </c>
      <c r="M48" s="15" t="str">
        <f>IF(VLOOKUP(A48,[1]CER_SubK_PO_Status!A:R,16,FALSE)=0,"",VLOOKUP(A48,[1]CER_SubK_PO_Status!A:R,16,FALSE))</f>
        <v>fraites@jlab.org</v>
      </c>
      <c r="N48" s="15" t="str">
        <f>IF(VLOOKUP(A48,[1]CER_SubK_PO_Status!A:R,18,FALSE)=0,"",VLOOKUP(A48,[1]CER_SubK_PO_Status!A:R,18,FALSE))</f>
        <v/>
      </c>
    </row>
    <row r="49" spans="1:14" ht="54.95" customHeight="1" x14ac:dyDescent="0.2">
      <c r="A49" s="12" t="s">
        <v>41</v>
      </c>
      <c r="B49" s="12" t="str">
        <f>VLOOKUP(A49,[1]CER_SubK_PO_Status!A:N,9,FALSE)</f>
        <v>Open</v>
      </c>
      <c r="C49" s="12" t="str">
        <f>VLOOKUP(A49,[1]CER_SubK_PO_Status!A:N,7,FALSE)</f>
        <v>OLD DOMINION UNIV. RESEAR</v>
      </c>
      <c r="D49" s="13">
        <f>VLOOKUP(A49,[1]CER_SubK_PO_Status!A:N,10,FALSE)/1000</f>
        <v>3690.6750299999999</v>
      </c>
      <c r="E49" s="13">
        <f>VLOOKUP(A49,[1]CER_SubK_PO_Status!A:N,11,FALSE)/1000</f>
        <v>3558.6568700000003</v>
      </c>
      <c r="F49" s="13">
        <f>VLOOKUP(A49,[1]CER_SubK_PO_Status!A:N,12,FALSE)/1000</f>
        <v>3494.4810000000002</v>
      </c>
      <c r="G49" s="13">
        <f>D49-E49</f>
        <v>132.01815999999963</v>
      </c>
      <c r="H49" s="13">
        <f>D49-F49</f>
        <v>196.19402999999966</v>
      </c>
      <c r="I49" s="12" t="str">
        <f>VLOOKUP(A49,[1]CER_SubK_PO_Status!A:N,5,FALSE)</f>
        <v>GIUSEPPINA TENBUSCH</v>
      </c>
      <c r="J49" s="14" t="str">
        <f>RIGHT(VLOOKUP(A49,[1]CER_SubK_PO_Status!A:N,14,FALSE),LEN(VLOOKUP(A49,[1]CER_SubK_PO_Status!A:N,14,FALSE))-SEARCH("/",VLOOKUP(A49,[1]CER_SubK_PO_Status!A:N,14,FALSE),1))</f>
        <v>TANYA STEWART</v>
      </c>
      <c r="K49" s="15" t="str">
        <f>IF(VLOOKUP(A49,[1]CER_SubK_PO_Status!A:R,15,FALSE)=0,"",VLOOKUP(A49,[1]CER_SubK_PO_Status!A:R,15,FALSE))</f>
        <v>STEWART, TANYA-GAYE N</v>
      </c>
      <c r="L49" s="15" t="str">
        <f>IF(VLOOKUP(A49,[1]CER_SubK_PO_Status!A:R,17,FALSE)=0,"",VLOOKUP(A49,[1]CER_SubK_PO_Status!A:R,17,FALSE))</f>
        <v>PARKINSON, SHARON K</v>
      </c>
      <c r="M49" s="15" t="str">
        <f>IF(VLOOKUP(A49,[1]CER_SubK_PO_Status!A:R,16,FALSE)=0,"",VLOOKUP(A49,[1]CER_SubK_PO_Status!A:R,16,FALSE))</f>
        <v>fraites@jlab.org</v>
      </c>
      <c r="N49" s="15" t="str">
        <f>IF(VLOOKUP(A49,[1]CER_SubK_PO_Status!A:R,18,FALSE)=0,"",VLOOKUP(A49,[1]CER_SubK_PO_Status!A:R,18,FALSE))</f>
        <v>spark@jlab.org</v>
      </c>
    </row>
    <row r="50" spans="1:14" ht="54.95" customHeight="1" x14ac:dyDescent="0.2">
      <c r="A50" s="12" t="s">
        <v>42</v>
      </c>
      <c r="B50" s="12" t="str">
        <f>VLOOKUP(A50,[1]CER_SubK_PO_Status!A:N,9,FALSE)</f>
        <v>Open</v>
      </c>
      <c r="C50" s="12" t="str">
        <f>VLOOKUP(A50,[1]CER_SubK_PO_Status!A:N,7,FALSE)</f>
        <v>OLD DOMINION UNIV. RESEAR</v>
      </c>
      <c r="D50" s="13">
        <f>VLOOKUP(A50,[1]CER_SubK_PO_Status!A:N,10,FALSE)/1000</f>
        <v>1893.2906200000002</v>
      </c>
      <c r="E50" s="13">
        <f>VLOOKUP(A50,[1]CER_SubK_PO_Status!A:N,11,FALSE)/1000</f>
        <v>1713.2735600000001</v>
      </c>
      <c r="F50" s="13">
        <f>VLOOKUP(A50,[1]CER_SubK_PO_Status!A:N,12,FALSE)/1000</f>
        <v>1713.2073</v>
      </c>
      <c r="G50" s="13">
        <f t="shared" si="0"/>
        <v>180.01706000000013</v>
      </c>
      <c r="H50" s="13">
        <f t="shared" si="1"/>
        <v>180.08332000000019</v>
      </c>
      <c r="I50" s="12" t="str">
        <f>VLOOKUP(A50,[1]CER_SubK_PO_Status!A:N,5,FALSE)</f>
        <v>GIUSEPPINA TENBUSCH</v>
      </c>
      <c r="J50" s="14" t="str">
        <f>RIGHT(VLOOKUP(A50,[1]CER_SubK_PO_Status!A:N,14,FALSE),LEN(VLOOKUP(A50,[1]CER_SubK_PO_Status!A:N,14,FALSE))-SEARCH("/",VLOOKUP(A50,[1]CER_SubK_PO_Status!A:N,14,FALSE),1))</f>
        <v>TANYA STEWART</v>
      </c>
      <c r="K50" s="15" t="str">
        <f>IF(VLOOKUP(A50,[1]CER_SubK_PO_Status!A:R,15,FALSE)=0,"",VLOOKUP(A50,[1]CER_SubK_PO_Status!A:R,15,FALSE))</f>
        <v>STEWART, TANYA-GAYE N</v>
      </c>
      <c r="L50" s="15" t="str">
        <f>IF(VLOOKUP(A50,[1]CER_SubK_PO_Status!A:R,17,FALSE)=0,"",VLOOKUP(A50,[1]CER_SubK_PO_Status!A:R,17,FALSE))</f>
        <v/>
      </c>
      <c r="M50" s="15" t="str">
        <f>IF(VLOOKUP(A50,[1]CER_SubK_PO_Status!A:R,16,FALSE)=0,"",VLOOKUP(A50,[1]CER_SubK_PO_Status!A:R,16,FALSE))</f>
        <v>fraites@jlab.org</v>
      </c>
      <c r="N50" s="15" t="str">
        <f>IF(VLOOKUP(A50,[1]CER_SubK_PO_Status!A:R,18,FALSE)=0,"",VLOOKUP(A50,[1]CER_SubK_PO_Status!A:R,18,FALSE))</f>
        <v/>
      </c>
    </row>
    <row r="51" spans="1:14" ht="54.95" customHeight="1" x14ac:dyDescent="0.2">
      <c r="A51" s="12" t="s">
        <v>43</v>
      </c>
      <c r="B51" s="12" t="str">
        <f>VLOOKUP(A51,[1]CER_SubK_PO_Status!A:N,9,FALSE)</f>
        <v>Open</v>
      </c>
      <c r="C51" s="12" t="str">
        <f>VLOOKUP(A51,[1]CER_SubK_PO_Status!A:N,7,FALSE)</f>
        <v>OLD DOMINION UNIV. RESEAR</v>
      </c>
      <c r="D51" s="13">
        <f>VLOOKUP(A51,[1]CER_SubK_PO_Status!A:N,10,FALSE)/1000</f>
        <v>193.99951999999999</v>
      </c>
      <c r="E51" s="13">
        <f>VLOOKUP(A51,[1]CER_SubK_PO_Status!A:N,11,FALSE)/1000</f>
        <v>126.49952</v>
      </c>
      <c r="F51" s="13">
        <f>VLOOKUP(A51,[1]CER_SubK_PO_Status!A:N,12,FALSE)/1000</f>
        <v>126.49952</v>
      </c>
      <c r="G51" s="13">
        <f>D51-E51</f>
        <v>67.499999999999986</v>
      </c>
      <c r="H51" s="13">
        <f>D51-F51</f>
        <v>67.499999999999986</v>
      </c>
      <c r="I51" s="12" t="str">
        <f>VLOOKUP(A51,[1]CER_SubK_PO_Status!A:N,5,FALSE)</f>
        <v>GIUSEPPINA TENBUSCH</v>
      </c>
      <c r="J51" s="14" t="str">
        <f>RIGHT(VLOOKUP(A51,[1]CER_SubK_PO_Status!A:N,14,FALSE),LEN(VLOOKUP(A51,[1]CER_SubK_PO_Status!A:N,14,FALSE))-SEARCH("/",VLOOKUP(A51,[1]CER_SubK_PO_Status!A:N,14,FALSE),1))</f>
        <v>TANYA STEWART</v>
      </c>
      <c r="K51" s="15" t="str">
        <f>IF(VLOOKUP(A51,[1]CER_SubK_PO_Status!A:R,15,FALSE)=0,"",VLOOKUP(A51,[1]CER_SubK_PO_Status!A:R,15,FALSE))</f>
        <v>STEWART, TANYA-GAYE N</v>
      </c>
      <c r="L51" s="15" t="str">
        <f>IF(VLOOKUP(A51,[1]CER_SubK_PO_Status!A:R,17,FALSE)=0,"",VLOOKUP(A51,[1]CER_SubK_PO_Status!A:R,17,FALSE))</f>
        <v/>
      </c>
      <c r="M51" s="15" t="str">
        <f>IF(VLOOKUP(A51,[1]CER_SubK_PO_Status!A:R,16,FALSE)=0,"",VLOOKUP(A51,[1]CER_SubK_PO_Status!A:R,16,FALSE))</f>
        <v>fraites@jlab.org</v>
      </c>
      <c r="N51" s="15" t="str">
        <f>IF(VLOOKUP(A51,[1]CER_SubK_PO_Status!A:R,18,FALSE)=0,"",VLOOKUP(A51,[1]CER_SubK_PO_Status!A:R,18,FALSE))</f>
        <v/>
      </c>
    </row>
    <row r="52" spans="1:14" ht="54.95" customHeight="1" x14ac:dyDescent="0.2">
      <c r="A52" s="12" t="s">
        <v>108</v>
      </c>
      <c r="B52" s="12" t="str">
        <f>VLOOKUP(A52,[1]CER_SubK_PO_Status!A:N,9,FALSE)</f>
        <v>Open</v>
      </c>
      <c r="C52" s="12" t="str">
        <f>VLOOKUP(A52,[1]CER_SubK_PO_Status!A:N,7,FALSE)</f>
        <v xml:space="preserve">OMNISENSING PHOTONICS </v>
      </c>
      <c r="D52" s="13">
        <f>VLOOKUP(A52,[1]CER_SubK_PO_Status!A:N,10,FALSE)/1000</f>
        <v>344</v>
      </c>
      <c r="E52" s="13">
        <f>VLOOKUP(A52,[1]CER_SubK_PO_Status!A:N,11,FALSE)/1000</f>
        <v>312</v>
      </c>
      <c r="F52" s="13">
        <f>VLOOKUP(A52,[1]CER_SubK_PO_Status!A:N,12,FALSE)/1000</f>
        <v>310</v>
      </c>
      <c r="G52" s="13">
        <f t="shared" si="0"/>
        <v>32</v>
      </c>
      <c r="H52" s="13">
        <f t="shared" si="1"/>
        <v>34</v>
      </c>
      <c r="I52" s="12" t="str">
        <f>VLOOKUP(A52,[1]CER_SubK_PO_Status!A:N,5,FALSE)</f>
        <v>THOMAS HURATIAK</v>
      </c>
      <c r="J52" s="14" t="str">
        <f>RIGHT(VLOOKUP(A52,[1]CER_SubK_PO_Status!A:N,14,FALSE),LEN(VLOOKUP(A52,[1]CER_SubK_PO_Status!A:N,14,FALSE))-SEARCH("/",VLOOKUP(A52,[1]CER_SubK_PO_Status!A:N,14,FALSE),1))</f>
        <v>CARL ZORN</v>
      </c>
      <c r="K52" s="15" t="str">
        <f>IF(VLOOKUP(A52,[1]CER_SubK_PO_Status!A:R,15,FALSE)=0,"",VLOOKUP(A52,[1]CER_SubK_PO_Status!A:R,15,FALSE))</f>
        <v>ZORN, CARL J</v>
      </c>
      <c r="L52" s="15" t="str">
        <f>IF(VLOOKUP(A52,[1]CER_SubK_PO_Status!A:R,17,FALSE)=0,"",VLOOKUP(A52,[1]CER_SubK_PO_Status!A:R,17,FALSE))</f>
        <v>PESHEHONOFF, THEODORE</v>
      </c>
      <c r="M52" s="15" t="str">
        <f>IF(VLOOKUP(A52,[1]CER_SubK_PO_Status!A:R,16,FALSE)=0,"",VLOOKUP(A52,[1]CER_SubK_PO_Status!A:R,16,FALSE))</f>
        <v>zorn@jlab.org</v>
      </c>
      <c r="N52" s="15" t="str">
        <f>IF(VLOOKUP(A52,[1]CER_SubK_PO_Status!A:R,18,FALSE)=0,"",VLOOKUP(A52,[1]CER_SubK_PO_Status!A:R,18,FALSE))</f>
        <v xml:space="preserve"> </v>
      </c>
    </row>
    <row r="53" spans="1:14" ht="54.95" customHeight="1" x14ac:dyDescent="0.2">
      <c r="A53" s="12" t="s">
        <v>40</v>
      </c>
      <c r="B53" s="12" t="str">
        <f>VLOOKUP(A53,[1]CER_SubK_PO_Status!A:N,9,FALSE)</f>
        <v>Open</v>
      </c>
      <c r="C53" s="12" t="str">
        <f>VLOOKUP(A53,[1]CER_SubK_PO_Status!A:N,7,FALSE)</f>
        <v>OLD DOMINION UNIV. RESEAR</v>
      </c>
      <c r="D53" s="13">
        <f>VLOOKUP(A53,[1]CER_SubK_PO_Status!A:N,10,FALSE)/1000</f>
        <v>516.44434999999999</v>
      </c>
      <c r="E53" s="13">
        <f>VLOOKUP(A53,[1]CER_SubK_PO_Status!A:N,11,FALSE)/1000</f>
        <v>472.01634999999999</v>
      </c>
      <c r="F53" s="13">
        <f>VLOOKUP(A53,[1]CER_SubK_PO_Status!A:N,12,FALSE)/1000</f>
        <v>449.80234999999999</v>
      </c>
      <c r="G53" s="13">
        <f>D53-E53</f>
        <v>44.427999999999997</v>
      </c>
      <c r="H53" s="13">
        <f>D53-F53</f>
        <v>66.641999999999996</v>
      </c>
      <c r="I53" s="12" t="str">
        <f>VLOOKUP(A53,[1]CER_SubK_PO_Status!A:N,5,FALSE)</f>
        <v>GIUSEPPINA TENBUSCH</v>
      </c>
      <c r="J53" s="14" t="str">
        <f>RIGHT(VLOOKUP(A53,[1]CER_SubK_PO_Status!A:N,14,FALSE),LEN(VLOOKUP(A53,[1]CER_SubK_PO_Status!A:N,14,FALSE))-SEARCH("/",VLOOKUP(A53,[1]CER_SubK_PO_Status!A:N,14,FALSE),1))</f>
        <v>TANYA STEWART</v>
      </c>
      <c r="K53" s="15" t="str">
        <f>IF(VLOOKUP(A53,[1]CER_SubK_PO_Status!A:R,15,FALSE)=0,"",VLOOKUP(A53,[1]CER_SubK_PO_Status!A:R,15,FALSE))</f>
        <v>STEWART, TANYA-GAYE N</v>
      </c>
      <c r="L53" s="15" t="str">
        <f>IF(VLOOKUP(A53,[1]CER_SubK_PO_Status!A:R,17,FALSE)=0,"",VLOOKUP(A53,[1]CER_SubK_PO_Status!A:R,17,FALSE))</f>
        <v>PARKINSON, SHARON K</v>
      </c>
      <c r="M53" s="15" t="str">
        <f>IF(VLOOKUP(A53,[1]CER_SubK_PO_Status!A:R,16,FALSE)=0,"",VLOOKUP(A53,[1]CER_SubK_PO_Status!A:R,16,FALSE))</f>
        <v>fraites@jlab.org</v>
      </c>
      <c r="N53" s="15" t="str">
        <f>IF(VLOOKUP(A53,[1]CER_SubK_PO_Status!A:R,18,FALSE)=0,"",VLOOKUP(A53,[1]CER_SubK_PO_Status!A:R,18,FALSE))</f>
        <v>spark@jlab.org</v>
      </c>
    </row>
    <row r="54" spans="1:14" ht="54.95" customHeight="1" x14ac:dyDescent="0.2">
      <c r="A54" s="12" t="s">
        <v>109</v>
      </c>
      <c r="B54" s="12" t="str">
        <f>VLOOKUP(A54,[1]CER_SubK_PO_Status!A:N,9,FALSE)</f>
        <v>Open</v>
      </c>
      <c r="C54" s="12" t="str">
        <f>VLOOKUP(A54,[1]CER_SubK_PO_Status!A:N,7,FALSE)</f>
        <v>QUANTUM OPUS LLC</v>
      </c>
      <c r="D54" s="13">
        <f>VLOOKUP(A54,[1]CER_SubK_PO_Status!A:N,10,FALSE)/1000</f>
        <v>225</v>
      </c>
      <c r="E54" s="13">
        <f>VLOOKUP(A54,[1]CER_SubK_PO_Status!A:N,11,FALSE)/1000</f>
        <v>0</v>
      </c>
      <c r="F54" s="13">
        <f>VLOOKUP(A54,[1]CER_SubK_PO_Status!A:N,12,FALSE)/1000</f>
        <v>0</v>
      </c>
      <c r="G54" s="13">
        <f>D54-E54</f>
        <v>225</v>
      </c>
      <c r="H54" s="13">
        <f>D54-F54</f>
        <v>225</v>
      </c>
      <c r="I54" s="12" t="str">
        <f>VLOOKUP(A54,[1]CER_SubK_PO_Status!A:N,5,FALSE)</f>
        <v>THOMAS HURATIAK</v>
      </c>
      <c r="J54" s="14" t="str">
        <f>RIGHT(VLOOKUP(A54,[1]CER_SubK_PO_Status!A:N,14,FALSE),LEN(VLOOKUP(A54,[1]CER_SubK_PO_Status!A:N,14,FALSE))-SEARCH("/",VLOOKUP(A54,[1]CER_SubK_PO_Status!A:N,14,FALSE),1))</f>
        <v>PHYS</v>
      </c>
      <c r="K54" s="15" t="str">
        <f>IF(VLOOKUP(A54,[1]CER_SubK_PO_Status!A:R,15,FALSE)=0,"",VLOOKUP(A54,[1]CER_SubK_PO_Status!A:R,15,FALSE))</f>
        <v>EDWARDS, ROBERT G</v>
      </c>
      <c r="L54" s="15" t="str">
        <f>IF(VLOOKUP(A54,[1]CER_SubK_PO_Status!A:R,17,FALSE)=0,"",VLOOKUP(A54,[1]CER_SubK_PO_Status!A:R,17,FALSE))</f>
        <v>STEWART, TANYA-GAYE N</v>
      </c>
      <c r="M54" s="15" t="str">
        <f>IF(VLOOKUP(A54,[1]CER_SubK_PO_Status!A:R,16,FALSE)=0,"",VLOOKUP(A54,[1]CER_SubK_PO_Status!A:R,16,FALSE))</f>
        <v>edwards@jlab.org</v>
      </c>
      <c r="N54" s="15" t="str">
        <f>IF(VLOOKUP(A54,[1]CER_SubK_PO_Status!A:R,18,FALSE)=0,"",VLOOKUP(A54,[1]CER_SubK_PO_Status!A:R,18,FALSE))</f>
        <v>fraites@jlab.org</v>
      </c>
    </row>
    <row r="55" spans="1:14" ht="54.95" customHeight="1" x14ac:dyDescent="0.2">
      <c r="A55" s="12" t="s">
        <v>44</v>
      </c>
      <c r="B55" s="12" t="str">
        <f>VLOOKUP(A55,[1]CER_SubK_PO_Status!A:N,9,FALSE)</f>
        <v>Open</v>
      </c>
      <c r="C55" s="12" t="str">
        <f>VLOOKUP(A55,[1]CER_SubK_PO_Status!A:N,7,FALSE)</f>
        <v>REGENTS OF THE UNIVERSITY</v>
      </c>
      <c r="D55" s="13">
        <f>VLOOKUP(A55,[1]CER_SubK_PO_Status!A:N,10,FALSE)/1000</f>
        <v>240.99979000000002</v>
      </c>
      <c r="E55" s="13">
        <f>VLOOKUP(A55,[1]CER_SubK_PO_Status!A:N,11,FALSE)/1000</f>
        <v>150.72752</v>
      </c>
      <c r="F55" s="13">
        <f>VLOOKUP(A55,[1]CER_SubK_PO_Status!A:N,12,FALSE)/1000</f>
        <v>110.28613</v>
      </c>
      <c r="G55" s="13">
        <f>D55-E55</f>
        <v>90.27227000000002</v>
      </c>
      <c r="H55" s="13">
        <f>D55-F55</f>
        <v>130.71366</v>
      </c>
      <c r="I55" s="12" t="str">
        <f>VLOOKUP(A55,[1]CER_SubK_PO_Status!A:N,5,FALSE)</f>
        <v>MICHELE KHASIDIS</v>
      </c>
      <c r="J55" s="14" t="str">
        <f>RIGHT(VLOOKUP(A55,[1]CER_SubK_PO_Status!A:N,14,FALSE),LEN(VLOOKUP(A55,[1]CER_SubK_PO_Status!A:N,14,FALSE))-SEARCH("/",VLOOKUP(A55,[1]CER_SubK_PO_Status!A:N,14,FALSE),1))</f>
        <v>TANYA STEWART</v>
      </c>
      <c r="K55" s="15" t="str">
        <f>IF(VLOOKUP(A55,[1]CER_SubK_PO_Status!A:R,15,FALSE)=0,"",VLOOKUP(A55,[1]CER_SubK_PO_Status!A:R,15,FALSE))</f>
        <v>STEWART, TANYA-GAYE N</v>
      </c>
      <c r="L55" s="15" t="str">
        <f>IF(VLOOKUP(A55,[1]CER_SubK_PO_Status!A:R,17,FALSE)=0,"",VLOOKUP(A55,[1]CER_SubK_PO_Status!A:R,17,FALSE))</f>
        <v/>
      </c>
      <c r="M55" s="15" t="str">
        <f>IF(VLOOKUP(A55,[1]CER_SubK_PO_Status!A:R,16,FALSE)=0,"",VLOOKUP(A55,[1]CER_SubK_PO_Status!A:R,16,FALSE))</f>
        <v>fraites@jlab.org</v>
      </c>
      <c r="N55" s="15" t="str">
        <f>IF(VLOOKUP(A55,[1]CER_SubK_PO_Status!A:R,18,FALSE)=0,"",VLOOKUP(A55,[1]CER_SubK_PO_Status!A:R,18,FALSE))</f>
        <v/>
      </c>
    </row>
    <row r="56" spans="1:14" ht="54.95" customHeight="1" x14ac:dyDescent="0.2">
      <c r="A56" s="12" t="s">
        <v>110</v>
      </c>
      <c r="B56" s="12" t="str">
        <f>VLOOKUP(A56,[1]CER_SubK_PO_Status!A:N,9,FALSE)</f>
        <v>Open</v>
      </c>
      <c r="C56" s="12" t="str">
        <f>VLOOKUP(A56,[1]CER_SubK_PO_Status!A:N,7,FALSE)</f>
        <v>RI RESEARCH INSTRUMENTS</v>
      </c>
      <c r="D56" s="13">
        <f>VLOOKUP(A56,[1]CER_SubK_PO_Status!A:N,10,FALSE)/1000</f>
        <v>722.8</v>
      </c>
      <c r="E56" s="13">
        <f>VLOOKUP(A56,[1]CER_SubK_PO_Status!A:N,11,FALSE)/1000</f>
        <v>281.12</v>
      </c>
      <c r="F56" s="13">
        <f>VLOOKUP(A56,[1]CER_SubK_PO_Status!A:N,12,FALSE)/1000</f>
        <v>281.12</v>
      </c>
      <c r="G56" s="13">
        <f>D56-E56</f>
        <v>441.67999999999995</v>
      </c>
      <c r="H56" s="13">
        <f>D56-F56</f>
        <v>441.67999999999995</v>
      </c>
      <c r="I56" s="12" t="str">
        <f>VLOOKUP(A56,[1]CER_SubK_PO_Status!A:N,5,FALSE)</f>
        <v>GIUSEPPINA TENBUSCH</v>
      </c>
      <c r="J56" s="14" t="str">
        <f>RIGHT(VLOOKUP(A56,[1]CER_SubK_PO_Status!A:N,14,FALSE),LEN(VLOOKUP(A56,[1]CER_SubK_PO_Status!A:N,14,FALSE))-SEARCH("/",VLOOKUP(A56,[1]CER_SubK_PO_Status!A:N,14,FALSE),1))</f>
        <v>G CIOVATI</v>
      </c>
      <c r="K56" s="15" t="str">
        <f>IF(VLOOKUP(A56,[1]CER_SubK_PO_Status!A:R,15,FALSE)=0,"",VLOOKUP(A56,[1]CER_SubK_PO_Status!A:R,15,FALSE))</f>
        <v>CIOVATI, GIANLUIGI</v>
      </c>
      <c r="L56" s="15" t="str">
        <f>IF(VLOOKUP(A56,[1]CER_SubK_PO_Status!A:R,17,FALSE)=0,"",VLOOKUP(A56,[1]CER_SubK_PO_Status!A:R,17,FALSE))</f>
        <v>LANEY, MITCHELL L</v>
      </c>
      <c r="M56" s="15" t="str">
        <f>IF(VLOOKUP(A56,[1]CER_SubK_PO_Status!A:R,16,FALSE)=0,"",VLOOKUP(A56,[1]CER_SubK_PO_Status!A:R,16,FALSE))</f>
        <v>gciovati@jlab.org</v>
      </c>
      <c r="N56" s="15" t="str">
        <f>IF(VLOOKUP(A56,[1]CER_SubK_PO_Status!A:R,18,FALSE)=0,"",VLOOKUP(A56,[1]CER_SubK_PO_Status!A:R,18,FALSE))</f>
        <v>laney@jlab.org</v>
      </c>
    </row>
    <row r="57" spans="1:14" ht="54.95" customHeight="1" x14ac:dyDescent="0.2">
      <c r="A57" s="12" t="s">
        <v>45</v>
      </c>
      <c r="B57" s="12" t="str">
        <f>VLOOKUP(A57,[1]CER_SubK_PO_Status!A:N,9,FALSE)</f>
        <v>Open</v>
      </c>
      <c r="C57" s="12" t="str">
        <f>VLOOKUP(A57,[1]CER_SubK_PO_Status!A:N,7,FALSE)</f>
        <v>SHANGHAI SICCAS HIGH TECH</v>
      </c>
      <c r="D57" s="13">
        <f>VLOOKUP(A57,[1]CER_SubK_PO_Status!A:N,10,FALSE)/1000</f>
        <v>484</v>
      </c>
      <c r="E57" s="13">
        <f>VLOOKUP(A57,[1]CER_SubK_PO_Status!A:N,11,FALSE)/1000</f>
        <v>165</v>
      </c>
      <c r="F57" s="13">
        <f>VLOOKUP(A57,[1]CER_SubK_PO_Status!A:N,12,FALSE)/1000</f>
        <v>0</v>
      </c>
      <c r="G57" s="13">
        <f t="shared" si="0"/>
        <v>319</v>
      </c>
      <c r="H57" s="13">
        <f t="shared" si="1"/>
        <v>484</v>
      </c>
      <c r="I57" s="12" t="str">
        <f>VLOOKUP(A57,[1]CER_SubK_PO_Status!A:N,5,FALSE)</f>
        <v>THOMAS HURATIAK</v>
      </c>
      <c r="J57" s="14" t="str">
        <f>RIGHT(VLOOKUP(A57,[1]CER_SubK_PO_Status!A:N,14,FALSE),LEN(VLOOKUP(A57,[1]CER_SubK_PO_Status!A:N,14,FALSE))-SEARCH("/",VLOOKUP(A57,[1]CER_SubK_PO_Status!A:N,14,FALSE),1))</f>
        <v>A SOMOV</v>
      </c>
      <c r="K57" s="15" t="str">
        <f>IF(VLOOKUP(A57,[1]CER_SubK_PO_Status!A:R,15,FALSE)=0,"",VLOOKUP(A57,[1]CER_SubK_PO_Status!A:R,15,FALSE))</f>
        <v>SOMOV, ALEXANDER</v>
      </c>
      <c r="L57" s="15" t="str">
        <f>IF(VLOOKUP(A57,[1]CER_SubK_PO_Status!A:R,17,FALSE)=0,"",VLOOKUP(A57,[1]CER_SubK_PO_Status!A:R,17,FALSE))</f>
        <v>CHUDAKOV, EUGENE A</v>
      </c>
      <c r="M57" s="15" t="str">
        <f>IF(VLOOKUP(A57,[1]CER_SubK_PO_Status!A:R,16,FALSE)=0,"",VLOOKUP(A57,[1]CER_SubK_PO_Status!A:R,16,FALSE))</f>
        <v>somov@jlab.org</v>
      </c>
      <c r="N57" s="15" t="str">
        <f>IF(VLOOKUP(A57,[1]CER_SubK_PO_Status!A:R,18,FALSE)=0,"",VLOOKUP(A57,[1]CER_SubK_PO_Status!A:R,18,FALSE))</f>
        <v>gen@jlab.org</v>
      </c>
    </row>
    <row r="58" spans="1:14" ht="54.95" customHeight="1" x14ac:dyDescent="0.2">
      <c r="A58" s="12" t="s">
        <v>46</v>
      </c>
      <c r="B58" s="12" t="str">
        <f>VLOOKUP(A58,[1]CER_SubK_PO_Status!A:N,9,FALSE)</f>
        <v>Open</v>
      </c>
      <c r="C58" s="12" t="str">
        <f>VLOOKUP(A58,[1]CER_SubK_PO_Status!A:N,7,FALSE)</f>
        <v>SIENNA TECHNOLOGIES INC</v>
      </c>
      <c r="D58" s="13">
        <f>VLOOKUP(A58,[1]CER_SubK_PO_Status!A:N,10,FALSE)/1000</f>
        <v>244.95500000000001</v>
      </c>
      <c r="E58" s="13">
        <f>VLOOKUP(A58,[1]CER_SubK_PO_Status!A:N,11,FALSE)/1000</f>
        <v>33.6</v>
      </c>
      <c r="F58" s="13">
        <f>VLOOKUP(A58,[1]CER_SubK_PO_Status!A:N,12,FALSE)/1000</f>
        <v>33.6</v>
      </c>
      <c r="G58" s="13">
        <f t="shared" si="0"/>
        <v>211.35500000000002</v>
      </c>
      <c r="H58" s="13">
        <f t="shared" si="1"/>
        <v>211.35500000000002</v>
      </c>
      <c r="I58" s="12" t="str">
        <f>VLOOKUP(A58,[1]CER_SubK_PO_Status!A:N,5,FALSE)</f>
        <v>THOMAS HURATIAK</v>
      </c>
      <c r="J58" s="14" t="str">
        <f>RIGHT(VLOOKUP(A58,[1]CER_SubK_PO_Status!A:N,14,FALSE),LEN(VLOOKUP(A58,[1]CER_SubK_PO_Status!A:N,14,FALSE))-SEARCH("/",VLOOKUP(A58,[1]CER_SubK_PO_Status!A:N,14,FALSE),1))</f>
        <v>JIQUAN GUO</v>
      </c>
      <c r="K58" s="15" t="str">
        <f>IF(VLOOKUP(A58,[1]CER_SubK_PO_Status!A:R,15,FALSE)=0,"",VLOOKUP(A58,[1]CER_SubK_PO_Status!A:R,15,FALSE))</f>
        <v>GUO, JIQUAN</v>
      </c>
      <c r="L58" s="15" t="str">
        <f>IF(VLOOKUP(A58,[1]CER_SubK_PO_Status!A:R,17,FALSE)=0,"",VLOOKUP(A58,[1]CER_SubK_PO_Status!A:R,17,FALSE))</f>
        <v/>
      </c>
      <c r="M58" s="15" t="str">
        <f>IF(VLOOKUP(A58,[1]CER_SubK_PO_Status!A:R,16,FALSE)=0,"",VLOOKUP(A58,[1]CER_SubK_PO_Status!A:R,16,FALSE))</f>
        <v>jguo@jlab.org</v>
      </c>
      <c r="N58" s="15" t="str">
        <f>IF(VLOOKUP(A58,[1]CER_SubK_PO_Status!A:R,18,FALSE)=0,"",VLOOKUP(A58,[1]CER_SubK_PO_Status!A:R,18,FALSE))</f>
        <v/>
      </c>
    </row>
    <row r="59" spans="1:14" ht="54.95" customHeight="1" x14ac:dyDescent="0.2">
      <c r="A59" s="12" t="s">
        <v>111</v>
      </c>
      <c r="B59" s="12" t="str">
        <f>VLOOKUP(A59,[1]CER_SubK_PO_Status!A:N,9,FALSE)</f>
        <v>Open</v>
      </c>
      <c r="C59" s="12" t="str">
        <f>VLOOKUP(A59,[1]CER_SubK_PO_Status!A:N,7,FALSE)</f>
        <v>SMITHGROUP INC</v>
      </c>
      <c r="D59" s="13">
        <f>VLOOKUP(A59,[1]CER_SubK_PO_Status!A:N,10,FALSE)/1000</f>
        <v>711.18518000000006</v>
      </c>
      <c r="E59" s="13">
        <f>VLOOKUP(A59,[1]CER_SubK_PO_Status!A:N,11,FALSE)/1000</f>
        <v>5.4976799999999999</v>
      </c>
      <c r="F59" s="13">
        <f>VLOOKUP(A59,[1]CER_SubK_PO_Status!A:N,12,FALSE)/1000</f>
        <v>0</v>
      </c>
      <c r="G59" s="13">
        <f t="shared" si="0"/>
        <v>705.68750000000011</v>
      </c>
      <c r="H59" s="13">
        <f t="shared" si="1"/>
        <v>711.18518000000006</v>
      </c>
      <c r="I59" s="12" t="str">
        <f>VLOOKUP(A59,[1]CER_SubK_PO_Status!A:N,5,FALSE)</f>
        <v>SHARON WILLIAMS</v>
      </c>
      <c r="J59" s="14" t="e">
        <f>RIGHT(VLOOKUP(A59,[1]CER_SubK_PO_Status!A:N,14,FALSE),LEN(VLOOKUP(A59,[1]CER_SubK_PO_Status!A:N,14,FALSE))-SEARCH("/",VLOOKUP(A59,[1]CER_SubK_PO_Status!A:N,14,FALSE),1))</f>
        <v>#VALUE!</v>
      </c>
      <c r="K59" s="15" t="str">
        <f>IF(VLOOKUP(A59,[1]CER_SubK_PO_Status!A:R,15,FALSE)=0,"",VLOOKUP(A59,[1]CER_SubK_PO_Status!A:R,15,FALSE))</f>
        <v>BENTIVEGNA, SCOTT M</v>
      </c>
      <c r="L59" s="15" t="str">
        <f>IF(VLOOKUP(A59,[1]CER_SubK_PO_Status!A:R,17,FALSE)=0,"",VLOOKUP(A59,[1]CER_SubK_PO_Status!A:R,17,FALSE))</f>
        <v>SOLAROLI, MICHELE L</v>
      </c>
      <c r="M59" s="15" t="str">
        <f>IF(VLOOKUP(A59,[1]CER_SubK_PO_Status!A:R,16,FALSE)=0,"",VLOOKUP(A59,[1]CER_SubK_PO_Status!A:R,16,FALSE))</f>
        <v>scottb@jlab.org</v>
      </c>
      <c r="N59" s="15" t="str">
        <f>IF(VLOOKUP(A59,[1]CER_SubK_PO_Status!A:R,18,FALSE)=0,"",VLOOKUP(A59,[1]CER_SubK_PO_Status!A:R,18,FALSE))</f>
        <v>msolarol@jlab.org</v>
      </c>
    </row>
    <row r="60" spans="1:14" ht="54.95" customHeight="1" x14ac:dyDescent="0.2">
      <c r="A60" s="12" t="s">
        <v>47</v>
      </c>
      <c r="B60" s="12" t="str">
        <f>VLOOKUP(A60,[1]CER_SubK_PO_Status!A:N,9,FALSE)</f>
        <v>Open</v>
      </c>
      <c r="C60" s="12" t="str">
        <f>VLOOKUP(A60,[1]CER_SubK_PO_Status!A:N,7,FALSE)</f>
        <v>SPACE CRYOMAGNETICS LTD</v>
      </c>
      <c r="D60" s="13">
        <f>VLOOKUP(A60,[1]CER_SubK_PO_Status!A:N,10,FALSE)/1000</f>
        <v>409.411</v>
      </c>
      <c r="E60" s="13">
        <f>VLOOKUP(A60,[1]CER_SubK_PO_Status!A:N,11,FALSE)/1000</f>
        <v>369.44299999999998</v>
      </c>
      <c r="F60" s="13">
        <f>VLOOKUP(A60,[1]CER_SubK_PO_Status!A:N,12,FALSE)/1000</f>
        <v>368.4699</v>
      </c>
      <c r="G60" s="13">
        <f t="shared" si="0"/>
        <v>39.968000000000018</v>
      </c>
      <c r="H60" s="13">
        <f t="shared" si="1"/>
        <v>40.941100000000006</v>
      </c>
      <c r="I60" s="12" t="str">
        <f>VLOOKUP(A60,[1]CER_SubK_PO_Status!A:N,5,FALSE)</f>
        <v>MELISSA TORRES</v>
      </c>
      <c r="J60" s="14" t="str">
        <f>RIGHT(VLOOKUP(A60,[1]CER_SubK_PO_Status!A:N,14,FALSE),LEN(VLOOKUP(A60,[1]CER_SubK_PO_Status!A:N,14,FALSE))-SEARCH("/",VLOOKUP(A60,[1]CER_SubK_PO_Status!A:N,14,FALSE),1))</f>
        <v>C KEITH</v>
      </c>
      <c r="K60" s="15" t="str">
        <f>IF(VLOOKUP(A60,[1]CER_SubK_PO_Status!A:R,15,FALSE)=0,"",VLOOKUP(A60,[1]CER_SubK_PO_Status!A:R,15,FALSE))</f>
        <v>KEITH, CHRISTOPHE D</v>
      </c>
      <c r="L60" s="15" t="str">
        <f>IF(VLOOKUP(A60,[1]CER_SubK_PO_Status!A:R,17,FALSE)=0,"",VLOOKUP(A60,[1]CER_SubK_PO_Status!A:R,17,FALSE))</f>
        <v>LANEY, MITCHELL L</v>
      </c>
      <c r="M60" s="15" t="str">
        <f>IF(VLOOKUP(A60,[1]CER_SubK_PO_Status!A:R,16,FALSE)=0,"",VLOOKUP(A60,[1]CER_SubK_PO_Status!A:R,16,FALSE))</f>
        <v>ckeith@jlab.org</v>
      </c>
      <c r="N60" s="15" t="str">
        <f>IF(VLOOKUP(A60,[1]CER_SubK_PO_Status!A:R,18,FALSE)=0,"",VLOOKUP(A60,[1]CER_SubK_PO_Status!A:R,18,FALSE))</f>
        <v>laney@jlab.org</v>
      </c>
    </row>
    <row r="61" spans="1:14" ht="54.95" customHeight="1" x14ac:dyDescent="0.2">
      <c r="A61" s="12" t="s">
        <v>112</v>
      </c>
      <c r="B61" s="12" t="str">
        <f>VLOOKUP(A61,[1]CER_SubK_PO_Status!A:N,9,FALSE)</f>
        <v>System Closed</v>
      </c>
      <c r="C61" s="12" t="str">
        <f>VLOOKUP(A61,[1]CER_SubK_PO_Status!A:N,7,FALSE)</f>
        <v>STELLANT SYSTEMS INC</v>
      </c>
      <c r="D61" s="13">
        <f>VLOOKUP(A61,[1]CER_SubK_PO_Status!A:N,10,FALSE)/1000</f>
        <v>106.682</v>
      </c>
      <c r="E61" s="13">
        <f>VLOOKUP(A61,[1]CER_SubK_PO_Status!A:N,11,FALSE)/1000</f>
        <v>106.682</v>
      </c>
      <c r="F61" s="13">
        <f>VLOOKUP(A61,[1]CER_SubK_PO_Status!A:N,12,FALSE)/1000</f>
        <v>106.682</v>
      </c>
      <c r="G61" s="13">
        <f t="shared" si="0"/>
        <v>0</v>
      </c>
      <c r="H61" s="13">
        <f t="shared" si="1"/>
        <v>0</v>
      </c>
      <c r="I61" s="12" t="str">
        <f>VLOOKUP(A61,[1]CER_SubK_PO_Status!A:N,5,FALSE)</f>
        <v>THOMAS HURATIAK</v>
      </c>
      <c r="J61" s="14" t="str">
        <f>RIGHT(VLOOKUP(A61,[1]CER_SubK_PO_Status!A:N,14,FALSE),LEN(VLOOKUP(A61,[1]CER_SubK_PO_Status!A:N,14,FALSE))-SEARCH("/",VLOOKUP(A61,[1]CER_SubK_PO_Status!A:N,14,FALSE),1))</f>
        <v>R NELSON</v>
      </c>
      <c r="K61" s="15" t="str">
        <f>IF(VLOOKUP(A61,[1]CER_SubK_PO_Status!A:R,15,FALSE)=0,"",VLOOKUP(A61,[1]CER_SubK_PO_Status!A:R,15,FALSE))</f>
        <v>NELSON, RICHARD M</v>
      </c>
      <c r="L61" s="15" t="str">
        <f>IF(VLOOKUP(A61,[1]CER_SubK_PO_Status!A:R,17,FALSE)=0,"",VLOOKUP(A61,[1]CER_SubK_PO_Status!A:R,17,FALSE))</f>
        <v>HURATIAK, THOMAS</v>
      </c>
      <c r="M61" s="15" t="str">
        <f>IF(VLOOKUP(A61,[1]CER_SubK_PO_Status!A:R,16,FALSE)=0,"",VLOOKUP(A61,[1]CER_SubK_PO_Status!A:R,16,FALSE))</f>
        <v>nelson@jlab.org</v>
      </c>
      <c r="N61" s="15" t="str">
        <f>IF(VLOOKUP(A61,[1]CER_SubK_PO_Status!A:R,18,FALSE)=0,"",VLOOKUP(A61,[1]CER_SubK_PO_Status!A:R,18,FALSE))</f>
        <v>huratiak@jlab.org</v>
      </c>
    </row>
    <row r="62" spans="1:14" ht="54.95" customHeight="1" x14ac:dyDescent="0.2">
      <c r="A62" s="12" t="s">
        <v>113</v>
      </c>
      <c r="B62" s="12" t="str">
        <f>VLOOKUP(A62,[1]CER_SubK_PO_Status!A:N,9,FALSE)</f>
        <v>Open</v>
      </c>
      <c r="C62" s="12" t="str">
        <f>VLOOKUP(A62,[1]CER_SubK_PO_Status!A:N,7,FALSE)</f>
        <v>STELLANT SYSTEMS INC</v>
      </c>
      <c r="D62" s="13">
        <f>VLOOKUP(A62,[1]CER_SubK_PO_Status!A:N,10,FALSE)/1000</f>
        <v>1054.2786000000001</v>
      </c>
      <c r="E62" s="13">
        <f>VLOOKUP(A62,[1]CER_SubK_PO_Status!A:N,11,FALSE)/1000</f>
        <v>0</v>
      </c>
      <c r="F62" s="13">
        <f>VLOOKUP(A62,[1]CER_SubK_PO_Status!A:N,12,FALSE)/1000</f>
        <v>0</v>
      </c>
      <c r="G62" s="13">
        <f t="shared" si="0"/>
        <v>1054.2786000000001</v>
      </c>
      <c r="H62" s="13">
        <f t="shared" si="1"/>
        <v>1054.2786000000001</v>
      </c>
      <c r="I62" s="12" t="str">
        <f>VLOOKUP(A62,[1]CER_SubK_PO_Status!A:N,5,FALSE)</f>
        <v>THOMAS HURATIAK</v>
      </c>
      <c r="J62" s="14" t="str">
        <f>RIGHT(VLOOKUP(A62,[1]CER_SubK_PO_Status!A:N,14,FALSE),LEN(VLOOKUP(A62,[1]CER_SubK_PO_Status!A:N,14,FALSE))-SEARCH("/",VLOOKUP(A62,[1]CER_SubK_PO_Status!A:N,14,FALSE),1))</f>
        <v>R NELSON/55B</v>
      </c>
      <c r="K62" s="15" t="str">
        <f>IF(VLOOKUP(A62,[1]CER_SubK_PO_Status!A:R,15,FALSE)=0,"",VLOOKUP(A62,[1]CER_SubK_PO_Status!A:R,15,FALSE))</f>
        <v>NELSON, RICHARD M</v>
      </c>
      <c r="L62" s="15" t="str">
        <f>IF(VLOOKUP(A62,[1]CER_SubK_PO_Status!A:R,17,FALSE)=0,"",VLOOKUP(A62,[1]CER_SubK_PO_Status!A:R,17,FALSE))</f>
        <v>HURATIAK, THOMAS</v>
      </c>
      <c r="M62" s="15" t="str">
        <f>IF(VLOOKUP(A62,[1]CER_SubK_PO_Status!A:R,16,FALSE)=0,"",VLOOKUP(A62,[1]CER_SubK_PO_Status!A:R,16,FALSE))</f>
        <v>nelson@jlab.org</v>
      </c>
      <c r="N62" s="15" t="str">
        <f>IF(VLOOKUP(A62,[1]CER_SubK_PO_Status!A:R,18,FALSE)=0,"",VLOOKUP(A62,[1]CER_SubK_PO_Status!A:R,18,FALSE))</f>
        <v>huratiak@jlab.org</v>
      </c>
    </row>
    <row r="63" spans="1:14" ht="54.95" customHeight="1" x14ac:dyDescent="0.2">
      <c r="A63" s="12" t="s">
        <v>114</v>
      </c>
      <c r="B63" s="12" t="str">
        <f>VLOOKUP(A63,[1]CER_SubK_PO_Status!A:N,9,FALSE)</f>
        <v>Open</v>
      </c>
      <c r="C63" s="12" t="str">
        <f>VLOOKUP(A63,[1]CER_SubK_PO_Status!A:N,7,FALSE)</f>
        <v>STEVENS INSTITUTE OF TECH</v>
      </c>
      <c r="D63" s="13">
        <f>VLOOKUP(A63,[1]CER_SubK_PO_Status!A:N,10,FALSE)/1000</f>
        <v>41.526940000000003</v>
      </c>
      <c r="E63" s="13">
        <f>VLOOKUP(A63,[1]CER_SubK_PO_Status!A:N,11,FALSE)/1000</f>
        <v>4.4279500000000001</v>
      </c>
      <c r="F63" s="13">
        <f>VLOOKUP(A63,[1]CER_SubK_PO_Status!A:N,12,FALSE)/1000</f>
        <v>0</v>
      </c>
      <c r="G63" s="13">
        <f t="shared" si="0"/>
        <v>37.098990000000001</v>
      </c>
      <c r="H63" s="13">
        <f t="shared" si="1"/>
        <v>41.526940000000003</v>
      </c>
      <c r="I63" s="12" t="str">
        <f>VLOOKUP(A63,[1]CER_SubK_PO_Status!A:N,5,FALSE)</f>
        <v>MICHELE KHASIDIS</v>
      </c>
      <c r="J63" s="14" t="e">
        <f>RIGHT(VLOOKUP(A63,[1]CER_SubK_PO_Status!A:N,14,FALSE),LEN(VLOOKUP(A63,[1]CER_SubK_PO_Status!A:N,14,FALSE))-SEARCH("/",VLOOKUP(A63,[1]CER_SubK_PO_Status!A:N,14,FALSE),1))</f>
        <v>#VALUE!</v>
      </c>
      <c r="K63" s="15" t="str">
        <f>IF(VLOOKUP(A63,[1]CER_SubK_PO_Status!A:R,15,FALSE)=0,"",VLOOKUP(A63,[1]CER_SubK_PO_Status!A:R,15,FALSE))</f>
        <v>STEWART, TANYA-GAYE N</v>
      </c>
      <c r="L63" s="15" t="str">
        <f>IF(VLOOKUP(A63,[1]CER_SubK_PO_Status!A:R,17,FALSE)=0,"",VLOOKUP(A63,[1]CER_SubK_PO_Status!A:R,17,FALSE))</f>
        <v/>
      </c>
      <c r="M63" s="15" t="str">
        <f>IF(VLOOKUP(A63,[1]CER_SubK_PO_Status!A:R,16,FALSE)=0,"",VLOOKUP(A63,[1]CER_SubK_PO_Status!A:R,16,FALSE))</f>
        <v>fraites@jlab.org</v>
      </c>
      <c r="N63" s="15" t="str">
        <f>IF(VLOOKUP(A63,[1]CER_SubK_PO_Status!A:R,18,FALSE)=0,"",VLOOKUP(A63,[1]CER_SubK_PO_Status!A:R,18,FALSE))</f>
        <v/>
      </c>
    </row>
    <row r="64" spans="1:14" ht="31.5" customHeight="1" x14ac:dyDescent="0.2">
      <c r="A64" s="12" t="s">
        <v>115</v>
      </c>
      <c r="B64" s="12" t="str">
        <f>VLOOKUP(A64,[1]CER_SubK_PO_Status!A:N,9,FALSE)</f>
        <v>Open</v>
      </c>
      <c r="C64" s="12" t="str">
        <f>VLOOKUP(A64,[1]CER_SubK_PO_Status!A:N,7,FALSE)</f>
        <v>SUMITOMO PRECISION</v>
      </c>
      <c r="D64" s="13">
        <f>VLOOKUP(A64,[1]CER_SubK_PO_Status!A:N,10,FALSE)/1000</f>
        <v>53.2</v>
      </c>
      <c r="E64" s="13">
        <f>VLOOKUP(A64,[1]CER_SubK_PO_Status!A:N,11,FALSE)/1000</f>
        <v>0</v>
      </c>
      <c r="F64" s="13">
        <f>VLOOKUP(A64,[1]CER_SubK_PO_Status!A:N,12,FALSE)/1000</f>
        <v>0</v>
      </c>
      <c r="G64" s="13">
        <f t="shared" si="0"/>
        <v>53.2</v>
      </c>
      <c r="H64" s="13">
        <f t="shared" si="1"/>
        <v>53.2</v>
      </c>
      <c r="I64" s="12" t="str">
        <f>VLOOKUP(A64,[1]CER_SubK_PO_Status!A:N,5,FALSE)</f>
        <v>DEANN MADDOX</v>
      </c>
      <c r="J64" s="14" t="e">
        <f>RIGHT(VLOOKUP(A64,[1]CER_SubK_PO_Status!A:N,14,FALSE),LEN(VLOOKUP(A64,[1]CER_SubK_PO_Status!A:N,14,FALSE))-SEARCH("/",VLOOKUP(A64,[1]CER_SubK_PO_Status!A:N,14,FALSE),1))</f>
        <v>#VALUE!</v>
      </c>
      <c r="K64" s="15" t="str">
        <f>IF(VLOOKUP(A64,[1]CER_SubK_PO_Status!A:R,15,FALSE)=0,"",VLOOKUP(A64,[1]CER_SubK_PO_Status!A:R,15,FALSE))</f>
        <v>CHENG, GUANGFENG</v>
      </c>
      <c r="L64" s="15" t="str">
        <f>IF(VLOOKUP(A64,[1]CER_SubK_PO_Status!A:R,17,FALSE)=0,"",VLOOKUP(A64,[1]CER_SubK_PO_Status!A:R,17,FALSE))</f>
        <v>HUQUE, NAEEM A</v>
      </c>
      <c r="M64" s="15" t="str">
        <f>IF(VLOOKUP(A64,[1]CER_SubK_PO_Status!A:R,16,FALSE)=0,"",VLOOKUP(A64,[1]CER_SubK_PO_Status!A:R,16,FALSE))</f>
        <v>cheng@jlab.org</v>
      </c>
      <c r="N64" s="15" t="str">
        <f>IF(VLOOKUP(A64,[1]CER_SubK_PO_Status!A:R,18,FALSE)=0,"",VLOOKUP(A64,[1]CER_SubK_PO_Status!A:R,18,FALSE))</f>
        <v>huque@jlab.org</v>
      </c>
    </row>
    <row r="65" spans="1:14" ht="37.5" x14ac:dyDescent="0.2">
      <c r="A65" s="12" t="s">
        <v>48</v>
      </c>
      <c r="B65" s="12" t="str">
        <f>VLOOKUP(A65,[1]CER_SubK_PO_Status!A:N,9,FALSE)</f>
        <v>Open</v>
      </c>
      <c r="C65" s="12" t="str">
        <f>VLOOKUP(A65,[1]CER_SubK_PO_Status!A:N,7,FALSE)</f>
        <v xml:space="preserve">THE CATHOLIC UNIVERSITY  </v>
      </c>
      <c r="D65" s="13">
        <f>VLOOKUP(A65,[1]CER_SubK_PO_Status!A:N,10,FALSE)/1000</f>
        <v>458.62074000000001</v>
      </c>
      <c r="E65" s="13">
        <f>VLOOKUP(A65,[1]CER_SubK_PO_Status!A:N,11,FALSE)/1000</f>
        <v>440.10662000000002</v>
      </c>
      <c r="F65" s="13">
        <f>VLOOKUP(A65,[1]CER_SubK_PO_Status!A:N,12,FALSE)/1000</f>
        <v>429.90222</v>
      </c>
      <c r="G65" s="13">
        <f t="shared" si="0"/>
        <v>18.514119999999991</v>
      </c>
      <c r="H65" s="13">
        <f t="shared" si="1"/>
        <v>28.718520000000012</v>
      </c>
      <c r="I65" s="12" t="str">
        <f>VLOOKUP(A65,[1]CER_SubK_PO_Status!A:N,5,FALSE)</f>
        <v>MICHELE KHASIDIS</v>
      </c>
      <c r="J65" s="14" t="str">
        <f>RIGHT(VLOOKUP(A65,[1]CER_SubK_PO_Status!A:N,14,FALSE),LEN(VLOOKUP(A65,[1]CER_SubK_PO_Status!A:N,14,FALSE))-SEARCH("/",VLOOKUP(A65,[1]CER_SubK_PO_Status!A:N,14,FALSE),1))</f>
        <v>TANYA STEWART</v>
      </c>
      <c r="K65" s="15" t="str">
        <f>IF(VLOOKUP(A65,[1]CER_SubK_PO_Status!A:R,15,FALSE)=0,"",VLOOKUP(A65,[1]CER_SubK_PO_Status!A:R,15,FALSE))</f>
        <v>STEWART, TANYA-GAYE N</v>
      </c>
      <c r="L65" s="15" t="str">
        <f>IF(VLOOKUP(A65,[1]CER_SubK_PO_Status!A:R,17,FALSE)=0,"",VLOOKUP(A65,[1]CER_SubK_PO_Status!A:R,17,FALSE))</f>
        <v/>
      </c>
      <c r="M65" s="15" t="str">
        <f>IF(VLOOKUP(A65,[1]CER_SubK_PO_Status!A:R,16,FALSE)=0,"",VLOOKUP(A65,[1]CER_SubK_PO_Status!A:R,16,FALSE))</f>
        <v>fraites@jlab.org</v>
      </c>
      <c r="N65" s="15" t="str">
        <f>IF(VLOOKUP(A65,[1]CER_SubK_PO_Status!A:R,18,FALSE)=0,"",VLOOKUP(A65,[1]CER_SubK_PO_Status!A:R,18,FALSE))</f>
        <v/>
      </c>
    </row>
    <row r="66" spans="1:14" ht="37.5" x14ac:dyDescent="0.2">
      <c r="A66" s="12" t="s">
        <v>49</v>
      </c>
      <c r="B66" s="12" t="str">
        <f>VLOOKUP(A66,[1]CER_SubK_PO_Status!A:N,9,FALSE)</f>
        <v>Open</v>
      </c>
      <c r="C66" s="12" t="str">
        <f>VLOOKUP(A66,[1]CER_SubK_PO_Status!A:N,7,FALSE)</f>
        <v xml:space="preserve">THE CATHOLIC UNIVERSITY  </v>
      </c>
      <c r="D66" s="13">
        <f>VLOOKUP(A66,[1]CER_SubK_PO_Status!A:N,10,FALSE)/1000</f>
        <v>88.424999999999997</v>
      </c>
      <c r="E66" s="13">
        <f>VLOOKUP(A66,[1]CER_SubK_PO_Status!A:N,11,FALSE)/1000</f>
        <v>76.510859999999994</v>
      </c>
      <c r="F66" s="13">
        <f>VLOOKUP(A66,[1]CER_SubK_PO_Status!A:N,12,FALSE)/1000</f>
        <v>76.510429999999999</v>
      </c>
      <c r="G66" s="13">
        <f t="shared" si="0"/>
        <v>11.914140000000003</v>
      </c>
      <c r="H66" s="13">
        <f t="shared" si="1"/>
        <v>11.914569999999998</v>
      </c>
      <c r="I66" s="12" t="str">
        <f>VLOOKUP(A66,[1]CER_SubK_PO_Status!A:N,5,FALSE)</f>
        <v>MICHELE KHASIDIS</v>
      </c>
      <c r="J66" s="16"/>
      <c r="K66" s="15" t="str">
        <f>IF(VLOOKUP(A66,[1]CER_SubK_PO_Status!A:R,15,FALSE)=0,"",VLOOKUP(A66,[1]CER_SubK_PO_Status!A:R,15,FALSE))</f>
        <v>STEWART, TANYA-GAYE N</v>
      </c>
      <c r="L66" s="15" t="str">
        <f>IF(VLOOKUP(A66,[1]CER_SubK_PO_Status!A:R,17,FALSE)=0,"",VLOOKUP(A66,[1]CER_SubK_PO_Status!A:R,17,FALSE))</f>
        <v/>
      </c>
      <c r="M66" s="15" t="str">
        <f>IF(VLOOKUP(A66,[1]CER_SubK_PO_Status!A:R,16,FALSE)=0,"",VLOOKUP(A66,[1]CER_SubK_PO_Status!A:R,16,FALSE))</f>
        <v>fraites@jlab.org</v>
      </c>
      <c r="N66" s="15" t="str">
        <f>IF(VLOOKUP(A66,[1]CER_SubK_PO_Status!A:R,18,FALSE)=0,"",VLOOKUP(A66,[1]CER_SubK_PO_Status!A:R,18,FALSE))</f>
        <v/>
      </c>
    </row>
    <row r="67" spans="1:14" ht="37.5" x14ac:dyDescent="0.2">
      <c r="A67" s="12" t="s">
        <v>116</v>
      </c>
      <c r="B67" s="12" t="str">
        <f>VLOOKUP(A67,[1]CER_SubK_PO_Status!A:N,9,FALSE)</f>
        <v>Open</v>
      </c>
      <c r="C67" s="12" t="str">
        <f>VLOOKUP(A67,[1]CER_SubK_PO_Status!A:N,7,FALSE)</f>
        <v xml:space="preserve">THE RESEARCH FOUNDATION </v>
      </c>
      <c r="D67" s="13">
        <f>VLOOKUP(A67,[1]CER_SubK_PO_Status!A:N,10,FALSE)/1000</f>
        <v>319.08699999999999</v>
      </c>
      <c r="E67" s="13">
        <f>VLOOKUP(A67,[1]CER_SubK_PO_Status!A:N,11,FALSE)/1000</f>
        <v>39.220959999999998</v>
      </c>
      <c r="F67" s="13">
        <f>VLOOKUP(A67,[1]CER_SubK_PO_Status!A:N,12,FALSE)/1000</f>
        <v>39.220959999999998</v>
      </c>
      <c r="G67" s="13">
        <f t="shared" si="0"/>
        <v>279.86604</v>
      </c>
      <c r="H67" s="13">
        <f t="shared" si="1"/>
        <v>279.86604</v>
      </c>
      <c r="I67" s="12" t="str">
        <f>VLOOKUP(A67,[1]CER_SubK_PO_Status!A:N,5,FALSE)</f>
        <v>THOMAS HURATIAK</v>
      </c>
      <c r="J67" s="14" t="str">
        <f>RIGHT(VLOOKUP(A67,[1]CER_SubK_PO_Status!A:N,14,FALSE),LEN(VLOOKUP(A67,[1]CER_SubK_PO_Status!A:N,14,FALSE))-SEARCH("/",VLOOKUP(A67,[1]CER_SubK_PO_Status!A:N,14,FALSE),1))</f>
        <v>C ZORN</v>
      </c>
      <c r="K67" s="15" t="str">
        <f>IF(VLOOKUP(A67,[1]CER_SubK_PO_Status!A:R,15,FALSE)=0,"",VLOOKUP(A67,[1]CER_SubK_PO_Status!A:R,15,FALSE))</f>
        <v>ZORN, CARL J</v>
      </c>
      <c r="L67" s="15" t="str">
        <f>IF(VLOOKUP(A67,[1]CER_SubK_PO_Status!A:R,17,FALSE)=0,"",VLOOKUP(A67,[1]CER_SubK_PO_Status!A:R,17,FALSE))</f>
        <v>FAST, JAMES E</v>
      </c>
      <c r="M67" s="15" t="str">
        <f>IF(VLOOKUP(A67,[1]CER_SubK_PO_Status!A:R,16,FALSE)=0,"",VLOOKUP(A67,[1]CER_SubK_PO_Status!A:R,16,FALSE))</f>
        <v>zorn@jlab.org</v>
      </c>
      <c r="N67" s="15" t="str">
        <f>IF(VLOOKUP(A67,[1]CER_SubK_PO_Status!A:R,18,FALSE)=0,"",VLOOKUP(A67,[1]CER_SubK_PO_Status!A:R,18,FALSE))</f>
        <v>jfast@jlab.org</v>
      </c>
    </row>
    <row r="68" spans="1:14" ht="37.5" x14ac:dyDescent="0.2">
      <c r="A68" s="12" t="s">
        <v>50</v>
      </c>
      <c r="B68" s="12" t="str">
        <f>VLOOKUP(A68,[1]CER_SubK_PO_Status!A:N,9,FALSE)</f>
        <v>Open</v>
      </c>
      <c r="C68" s="12" t="str">
        <f>VLOOKUP(A68,[1]CER_SubK_PO_Status!A:N,7,FALSE)</f>
        <v>TRUSTEES OF INDIANA UNIVE</v>
      </c>
      <c r="D68" s="13">
        <f>VLOOKUP(A68,[1]CER_SubK_PO_Status!A:N,10,FALSE)/1000</f>
        <v>505.54640000000001</v>
      </c>
      <c r="E68" s="13">
        <f>VLOOKUP(A68,[1]CER_SubK_PO_Status!A:N,11,FALSE)/1000</f>
        <v>472.34467999999998</v>
      </c>
      <c r="F68" s="13">
        <f>VLOOKUP(A68,[1]CER_SubK_PO_Status!A:N,12,FALSE)/1000</f>
        <v>472.34467999999998</v>
      </c>
      <c r="G68" s="13">
        <f t="shared" si="0"/>
        <v>33.201720000000023</v>
      </c>
      <c r="H68" s="13">
        <f t="shared" si="1"/>
        <v>33.201720000000023</v>
      </c>
      <c r="I68" s="12" t="str">
        <f>VLOOKUP(A68,[1]CER_SubK_PO_Status!A:N,5,FALSE)</f>
        <v>GIUSEPPINA TENBUSCH</v>
      </c>
      <c r="J68" s="14" t="str">
        <f>RIGHT(VLOOKUP(A68,[1]CER_SubK_PO_Status!A:N,14,FALSE),LEN(VLOOKUP(A68,[1]CER_SubK_PO_Status!A:N,14,FALSE))-SEARCH("/",VLOOKUP(A68,[1]CER_SubK_PO_Status!A:N,14,FALSE),1))</f>
        <v>TANYA STEWART</v>
      </c>
      <c r="K68" s="15" t="str">
        <f>IF(VLOOKUP(A68,[1]CER_SubK_PO_Status!A:R,15,FALSE)=0,"",VLOOKUP(A68,[1]CER_SubK_PO_Status!A:R,15,FALSE))</f>
        <v>STEWART, TANYA-GAYE N</v>
      </c>
      <c r="L68" s="15" t="str">
        <f>IF(VLOOKUP(A68,[1]CER_SubK_PO_Status!A:R,17,FALSE)=0,"",VLOOKUP(A68,[1]CER_SubK_PO_Status!A:R,17,FALSE))</f>
        <v>PARKINSON, SHARON K</v>
      </c>
      <c r="M68" s="15" t="str">
        <f>IF(VLOOKUP(A68,[1]CER_SubK_PO_Status!A:R,16,FALSE)=0,"",VLOOKUP(A68,[1]CER_SubK_PO_Status!A:R,16,FALSE))</f>
        <v>fraites@jlab.org</v>
      </c>
      <c r="N68" s="15" t="str">
        <f>IF(VLOOKUP(A68,[1]CER_SubK_PO_Status!A:R,18,FALSE)=0,"",VLOOKUP(A68,[1]CER_SubK_PO_Status!A:R,18,FALSE))</f>
        <v>spark@jlab.org</v>
      </c>
    </row>
    <row r="69" spans="1:14" ht="37.5" x14ac:dyDescent="0.2">
      <c r="A69" s="12" t="s">
        <v>51</v>
      </c>
      <c r="B69" s="12" t="str">
        <f>VLOOKUP(A69,[1]CER_SubK_PO_Status!A:N,9,FALSE)</f>
        <v>Open</v>
      </c>
      <c r="C69" s="12" t="str">
        <f>VLOOKUP(A69,[1]CER_SubK_PO_Status!A:N,7,FALSE)</f>
        <v>UNIVERSITY OF CALIFORNIA</v>
      </c>
      <c r="D69" s="13">
        <f>VLOOKUP(A69,[1]CER_SubK_PO_Status!A:N,10,FALSE)/1000</f>
        <v>169.60511</v>
      </c>
      <c r="E69" s="13">
        <f>VLOOKUP(A69,[1]CER_SubK_PO_Status!A:N,11,FALSE)/1000</f>
        <v>153.95239000000001</v>
      </c>
      <c r="F69" s="13">
        <f>VLOOKUP(A69,[1]CER_SubK_PO_Status!A:N,12,FALSE)/1000</f>
        <v>131.80224999999999</v>
      </c>
      <c r="G69" s="13">
        <f t="shared" si="0"/>
        <v>15.652719999999988</v>
      </c>
      <c r="H69" s="13">
        <f t="shared" si="1"/>
        <v>37.80286000000001</v>
      </c>
      <c r="I69" s="12" t="str">
        <f>VLOOKUP(A69,[1]CER_SubK_PO_Status!A:N,5,FALSE)</f>
        <v>MICHELE KHASIDIS</v>
      </c>
      <c r="J69" s="14" t="str">
        <f>RIGHT(VLOOKUP(A69,[1]CER_SubK_PO_Status!A:N,14,FALSE),LEN(VLOOKUP(A69,[1]CER_SubK_PO_Status!A:N,14,FALSE))-SEARCH("/",VLOOKUP(A69,[1]CER_SubK_PO_Status!A:N,14,FALSE),1))</f>
        <v>T STEWART</v>
      </c>
      <c r="K69" s="15" t="str">
        <f>IF(VLOOKUP(A69,[1]CER_SubK_PO_Status!A:R,15,FALSE)=0,"",VLOOKUP(A69,[1]CER_SubK_PO_Status!A:R,15,FALSE))</f>
        <v>STEWART, TANYA-GAYE N</v>
      </c>
      <c r="L69" s="15" t="str">
        <f>IF(VLOOKUP(A69,[1]CER_SubK_PO_Status!A:R,17,FALSE)=0,"",VLOOKUP(A69,[1]CER_SubK_PO_Status!A:R,17,FALSE))</f>
        <v/>
      </c>
      <c r="M69" s="15" t="str">
        <f>IF(VLOOKUP(A69,[1]CER_SubK_PO_Status!A:R,16,FALSE)=0,"",VLOOKUP(A69,[1]CER_SubK_PO_Status!A:R,16,FALSE))</f>
        <v>fraites@jlab.org</v>
      </c>
      <c r="N69" s="15" t="str">
        <f>IF(VLOOKUP(A69,[1]CER_SubK_PO_Status!A:R,18,FALSE)=0,"",VLOOKUP(A69,[1]CER_SubK_PO_Status!A:R,18,FALSE))</f>
        <v/>
      </c>
    </row>
    <row r="70" spans="1:14" ht="37.5" x14ac:dyDescent="0.2">
      <c r="A70" s="12" t="s">
        <v>52</v>
      </c>
      <c r="B70" s="12" t="str">
        <f>VLOOKUP(A70,[1]CER_SubK_PO_Status!A:N,9,FALSE)</f>
        <v>Open</v>
      </c>
      <c r="C70" s="12" t="str">
        <f>VLOOKUP(A70,[1]CER_SubK_PO_Status!A:N,7,FALSE)</f>
        <v>UNIVERSITY OF CONNECTICUT</v>
      </c>
      <c r="D70" s="13">
        <f>VLOOKUP(A70,[1]CER_SubK_PO_Status!A:N,10,FALSE)/1000</f>
        <v>62.283000000000001</v>
      </c>
      <c r="E70" s="13">
        <f>VLOOKUP(A70,[1]CER_SubK_PO_Status!A:N,11,FALSE)/1000</f>
        <v>62.283000000000001</v>
      </c>
      <c r="F70" s="13">
        <f>VLOOKUP(A70,[1]CER_SubK_PO_Status!A:N,12,FALSE)/1000</f>
        <v>57.092750000000002</v>
      </c>
      <c r="G70" s="13">
        <f t="shared" ref="G70:G83" si="6">D70-E70</f>
        <v>0</v>
      </c>
      <c r="H70" s="13">
        <f t="shared" ref="H70:H83" si="7">D70-F70</f>
        <v>5.1902499999999989</v>
      </c>
      <c r="I70" s="12" t="str">
        <f>VLOOKUP(A70,[1]CER_SubK_PO_Status!A:N,5,FALSE)</f>
        <v>MICHELE KHASIDIS</v>
      </c>
      <c r="J70" s="14" t="str">
        <f>RIGHT(VLOOKUP(A70,[1]CER_SubK_PO_Status!A:N,14,FALSE),LEN(VLOOKUP(A70,[1]CER_SubK_PO_Status!A:N,14,FALSE))-SEARCH("/",VLOOKUP(A70,[1]CER_SubK_PO_Status!A:N,14,FALSE),1))</f>
        <v>TANYA STEWART</v>
      </c>
      <c r="K70" s="15" t="str">
        <f>IF(VLOOKUP(A70,[1]CER_SubK_PO_Status!A:R,15,FALSE)=0,"",VLOOKUP(A70,[1]CER_SubK_PO_Status!A:R,15,FALSE))</f>
        <v>STEWART, TANYA-GAYE N</v>
      </c>
      <c r="L70" s="15" t="str">
        <f>IF(VLOOKUP(A70,[1]CER_SubK_PO_Status!A:R,17,FALSE)=0,"",VLOOKUP(A70,[1]CER_SubK_PO_Status!A:R,17,FALSE))</f>
        <v/>
      </c>
      <c r="M70" s="15" t="str">
        <f>IF(VLOOKUP(A70,[1]CER_SubK_PO_Status!A:R,16,FALSE)=0,"",VLOOKUP(A70,[1]CER_SubK_PO_Status!A:R,16,FALSE))</f>
        <v>fraites@jlab.org</v>
      </c>
      <c r="N70" s="15" t="str">
        <f>IF(VLOOKUP(A70,[1]CER_SubK_PO_Status!A:R,18,FALSE)=0,"",VLOOKUP(A70,[1]CER_SubK_PO_Status!A:R,18,FALSE))</f>
        <v/>
      </c>
    </row>
    <row r="71" spans="1:14" ht="37.5" x14ac:dyDescent="0.2">
      <c r="A71" s="12" t="s">
        <v>117</v>
      </c>
      <c r="B71" s="12" t="str">
        <f>VLOOKUP(A71,[1]CER_SubK_PO_Status!A:N,9,FALSE)</f>
        <v>Open</v>
      </c>
      <c r="C71" s="12" t="str">
        <f>VLOOKUP(A71,[1]CER_SubK_PO_Status!A:N,7,FALSE)</f>
        <v>UNIVERSITY OF KANSAS RC</v>
      </c>
      <c r="D71" s="13">
        <f>VLOOKUP(A71,[1]CER_SubK_PO_Status!A:N,10,FALSE)/1000</f>
        <v>36</v>
      </c>
      <c r="E71" s="13">
        <f>VLOOKUP(A71,[1]CER_SubK_PO_Status!A:N,11,FALSE)/1000</f>
        <v>9</v>
      </c>
      <c r="F71" s="13">
        <f>VLOOKUP(A71,[1]CER_SubK_PO_Status!A:N,12,FALSE)/1000</f>
        <v>0</v>
      </c>
      <c r="G71" s="13">
        <f t="shared" si="6"/>
        <v>27</v>
      </c>
      <c r="H71" s="13">
        <f t="shared" si="7"/>
        <v>36</v>
      </c>
      <c r="I71" s="12" t="str">
        <f>VLOOKUP(A71,[1]CER_SubK_PO_Status!A:N,5,FALSE)</f>
        <v>GIUSEPPINA TENBUSCH</v>
      </c>
      <c r="J71" s="14" t="e">
        <f>RIGHT(VLOOKUP(A71,[1]CER_SubK_PO_Status!A:N,14,FALSE),LEN(VLOOKUP(A71,[1]CER_SubK_PO_Status!A:N,14,FALSE))-SEARCH("/",VLOOKUP(A71,[1]CER_SubK_PO_Status!A:N,14,FALSE),1))</f>
        <v>#VALUE!</v>
      </c>
      <c r="K71" s="15" t="str">
        <f>IF(VLOOKUP(A71,[1]CER_SubK_PO_Status!A:R,15,FALSE)=0,"",VLOOKUP(A71,[1]CER_SubK_PO_Status!A:R,15,FALSE))</f>
        <v>STEWART, TANYA-GAYE N</v>
      </c>
      <c r="L71" s="15" t="str">
        <f>IF(VLOOKUP(A71,[1]CER_SubK_PO_Status!A:R,17,FALSE)=0,"",VLOOKUP(A71,[1]CER_SubK_PO_Status!A:R,17,FALSE))</f>
        <v>PARKINSON, SHARON K</v>
      </c>
      <c r="M71" s="15" t="str">
        <f>IF(VLOOKUP(A71,[1]CER_SubK_PO_Status!A:R,16,FALSE)=0,"",VLOOKUP(A71,[1]CER_SubK_PO_Status!A:R,16,FALSE))</f>
        <v>fraites@jlab.org</v>
      </c>
      <c r="N71" s="15" t="str">
        <f>IF(VLOOKUP(A71,[1]CER_SubK_PO_Status!A:R,18,FALSE)=0,"",VLOOKUP(A71,[1]CER_SubK_PO_Status!A:R,18,FALSE))</f>
        <v>spark@jlab.org</v>
      </c>
    </row>
    <row r="72" spans="1:14" ht="37.5" x14ac:dyDescent="0.2">
      <c r="A72" s="12" t="s">
        <v>118</v>
      </c>
      <c r="B72" s="12" t="str">
        <f>VLOOKUP(A72,[1]CER_SubK_PO_Status!A:N,9,FALSE)</f>
        <v>Open</v>
      </c>
      <c r="C72" s="12" t="str">
        <f>VLOOKUP(A72,[1]CER_SubK_PO_Status!A:N,7,FALSE)</f>
        <v>UNIVERSITY OF REGINA</v>
      </c>
      <c r="D72" s="13">
        <f>VLOOKUP(A72,[1]CER_SubK_PO_Status!A:N,10,FALSE)/1000</f>
        <v>50.78125</v>
      </c>
      <c r="E72" s="13">
        <f>VLOOKUP(A72,[1]CER_SubK_PO_Status!A:N,11,FALSE)/1000</f>
        <v>18.5</v>
      </c>
      <c r="F72" s="13">
        <f>VLOOKUP(A72,[1]CER_SubK_PO_Status!A:N,12,FALSE)/1000</f>
        <v>0</v>
      </c>
      <c r="G72" s="13">
        <f t="shared" si="6"/>
        <v>32.28125</v>
      </c>
      <c r="H72" s="13">
        <f t="shared" si="7"/>
        <v>50.78125</v>
      </c>
      <c r="I72" s="12" t="str">
        <f>VLOOKUP(A72,[1]CER_SubK_PO_Status!A:N,5,FALSE)</f>
        <v>CHARLIE KIM</v>
      </c>
      <c r="J72" s="14" t="str">
        <f>RIGHT(VLOOKUP(A72,[1]CER_SubK_PO_Status!A:N,14,FALSE),LEN(VLOOKUP(A72,[1]CER_SubK_PO_Status!A:N,14,FALSE))-SEARCH("/",VLOOKUP(A72,[1]CER_SubK_PO_Status!A:N,14,FALSE),1))</f>
        <v>E CHUDAKOV</v>
      </c>
      <c r="K72" s="15" t="str">
        <f>IF(VLOOKUP(A72,[1]CER_SubK_PO_Status!A:R,15,FALSE)=0,"",VLOOKUP(A72,[1]CER_SubK_PO_Status!A:R,15,FALSE))</f>
        <v>CHUDAKOV, EUGENE A</v>
      </c>
      <c r="L72" s="15" t="str">
        <f>IF(VLOOKUP(A72,[1]CER_SubK_PO_Status!A:R,17,FALSE)=0,"",VLOOKUP(A72,[1]CER_SubK_PO_Status!A:R,17,FALSE))</f>
        <v/>
      </c>
      <c r="M72" s="15" t="str">
        <f>IF(VLOOKUP(A72,[1]CER_SubK_PO_Status!A:R,16,FALSE)=0,"",VLOOKUP(A72,[1]CER_SubK_PO_Status!A:R,16,FALSE))</f>
        <v>gen@jlab.org</v>
      </c>
      <c r="N72" s="15" t="str">
        <f>IF(VLOOKUP(A72,[1]CER_SubK_PO_Status!A:R,18,FALSE)=0,"",VLOOKUP(A72,[1]CER_SubK_PO_Status!A:R,18,FALSE))</f>
        <v/>
      </c>
    </row>
    <row r="73" spans="1:14" ht="37.5" x14ac:dyDescent="0.2">
      <c r="A73" s="12" t="s">
        <v>119</v>
      </c>
      <c r="B73" s="12" t="str">
        <f>VLOOKUP(A73,[1]CER_SubK_PO_Status!A:N,9,FALSE)</f>
        <v>Open</v>
      </c>
      <c r="C73" s="12" t="str">
        <f>VLOOKUP(A73,[1]CER_SubK_PO_Status!A:N,7,FALSE)</f>
        <v>UNIVERSITY OF TENNESSEE</v>
      </c>
      <c r="D73" s="13">
        <f>VLOOKUP(A73,[1]CER_SubK_PO_Status!A:N,10,FALSE)/1000</f>
        <v>47.064</v>
      </c>
      <c r="E73" s="13">
        <f>VLOOKUP(A73,[1]CER_SubK_PO_Status!A:N,11,FALSE)/1000</f>
        <v>11.766</v>
      </c>
      <c r="F73" s="13">
        <f>VLOOKUP(A73,[1]CER_SubK_PO_Status!A:N,12,FALSE)/1000</f>
        <v>11.766</v>
      </c>
      <c r="G73" s="13">
        <f t="shared" si="6"/>
        <v>35.298000000000002</v>
      </c>
      <c r="H73" s="13">
        <f t="shared" si="7"/>
        <v>35.298000000000002</v>
      </c>
      <c r="I73" s="12" t="str">
        <f>VLOOKUP(A73,[1]CER_SubK_PO_Status!A:N,5,FALSE)</f>
        <v>GIUSEPPINA TENBUSCH</v>
      </c>
      <c r="J73" s="14" t="e">
        <f>RIGHT(VLOOKUP(A73,[1]CER_SubK_PO_Status!A:N,14,FALSE),LEN(VLOOKUP(A73,[1]CER_SubK_PO_Status!A:N,14,FALSE))-SEARCH("/",VLOOKUP(A73,[1]CER_SubK_PO_Status!A:N,14,FALSE),1))</f>
        <v>#VALUE!</v>
      </c>
      <c r="K73" s="15" t="str">
        <f>IF(VLOOKUP(A73,[1]CER_SubK_PO_Status!A:R,15,FALSE)=0,"",VLOOKUP(A73,[1]CER_SubK_PO_Status!A:R,15,FALSE))</f>
        <v>STEWART, TANYA-GAYE N</v>
      </c>
      <c r="L73" s="15" t="str">
        <f>IF(VLOOKUP(A73,[1]CER_SubK_PO_Status!A:R,17,FALSE)=0,"",VLOOKUP(A73,[1]CER_SubK_PO_Status!A:R,17,FALSE))</f>
        <v>PARKINSON, SHARON K</v>
      </c>
      <c r="M73" s="15" t="str">
        <f>IF(VLOOKUP(A73,[1]CER_SubK_PO_Status!A:R,16,FALSE)=0,"",VLOOKUP(A73,[1]CER_SubK_PO_Status!A:R,16,FALSE))</f>
        <v>fraites@jlab.org</v>
      </c>
      <c r="N73" s="15" t="str">
        <f>IF(VLOOKUP(A73,[1]CER_SubK_PO_Status!A:R,18,FALSE)=0,"",VLOOKUP(A73,[1]CER_SubK_PO_Status!A:R,18,FALSE))</f>
        <v>spark@jlab.org</v>
      </c>
    </row>
    <row r="74" spans="1:14" ht="37.5" x14ac:dyDescent="0.2">
      <c r="A74" s="12" t="s">
        <v>53</v>
      </c>
      <c r="B74" s="12" t="str">
        <f>VLOOKUP(A74,[1]CER_SubK_PO_Status!A:N,9,FALSE)</f>
        <v>Open</v>
      </c>
      <c r="C74" s="12" t="str">
        <f>VLOOKUP(A74,[1]CER_SubK_PO_Status!A:N,7,FALSE)</f>
        <v>UNIVERSITY OF VIRGINIA</v>
      </c>
      <c r="D74" s="13">
        <f>VLOOKUP(A74,[1]CER_SubK_PO_Status!A:N,10,FALSE)/1000</f>
        <v>210.86476000000002</v>
      </c>
      <c r="E74" s="13">
        <f>VLOOKUP(A74,[1]CER_SubK_PO_Status!A:N,11,FALSE)/1000</f>
        <v>119.74114999999999</v>
      </c>
      <c r="F74" s="13">
        <f>VLOOKUP(A74,[1]CER_SubK_PO_Status!A:N,12,FALSE)/1000</f>
        <v>119.74114999999999</v>
      </c>
      <c r="G74" s="13">
        <f t="shared" si="6"/>
        <v>91.123610000000028</v>
      </c>
      <c r="H74" s="13">
        <f t="shared" si="7"/>
        <v>91.123610000000028</v>
      </c>
      <c r="I74" s="12" t="str">
        <f>VLOOKUP(A74,[1]CER_SubK_PO_Status!A:N,5,FALSE)</f>
        <v>MICHELE KHASIDIS</v>
      </c>
      <c r="J74" s="14" t="str">
        <f>RIGHT(VLOOKUP(A74,[1]CER_SubK_PO_Status!A:N,14,FALSE),LEN(VLOOKUP(A74,[1]CER_SubK_PO_Status!A:N,14,FALSE))-SEARCH("/",VLOOKUP(A74,[1]CER_SubK_PO_Status!A:N,14,FALSE),1))</f>
        <v>TANYA STEWART</v>
      </c>
      <c r="K74" s="15" t="str">
        <f>IF(VLOOKUP(A74,[1]CER_SubK_PO_Status!A:R,15,FALSE)=0,"",VLOOKUP(A74,[1]CER_SubK_PO_Status!A:R,15,FALSE))</f>
        <v>STEWART, TANYA-GAYE N</v>
      </c>
      <c r="L74" s="15" t="str">
        <f>IF(VLOOKUP(A74,[1]CER_SubK_PO_Status!A:R,17,FALSE)=0,"",VLOOKUP(A74,[1]CER_SubK_PO_Status!A:R,17,FALSE))</f>
        <v/>
      </c>
      <c r="M74" s="15" t="str">
        <f>IF(VLOOKUP(A74,[1]CER_SubK_PO_Status!A:R,16,FALSE)=0,"",VLOOKUP(A74,[1]CER_SubK_PO_Status!A:R,16,FALSE))</f>
        <v>fraites@jlab.org</v>
      </c>
      <c r="N74" s="15" t="str">
        <f>IF(VLOOKUP(A74,[1]CER_SubK_PO_Status!A:R,18,FALSE)=0,"",VLOOKUP(A74,[1]CER_SubK_PO_Status!A:R,18,FALSE))</f>
        <v/>
      </c>
    </row>
    <row r="75" spans="1:14" ht="37.5" x14ac:dyDescent="0.2">
      <c r="A75" s="12" t="s">
        <v>54</v>
      </c>
      <c r="B75" s="12" t="str">
        <f>VLOOKUP(A75,[1]CER_SubK_PO_Status!A:N,9,FALSE)</f>
        <v>Open</v>
      </c>
      <c r="C75" s="12" t="str">
        <f>VLOOKUP(A75,[1]CER_SubK_PO_Status!A:N,7,FALSE)</f>
        <v>UNIVERSITY OF VIRGINIA</v>
      </c>
      <c r="D75" s="13">
        <f>VLOOKUP(A75,[1]CER_SubK_PO_Status!A:N,10,FALSE)/1000</f>
        <v>41.308019999999999</v>
      </c>
      <c r="E75" s="13">
        <f>VLOOKUP(A75,[1]CER_SubK_PO_Status!A:N,11,FALSE)/1000</f>
        <v>24.683019999999999</v>
      </c>
      <c r="F75" s="13">
        <f>VLOOKUP(A75,[1]CER_SubK_PO_Status!A:N,12,FALSE)/1000</f>
        <v>24.683019999999999</v>
      </c>
      <c r="G75" s="13">
        <f t="shared" si="6"/>
        <v>16.625</v>
      </c>
      <c r="H75" s="13">
        <f t="shared" si="7"/>
        <v>16.625</v>
      </c>
      <c r="I75" s="12" t="str">
        <f>VLOOKUP(A75,[1]CER_SubK_PO_Status!A:N,5,FALSE)</f>
        <v>MICHELE KHASIDIS</v>
      </c>
      <c r="J75" s="14" t="str">
        <f>RIGHT(VLOOKUP(A75,[1]CER_SubK_PO_Status!A:N,14,FALSE),LEN(VLOOKUP(A75,[1]CER_SubK_PO_Status!A:N,14,FALSE))-SEARCH("/",VLOOKUP(A75,[1]CER_SubK_PO_Status!A:N,14,FALSE),1))</f>
        <v>TANYA STEWART</v>
      </c>
      <c r="K75" s="15" t="str">
        <f>IF(VLOOKUP(A75,[1]CER_SubK_PO_Status!A:R,15,FALSE)=0,"",VLOOKUP(A75,[1]CER_SubK_PO_Status!A:R,15,FALSE))</f>
        <v>STEWART, TANYA-GAYE N</v>
      </c>
      <c r="L75" s="15" t="str">
        <f>IF(VLOOKUP(A75,[1]CER_SubK_PO_Status!A:R,17,FALSE)=0,"",VLOOKUP(A75,[1]CER_SubK_PO_Status!A:R,17,FALSE))</f>
        <v/>
      </c>
      <c r="M75" s="15" t="str">
        <f>IF(VLOOKUP(A75,[1]CER_SubK_PO_Status!A:R,16,FALSE)=0,"",VLOOKUP(A75,[1]CER_SubK_PO_Status!A:R,16,FALSE))</f>
        <v>fraites@jlab.org</v>
      </c>
      <c r="N75" s="15" t="str">
        <f>IF(VLOOKUP(A75,[1]CER_SubK_PO_Status!A:R,18,FALSE)=0,"",VLOOKUP(A75,[1]CER_SubK_PO_Status!A:R,18,FALSE))</f>
        <v/>
      </c>
    </row>
    <row r="76" spans="1:14" ht="37.5" x14ac:dyDescent="0.2">
      <c r="A76" s="12" t="s">
        <v>120</v>
      </c>
      <c r="B76" s="12" t="str">
        <f>VLOOKUP(A76,[1]CER_SubK_PO_Status!A:N,9,FALSE)</f>
        <v>Open</v>
      </c>
      <c r="C76" s="12" t="str">
        <f>VLOOKUP(A76,[1]CER_SubK_PO_Status!A:N,7,FALSE)</f>
        <v>UNIVERSITY OF VIRGINIA</v>
      </c>
      <c r="D76" s="13">
        <f>VLOOKUP(A76,[1]CER_SubK_PO_Status!A:N,10,FALSE)/1000</f>
        <v>28.5</v>
      </c>
      <c r="E76" s="13">
        <f>VLOOKUP(A76,[1]CER_SubK_PO_Status!A:N,11,FALSE)/1000</f>
        <v>9.4990499999999987</v>
      </c>
      <c r="F76" s="13">
        <f>VLOOKUP(A76,[1]CER_SubK_PO_Status!A:N,12,FALSE)/1000</f>
        <v>0</v>
      </c>
      <c r="G76" s="13">
        <f t="shared" si="6"/>
        <v>19.000950000000003</v>
      </c>
      <c r="H76" s="13">
        <f t="shared" si="7"/>
        <v>28.5</v>
      </c>
      <c r="I76" s="12" t="str">
        <f>VLOOKUP(A76,[1]CER_SubK_PO_Status!A:N,5,FALSE)</f>
        <v>MICHELE KHASIDIS</v>
      </c>
      <c r="J76" s="14" t="e">
        <f>RIGHT(VLOOKUP(A76,[1]CER_SubK_PO_Status!A:N,14,FALSE),LEN(VLOOKUP(A76,[1]CER_SubK_PO_Status!A:N,14,FALSE))-SEARCH("/",VLOOKUP(A76,[1]CER_SubK_PO_Status!A:N,14,FALSE),1))</f>
        <v>#VALUE!</v>
      </c>
      <c r="K76" s="15" t="str">
        <f>IF(VLOOKUP(A76,[1]CER_SubK_PO_Status!A:R,15,FALSE)=0,"",VLOOKUP(A76,[1]CER_SubK_PO_Status!A:R,15,FALSE))</f>
        <v>STEWART, TANYA-GAYE N</v>
      </c>
      <c r="L76" s="15" t="str">
        <f>IF(VLOOKUP(A76,[1]CER_SubK_PO_Status!A:R,17,FALSE)=0,"",VLOOKUP(A76,[1]CER_SubK_PO_Status!A:R,17,FALSE))</f>
        <v>KHASIDIS, MICHELE</v>
      </c>
      <c r="M76" s="15" t="str">
        <f>IF(VLOOKUP(A76,[1]CER_SubK_PO_Status!A:R,16,FALSE)=0,"",VLOOKUP(A76,[1]CER_SubK_PO_Status!A:R,16,FALSE))</f>
        <v>fraites@jlab.org</v>
      </c>
      <c r="N76" s="15" t="str">
        <f>IF(VLOOKUP(A76,[1]CER_SubK_PO_Status!A:R,18,FALSE)=0,"",VLOOKUP(A76,[1]CER_SubK_PO_Status!A:R,18,FALSE))</f>
        <v>michele@jlab.org</v>
      </c>
    </row>
    <row r="77" spans="1:14" ht="37.5" x14ac:dyDescent="0.2">
      <c r="A77" s="12" t="s">
        <v>121</v>
      </c>
      <c r="B77" s="12" t="str">
        <f>VLOOKUP(A77,[1]CER_SubK_PO_Status!A:N,9,FALSE)</f>
        <v>Open</v>
      </c>
      <c r="C77" s="12" t="str">
        <f>VLOOKUP(A77,[1]CER_SubK_PO_Status!A:N,7,FALSE)</f>
        <v>UNIVERSITY OF VIRGINIA</v>
      </c>
      <c r="D77" s="13">
        <f>VLOOKUP(A77,[1]CER_SubK_PO_Status!A:N,10,FALSE)/1000</f>
        <v>36</v>
      </c>
      <c r="E77" s="13">
        <f>VLOOKUP(A77,[1]CER_SubK_PO_Status!A:N,11,FALSE)/1000</f>
        <v>9</v>
      </c>
      <c r="F77" s="13">
        <f>VLOOKUP(A77,[1]CER_SubK_PO_Status!A:N,12,FALSE)/1000</f>
        <v>9</v>
      </c>
      <c r="G77" s="13">
        <f t="shared" si="6"/>
        <v>27</v>
      </c>
      <c r="H77" s="13">
        <f t="shared" si="7"/>
        <v>27</v>
      </c>
      <c r="I77" s="12" t="str">
        <f>VLOOKUP(A77,[1]CER_SubK_PO_Status!A:N,5,FALSE)</f>
        <v>MICHELE KHASIDIS</v>
      </c>
      <c r="J77" s="14" t="e">
        <f>RIGHT(VLOOKUP(A77,[1]CER_SubK_PO_Status!A:N,14,FALSE),LEN(VLOOKUP(A77,[1]CER_SubK_PO_Status!A:N,14,FALSE))-SEARCH("/",VLOOKUP(A77,[1]CER_SubK_PO_Status!A:N,14,FALSE),1))</f>
        <v>#VALUE!</v>
      </c>
      <c r="K77" s="15" t="str">
        <f>IF(VLOOKUP(A77,[1]CER_SubK_PO_Status!A:R,15,FALSE)=0,"",VLOOKUP(A77,[1]CER_SubK_PO_Status!A:R,15,FALSE))</f>
        <v>STEWART, TANYA-GAYE N</v>
      </c>
      <c r="L77" s="15" t="str">
        <f>IF(VLOOKUP(A77,[1]CER_SubK_PO_Status!A:R,17,FALSE)=0,"",VLOOKUP(A77,[1]CER_SubK_PO_Status!A:R,17,FALSE))</f>
        <v>KHASIDIS, MICHELE</v>
      </c>
      <c r="M77" s="15" t="str">
        <f>IF(VLOOKUP(A77,[1]CER_SubK_PO_Status!A:R,16,FALSE)=0,"",VLOOKUP(A77,[1]CER_SubK_PO_Status!A:R,16,FALSE))</f>
        <v>fraites@jlab.org</v>
      </c>
      <c r="N77" s="15" t="str">
        <f>IF(VLOOKUP(A77,[1]CER_SubK_PO_Status!A:R,18,FALSE)=0,"",VLOOKUP(A77,[1]CER_SubK_PO_Status!A:R,18,FALSE))</f>
        <v>michele@jlab.org</v>
      </c>
    </row>
    <row r="78" spans="1:14" ht="37.5" x14ac:dyDescent="0.2">
      <c r="A78" s="12" t="s">
        <v>55</v>
      </c>
      <c r="B78" s="12" t="str">
        <f>VLOOKUP(A78,[1]CER_SubK_PO_Status!A:N,9,FALSE)</f>
        <v>Open</v>
      </c>
      <c r="C78" s="12" t="str">
        <f>VLOOKUP(A78,[1]CER_SubK_PO_Status!A:N,7,FALSE)</f>
        <v>VIRGINIA POLYTECHNIC INST</v>
      </c>
      <c r="D78" s="13">
        <f>VLOOKUP(A78,[1]CER_SubK_PO_Status!A:N,10,FALSE)/1000</f>
        <v>123.71750999999999</v>
      </c>
      <c r="E78" s="13">
        <f>VLOOKUP(A78,[1]CER_SubK_PO_Status!A:N,11,FALSE)/1000</f>
        <v>108.37777</v>
      </c>
      <c r="F78" s="13">
        <f>VLOOKUP(A78,[1]CER_SubK_PO_Status!A:N,12,FALSE)/1000</f>
        <v>101.91301</v>
      </c>
      <c r="G78" s="13">
        <f t="shared" si="6"/>
        <v>15.339739999999992</v>
      </c>
      <c r="H78" s="13">
        <f t="shared" si="7"/>
        <v>21.80449999999999</v>
      </c>
      <c r="I78" s="12" t="str">
        <f>VLOOKUP(A78,[1]CER_SubK_PO_Status!A:N,5,FALSE)</f>
        <v>MICHELE KHASIDIS</v>
      </c>
      <c r="J78" s="14" t="str">
        <f>RIGHT(VLOOKUP(A78,[1]CER_SubK_PO_Status!A:N,14,FALSE),LEN(VLOOKUP(A78,[1]CER_SubK_PO_Status!A:N,14,FALSE))-SEARCH("/",VLOOKUP(A78,[1]CER_SubK_PO_Status!A:N,14,FALSE),1))</f>
        <v>TANYA STEWART</v>
      </c>
      <c r="K78" s="15" t="str">
        <f>IF(VLOOKUP(A78,[1]CER_SubK_PO_Status!A:R,15,FALSE)=0,"",VLOOKUP(A78,[1]CER_SubK_PO_Status!A:R,15,FALSE))</f>
        <v>STEWART, TANYA-GAYE N</v>
      </c>
      <c r="L78" s="15" t="str">
        <f>IF(VLOOKUP(A78,[1]CER_SubK_PO_Status!A:R,17,FALSE)=0,"",VLOOKUP(A78,[1]CER_SubK_PO_Status!A:R,17,FALSE))</f>
        <v/>
      </c>
      <c r="M78" s="15" t="str">
        <f>IF(VLOOKUP(A78,[1]CER_SubK_PO_Status!A:R,16,FALSE)=0,"",VLOOKUP(A78,[1]CER_SubK_PO_Status!A:R,16,FALSE))</f>
        <v>fraites@jlab.org</v>
      </c>
      <c r="N78" s="15" t="str">
        <f>IF(VLOOKUP(A78,[1]CER_SubK_PO_Status!A:R,18,FALSE)=0,"",VLOOKUP(A78,[1]CER_SubK_PO_Status!A:R,18,FALSE))</f>
        <v/>
      </c>
    </row>
    <row r="79" spans="1:14" ht="37.5" x14ac:dyDescent="0.2">
      <c r="A79" s="12" t="s">
        <v>122</v>
      </c>
      <c r="B79" s="12" t="str">
        <f>VLOOKUP(A79,[1]CER_SubK_PO_Status!A:N,9,FALSE)</f>
        <v>Open</v>
      </c>
      <c r="C79" s="12" t="str">
        <f>VLOOKUP(A79,[1]CER_SubK_PO_Status!A:N,7,FALSE)</f>
        <v>VIRGINIA POLYTECHNIC INST</v>
      </c>
      <c r="D79" s="13">
        <f>VLOOKUP(A79,[1]CER_SubK_PO_Status!A:N,10,FALSE)/1000</f>
        <v>67.549009999999996</v>
      </c>
      <c r="E79" s="13">
        <f>VLOOKUP(A79,[1]CER_SubK_PO_Status!A:N,11,FALSE)/1000</f>
        <v>52.333010000000002</v>
      </c>
      <c r="F79" s="13">
        <f>VLOOKUP(A79,[1]CER_SubK_PO_Status!A:N,12,FALSE)/1000</f>
        <v>50.642339999999997</v>
      </c>
      <c r="G79" s="13">
        <f t="shared" si="6"/>
        <v>15.215999999999994</v>
      </c>
      <c r="H79" s="13">
        <f t="shared" si="7"/>
        <v>16.906669999999998</v>
      </c>
      <c r="I79" s="12" t="str">
        <f>VLOOKUP(A79,[1]CER_SubK_PO_Status!A:N,5,FALSE)</f>
        <v>MICHELE KHASIDIS</v>
      </c>
      <c r="J79" s="14" t="str">
        <f>RIGHT(VLOOKUP(A79,[1]CER_SubK_PO_Status!A:N,14,FALSE),LEN(VLOOKUP(A79,[1]CER_SubK_PO_Status!A:N,14,FALSE))-SEARCH("/",VLOOKUP(A79,[1]CER_SubK_PO_Status!A:N,14,FALSE),1))</f>
        <v>TANYA STEWART</v>
      </c>
      <c r="K79" s="15" t="str">
        <f>IF(VLOOKUP(A79,[1]CER_SubK_PO_Status!A:R,15,FALSE)=0,"",VLOOKUP(A79,[1]CER_SubK_PO_Status!A:R,15,FALSE))</f>
        <v>STEWART, TANYA-GAYE N</v>
      </c>
      <c r="L79" s="15" t="str">
        <f>IF(VLOOKUP(A79,[1]CER_SubK_PO_Status!A:R,17,FALSE)=0,"",VLOOKUP(A79,[1]CER_SubK_PO_Status!A:R,17,FALSE))</f>
        <v/>
      </c>
      <c r="M79" s="15" t="str">
        <f>IF(VLOOKUP(A79,[1]CER_SubK_PO_Status!A:R,16,FALSE)=0,"",VLOOKUP(A79,[1]CER_SubK_PO_Status!A:R,16,FALSE))</f>
        <v>fraites@jlab.org</v>
      </c>
      <c r="N79" s="15" t="str">
        <f>IF(VLOOKUP(A79,[1]CER_SubK_PO_Status!A:R,18,FALSE)=0,"",VLOOKUP(A79,[1]CER_SubK_PO_Status!A:R,18,FALSE))</f>
        <v/>
      </c>
    </row>
    <row r="80" spans="1:14" ht="37.5" x14ac:dyDescent="0.2">
      <c r="A80" s="12" t="s">
        <v>56</v>
      </c>
      <c r="B80" s="12" t="str">
        <f>VLOOKUP(A80,[1]CER_SubK_PO_Status!A:N,9,FALSE)</f>
        <v>Open</v>
      </c>
      <c r="C80" s="12" t="str">
        <f>VLOOKUP(A80,[1]CER_SubK_PO_Status!A:N,7,FALSE)</f>
        <v>VISION MACHINE &amp; FABRICAT</v>
      </c>
      <c r="D80" s="13">
        <f>VLOOKUP(A80,[1]CER_SubK_PO_Status!A:N,10,FALSE)/1000</f>
        <v>548.07159999999999</v>
      </c>
      <c r="E80" s="13">
        <f>VLOOKUP(A80,[1]CER_SubK_PO_Status!A:N,11,FALSE)/1000</f>
        <v>486.13959999999997</v>
      </c>
      <c r="F80" s="13">
        <f>VLOOKUP(A80,[1]CER_SubK_PO_Status!A:N,12,FALSE)/1000</f>
        <v>486.13959999999997</v>
      </c>
      <c r="G80" s="13">
        <f t="shared" si="6"/>
        <v>61.932000000000016</v>
      </c>
      <c r="H80" s="13">
        <f t="shared" si="7"/>
        <v>61.932000000000016</v>
      </c>
      <c r="I80" s="12" t="str">
        <f>VLOOKUP(A80,[1]CER_SubK_PO_Status!A:N,5,FALSE)</f>
        <v>THOMAS HURATIAK</v>
      </c>
      <c r="J80" s="14" t="str">
        <f>RIGHT(VLOOKUP(A80,[1]CER_SubK_PO_Status!A:N,14,FALSE),LEN(VLOOKUP(A80,[1]CER_SubK_PO_Status!A:N,14,FALSE))-SEARCH("/",VLOOKUP(A80,[1]CER_SubK_PO_Status!A:N,14,FALSE),1))</f>
        <v>PETER OWEN</v>
      </c>
      <c r="K80" s="15" t="str">
        <f>IF(VLOOKUP(A80,[1]CER_SubK_PO_Status!A:R,15,FALSE)=0,"",VLOOKUP(A80,[1]CER_SubK_PO_Status!A:R,15,FALSE))</f>
        <v>OWEN, PETER</v>
      </c>
      <c r="L80" s="15" t="str">
        <f>IF(VLOOKUP(A80,[1]CER_SubK_PO_Status!A:R,17,FALSE)=0,"",VLOOKUP(A80,[1]CER_SubK_PO_Status!A:R,17,FALSE))</f>
        <v>WILSON, KATHERINE M</v>
      </c>
      <c r="M80" s="15" t="str">
        <f>IF(VLOOKUP(A80,[1]CER_SubK_PO_Status!A:R,16,FALSE)=0,"",VLOOKUP(A80,[1]CER_SubK_PO_Status!A:R,16,FALSE))</f>
        <v>powen@jlab.org</v>
      </c>
      <c r="N80" s="15" t="str">
        <f>IF(VLOOKUP(A80,[1]CER_SubK_PO_Status!A:R,18,FALSE)=0,"",VLOOKUP(A80,[1]CER_SubK_PO_Status!A:R,18,FALSE))</f>
        <v>kwilson@jlab.org</v>
      </c>
    </row>
    <row r="81" spans="1:14" ht="37.5" x14ac:dyDescent="0.2">
      <c r="A81" s="12" t="s">
        <v>123</v>
      </c>
      <c r="B81" s="12" t="str">
        <f>VLOOKUP(A81,[1]CER_SubK_PO_Status!A:N,9,FALSE)</f>
        <v>Open</v>
      </c>
      <c r="C81" s="12" t="str">
        <f>VLOOKUP(A81,[1]CER_SubK_PO_Status!A:N,7,FALSE)</f>
        <v>WESSINGTON CRYOGENICS LTD</v>
      </c>
      <c r="D81" s="13">
        <f>VLOOKUP(A81,[1]CER_SubK_PO_Status!A:N,10,FALSE)/1000</f>
        <v>176.709</v>
      </c>
      <c r="E81" s="13">
        <f>VLOOKUP(A81,[1]CER_SubK_PO_Status!A:N,11,FALSE)/1000</f>
        <v>50.012699999999995</v>
      </c>
      <c r="F81" s="13">
        <f>VLOOKUP(A81,[1]CER_SubK_PO_Status!A:N,12,FALSE)/1000</f>
        <v>50.012699999999995</v>
      </c>
      <c r="G81" s="13">
        <f t="shared" si="6"/>
        <v>126.69630000000001</v>
      </c>
      <c r="H81" s="13">
        <f t="shared" si="7"/>
        <v>126.69630000000001</v>
      </c>
      <c r="I81" s="12" t="str">
        <f>VLOOKUP(A81,[1]CER_SubK_PO_Status!A:N,5,FALSE)</f>
        <v>DEANN MADDOX</v>
      </c>
      <c r="J81" s="14" t="str">
        <f>RIGHT(VLOOKUP(A81,[1]CER_SubK_PO_Status!A:N,14,FALSE),LEN(VLOOKUP(A81,[1]CER_SubK_PO_Status!A:N,14,FALSE))-SEARCH("/",VLOOKUP(A81,[1]CER_SubK_PO_Status!A:N,14,FALSE),1))</f>
        <v/>
      </c>
      <c r="K81" s="15" t="str">
        <f>IF(VLOOKUP(A81,[1]CER_SubK_PO_Status!A:R,15,FALSE)=0,"",VLOOKUP(A81,[1]CER_SubK_PO_Status!A:R,15,FALSE))</f>
        <v>WISSLER, BLAINE</v>
      </c>
      <c r="L81" s="15" t="str">
        <f>IF(VLOOKUP(A81,[1]CER_SubK_PO_Status!A:R,17,FALSE)=0,"",VLOOKUP(A81,[1]CER_SubK_PO_Status!A:R,17,FALSE))</f>
        <v>BHATTACHARYA, RITENDRA N</v>
      </c>
      <c r="M81" s="15" t="str">
        <f>IF(VLOOKUP(A81,[1]CER_SubK_PO_Status!A:R,16,FALSE)=0,"",VLOOKUP(A81,[1]CER_SubK_PO_Status!A:R,16,FALSE))</f>
        <v>wissler@jlab.org</v>
      </c>
      <c r="N81" s="15" t="str">
        <f>IF(VLOOKUP(A81,[1]CER_SubK_PO_Status!A:R,18,FALSE)=0,"",VLOOKUP(A81,[1]CER_SubK_PO_Status!A:R,18,FALSE))</f>
        <v>ritendra@jlab.org</v>
      </c>
    </row>
    <row r="82" spans="1:14" ht="56.25" x14ac:dyDescent="0.2">
      <c r="A82" s="12" t="s">
        <v>124</v>
      </c>
      <c r="B82" s="12" t="str">
        <f>VLOOKUP(A82,[1]CER_SubK_PO_Status!A:N,9,FALSE)</f>
        <v>Open</v>
      </c>
      <c r="C82" s="12" t="str">
        <f>VLOOKUP(A82,[1]CER_SubK_PO_Status!A:N,7,FALSE)</f>
        <v>WARWICK PLUMBING&amp;HEATING</v>
      </c>
      <c r="D82" s="13">
        <f>VLOOKUP(A82,[1]CER_SubK_PO_Status!A:N,10,FALSE)/1000</f>
        <v>433.8</v>
      </c>
      <c r="E82" s="13">
        <f>VLOOKUP(A82,[1]CER_SubK_PO_Status!A:N,11,FALSE)/1000</f>
        <v>3.8780000000000001</v>
      </c>
      <c r="F82" s="13">
        <f>VLOOKUP(A82,[1]CER_SubK_PO_Status!A:N,12,FALSE)/1000</f>
        <v>0</v>
      </c>
      <c r="G82" s="13">
        <f t="shared" si="6"/>
        <v>429.92200000000003</v>
      </c>
      <c r="H82" s="13">
        <f t="shared" si="7"/>
        <v>433.8</v>
      </c>
      <c r="I82" s="12" t="str">
        <f>VLOOKUP(A82,[1]CER_SubK_PO_Status!A:N,5,FALSE)</f>
        <v>MICHELE KHASIDIS</v>
      </c>
      <c r="J82" s="14" t="e">
        <f>RIGHT(VLOOKUP(A82,[1]CER_SubK_PO_Status!A:N,14,FALSE),LEN(VLOOKUP(A82,[1]CER_SubK_PO_Status!A:N,14,FALSE))-SEARCH("/",VLOOKUP(A82,[1]CER_SubK_PO_Status!A:N,14,FALSE),1))</f>
        <v>#VALUE!</v>
      </c>
      <c r="K82" s="15" t="str">
        <f>IF(VLOOKUP(A82,[1]CER_SubK_PO_Status!A:R,15,FALSE)=0,"",VLOOKUP(A82,[1]CER_SubK_PO_Status!A:R,15,FALSE))</f>
        <v>RENZO, THOMAS C</v>
      </c>
      <c r="L82" s="15" t="str">
        <f>IF(VLOOKUP(A82,[1]CER_SubK_PO_Status!A:R,17,FALSE)=0,"",VLOOKUP(A82,[1]CER_SubK_PO_Status!A:R,17,FALSE))</f>
        <v/>
      </c>
      <c r="M82" s="15" t="str">
        <f>IF(VLOOKUP(A82,[1]CER_SubK_PO_Status!A:R,16,FALSE)=0,"",VLOOKUP(A82,[1]CER_SubK_PO_Status!A:R,16,FALSE))</f>
        <v>renzo@jlab.org</v>
      </c>
      <c r="N82" s="15" t="str">
        <f>IF(VLOOKUP(A82,[1]CER_SubK_PO_Status!A:R,18,FALSE)=0,"",VLOOKUP(A82,[1]CER_SubK_PO_Status!A:R,18,FALSE))</f>
        <v/>
      </c>
    </row>
    <row r="83" spans="1:14" ht="56.25" x14ac:dyDescent="0.2">
      <c r="A83" s="12" t="s">
        <v>125</v>
      </c>
      <c r="B83" s="12" t="str">
        <f>VLOOKUP(A83,[1]CER_SubK_PO_Status!A:N,9,FALSE)</f>
        <v>Open</v>
      </c>
      <c r="C83" s="12" t="str">
        <f>VLOOKUP(A83,[1]CER_SubK_PO_Status!A:N,7,FALSE)</f>
        <v>WARWICK PLUMBING&amp;HEATING</v>
      </c>
      <c r="D83" s="13">
        <f>VLOOKUP(A83,[1]CER_SubK_PO_Status!A:N,10,FALSE)/1000</f>
        <v>332</v>
      </c>
      <c r="E83" s="13">
        <f>VLOOKUP(A83,[1]CER_SubK_PO_Status!A:N,11,FALSE)/1000</f>
        <v>0</v>
      </c>
      <c r="F83" s="13">
        <f>VLOOKUP(A83,[1]CER_SubK_PO_Status!A:N,12,FALSE)/1000</f>
        <v>0</v>
      </c>
      <c r="G83" s="13">
        <f t="shared" si="6"/>
        <v>332</v>
      </c>
      <c r="H83" s="13">
        <f t="shared" si="7"/>
        <v>332</v>
      </c>
      <c r="I83" s="12" t="str">
        <f>VLOOKUP(A83,[1]CER_SubK_PO_Status!A:N,5,FALSE)</f>
        <v>GIUSEPPINA TENBUSCH</v>
      </c>
      <c r="J83" s="14" t="str">
        <f>RIGHT(VLOOKUP(A83,[1]CER_SubK_PO_Status!A:N,14,FALSE),LEN(VLOOKUP(A83,[1]CER_SubK_PO_Status!A:N,14,FALSE))-SEARCH("/",VLOOKUP(A83,[1]CER_SubK_PO_Status!A:N,14,FALSE),1))</f>
        <v xml:space="preserve">CORRY SMITH </v>
      </c>
      <c r="K83" s="15" t="str">
        <f>IF(VLOOKUP(A83,[1]CER_SubK_PO_Status!A:R,15,FALSE)=0,"",VLOOKUP(A83,[1]CER_SubK_PO_Status!A:R,15,FALSE))</f>
        <v>SMITH, CORRY E</v>
      </c>
      <c r="L83" s="15" t="str">
        <f>IF(VLOOKUP(A83,[1]CER_SubK_PO_Status!A:R,17,FALSE)=0,"",VLOOKUP(A83,[1]CER_SubK_PO_Status!A:R,17,FALSE))</f>
        <v/>
      </c>
      <c r="M83" s="15" t="str">
        <f>IF(VLOOKUP(A83,[1]CER_SubK_PO_Status!A:R,16,FALSE)=0,"",VLOOKUP(A83,[1]CER_SubK_PO_Status!A:R,16,FALSE))</f>
        <v>csmith@jlab.org</v>
      </c>
      <c r="N83" s="15" t="str">
        <f>IF(VLOOKUP(A83,[1]CER_SubK_PO_Status!A:R,18,FALSE)=0,"",VLOOKUP(A83,[1]CER_SubK_PO_Status!A:R,18,FALSE))</f>
        <v/>
      </c>
    </row>
    <row r="84" spans="1:14" ht="36.75" thickBot="1" x14ac:dyDescent="0.3">
      <c r="A84" s="18" t="s">
        <v>57</v>
      </c>
      <c r="B84" s="19"/>
      <c r="C84" s="19"/>
      <c r="D84" s="19"/>
      <c r="E84" s="19"/>
      <c r="F84" s="19"/>
      <c r="G84" s="19"/>
      <c r="H84" s="19"/>
      <c r="I84" s="19"/>
      <c r="J84" s="19"/>
      <c r="K84" s="20"/>
      <c r="L84" s="20"/>
      <c r="M84" s="20"/>
      <c r="N84" s="20"/>
    </row>
    <row r="85" spans="1:14" ht="18.75" thickBot="1" x14ac:dyDescent="0.3">
      <c r="A85" s="21">
        <f>COUNTIF(B1:B84,"Open")</f>
        <v>78</v>
      </c>
      <c r="B85" s="21">
        <f>COUNTIF([1]CER_SubK_PO_Status!I:I,"Open")</f>
        <v>78</v>
      </c>
      <c r="C85" s="19"/>
      <c r="D85" s="19"/>
      <c r="E85" s="19"/>
      <c r="F85" s="19"/>
      <c r="G85" s="19"/>
      <c r="H85" s="19"/>
      <c r="I85" s="19"/>
      <c r="J85" s="19"/>
      <c r="K85" s="20"/>
      <c r="L85" s="20"/>
      <c r="M85" s="20"/>
      <c r="N85" s="20"/>
    </row>
  </sheetData>
  <conditionalFormatting sqref="B86:B1048576">
    <cfRule type="cellIs" dxfId="163" priority="1858" operator="equal">
      <formula>"System Closed"</formula>
    </cfRule>
  </conditionalFormatting>
  <conditionalFormatting sqref="B13 B65 B43 B28 B1:B3 B50 B84">
    <cfRule type="cellIs" dxfId="97" priority="98" operator="equal">
      <formula>"System Closed"</formula>
    </cfRule>
  </conditionalFormatting>
  <conditionalFormatting sqref="L1 F1">
    <cfRule type="containsText" dxfId="96" priority="96" operator="containsText" text="DONE">
      <formula>NOT(ISERROR(SEARCH("DONE",F1)))</formula>
    </cfRule>
    <cfRule type="containsText" dxfId="95" priority="97" operator="containsText" text="NEW">
      <formula>NOT(ISERROR(SEARCH("NEW",F1)))</formula>
    </cfRule>
  </conditionalFormatting>
  <conditionalFormatting sqref="B23">
    <cfRule type="cellIs" dxfId="94" priority="95" operator="equal">
      <formula>"System Closed"</formula>
    </cfRule>
  </conditionalFormatting>
  <conditionalFormatting sqref="B14">
    <cfRule type="cellIs" dxfId="93" priority="94" operator="equal">
      <formula>"System Closed"</formula>
    </cfRule>
  </conditionalFormatting>
  <conditionalFormatting sqref="B31">
    <cfRule type="cellIs" dxfId="92" priority="93" operator="equal">
      <formula>"System Closed"</formula>
    </cfRule>
  </conditionalFormatting>
  <conditionalFormatting sqref="B27">
    <cfRule type="cellIs" dxfId="91" priority="92" operator="equal">
      <formula>"System Closed"</formula>
    </cfRule>
  </conditionalFormatting>
  <conditionalFormatting sqref="B33">
    <cfRule type="cellIs" dxfId="90" priority="91" operator="equal">
      <formula>"System Closed"</formula>
    </cfRule>
  </conditionalFormatting>
  <conditionalFormatting sqref="B42">
    <cfRule type="cellIs" dxfId="89" priority="90" operator="equal">
      <formula>"System Closed"</formula>
    </cfRule>
  </conditionalFormatting>
  <conditionalFormatting sqref="B34">
    <cfRule type="cellIs" dxfId="88" priority="89" operator="equal">
      <formula>"System Closed"</formula>
    </cfRule>
  </conditionalFormatting>
  <conditionalFormatting sqref="B7">
    <cfRule type="cellIs" dxfId="87" priority="88" operator="equal">
      <formula>"System Closed"</formula>
    </cfRule>
  </conditionalFormatting>
  <conditionalFormatting sqref="B69">
    <cfRule type="cellIs" dxfId="86" priority="87" operator="equal">
      <formula>"System Closed"</formula>
    </cfRule>
  </conditionalFormatting>
  <conditionalFormatting sqref="B57">
    <cfRule type="cellIs" dxfId="85" priority="86" operator="equal">
      <formula>"System Closed"</formula>
    </cfRule>
  </conditionalFormatting>
  <conditionalFormatting sqref="G13:H14 G69:H69 G42:H43 G23:H23 G65:H65 G31:H31 G27:H28 G33:H34 G7:H7 G49:H50 G57:H57">
    <cfRule type="cellIs" dxfId="84" priority="85" operator="equal">
      <formula>0</formula>
    </cfRule>
  </conditionalFormatting>
  <conditionalFormatting sqref="G16:H16">
    <cfRule type="cellIs" dxfId="83" priority="84" operator="equal">
      <formula>0</formula>
    </cfRule>
  </conditionalFormatting>
  <conditionalFormatting sqref="G12:H12">
    <cfRule type="cellIs" dxfId="82" priority="83" operator="equal">
      <formula>0</formula>
    </cfRule>
  </conditionalFormatting>
  <conditionalFormatting sqref="G60:H60">
    <cfRule type="cellIs" dxfId="81" priority="82" operator="equal">
      <formula>0</formula>
    </cfRule>
  </conditionalFormatting>
  <conditionalFormatting sqref="G52:H52">
    <cfRule type="cellIs" dxfId="80" priority="81" operator="equal">
      <formula>0</formula>
    </cfRule>
  </conditionalFormatting>
  <conditionalFormatting sqref="G22:H22">
    <cfRule type="cellIs" dxfId="79" priority="80" operator="equal">
      <formula>0</formula>
    </cfRule>
  </conditionalFormatting>
  <conditionalFormatting sqref="G11:H11">
    <cfRule type="cellIs" dxfId="78" priority="79" operator="equal">
      <formula>0</formula>
    </cfRule>
  </conditionalFormatting>
  <conditionalFormatting sqref="G51:H51">
    <cfRule type="cellIs" dxfId="77" priority="78" operator="equal">
      <formula>0</formula>
    </cfRule>
  </conditionalFormatting>
  <conditionalFormatting sqref="G70:H70">
    <cfRule type="cellIs" dxfId="76" priority="77" operator="equal">
      <formula>0</formula>
    </cfRule>
  </conditionalFormatting>
  <conditionalFormatting sqref="G55:H55">
    <cfRule type="cellIs" dxfId="75" priority="76" operator="equal">
      <formula>0</formula>
    </cfRule>
  </conditionalFormatting>
  <conditionalFormatting sqref="G78:H78">
    <cfRule type="cellIs" dxfId="74" priority="75" operator="equal">
      <formula>0</formula>
    </cfRule>
  </conditionalFormatting>
  <conditionalFormatting sqref="G80:H80">
    <cfRule type="cellIs" dxfId="73" priority="74" operator="equal">
      <formula>0</formula>
    </cfRule>
  </conditionalFormatting>
  <conditionalFormatting sqref="B15">
    <cfRule type="cellIs" dxfId="72" priority="73" operator="equal">
      <formula>"System Closed"</formula>
    </cfRule>
  </conditionalFormatting>
  <conditionalFormatting sqref="G15:H15">
    <cfRule type="cellIs" dxfId="71" priority="72" operator="equal">
      <formula>0</formula>
    </cfRule>
  </conditionalFormatting>
  <conditionalFormatting sqref="G9:H9">
    <cfRule type="cellIs" dxfId="70" priority="70" operator="equal">
      <formula>0</formula>
    </cfRule>
  </conditionalFormatting>
  <conditionalFormatting sqref="B9">
    <cfRule type="cellIs" dxfId="69" priority="71" operator="equal">
      <formula>"System Closed"</formula>
    </cfRule>
  </conditionalFormatting>
  <conditionalFormatting sqref="G17:H17">
    <cfRule type="cellIs" dxfId="68" priority="69" operator="equal">
      <formula>0</formula>
    </cfRule>
  </conditionalFormatting>
  <conditionalFormatting sqref="B58">
    <cfRule type="cellIs" dxfId="67" priority="68" operator="equal">
      <formula>"System Closed"</formula>
    </cfRule>
  </conditionalFormatting>
  <conditionalFormatting sqref="G58:H58">
    <cfRule type="cellIs" dxfId="66" priority="67" operator="equal">
      <formula>0</formula>
    </cfRule>
  </conditionalFormatting>
  <conditionalFormatting sqref="G79:H79">
    <cfRule type="cellIs" dxfId="65" priority="66" operator="equal">
      <formula>0</formula>
    </cfRule>
  </conditionalFormatting>
  <conditionalFormatting sqref="G30:H30">
    <cfRule type="cellIs" dxfId="64" priority="65" operator="equal">
      <formula>0</formula>
    </cfRule>
  </conditionalFormatting>
  <conditionalFormatting sqref="B49">
    <cfRule type="cellIs" dxfId="63" priority="64" operator="equal">
      <formula>"System Closed"</formula>
    </cfRule>
  </conditionalFormatting>
  <conditionalFormatting sqref="G49:H49">
    <cfRule type="cellIs" dxfId="62" priority="63" operator="equal">
      <formula>0</formula>
    </cfRule>
  </conditionalFormatting>
  <conditionalFormatting sqref="B35">
    <cfRule type="cellIs" dxfId="61" priority="62" operator="equal">
      <formula>"System Closed"</formula>
    </cfRule>
  </conditionalFormatting>
  <conditionalFormatting sqref="G35:H35">
    <cfRule type="cellIs" dxfId="60" priority="61" operator="equal">
      <formula>0</formula>
    </cfRule>
  </conditionalFormatting>
  <conditionalFormatting sqref="G46:H46">
    <cfRule type="cellIs" dxfId="59" priority="60" operator="equal">
      <formula>0</formula>
    </cfRule>
  </conditionalFormatting>
  <conditionalFormatting sqref="G25:H25">
    <cfRule type="cellIs" dxfId="58" priority="58" operator="equal">
      <formula>0</formula>
    </cfRule>
  </conditionalFormatting>
  <conditionalFormatting sqref="B25">
    <cfRule type="cellIs" dxfId="57" priority="59" operator="equal">
      <formula>"System Closed"</formula>
    </cfRule>
  </conditionalFormatting>
  <conditionalFormatting sqref="B32">
    <cfRule type="cellIs" dxfId="56" priority="57" operator="equal">
      <formula>"System Closed"</formula>
    </cfRule>
  </conditionalFormatting>
  <conditionalFormatting sqref="G32:H32">
    <cfRule type="cellIs" dxfId="55" priority="56" operator="equal">
      <formula>0</formula>
    </cfRule>
  </conditionalFormatting>
  <conditionalFormatting sqref="G39:H39">
    <cfRule type="cellIs" dxfId="54" priority="55" operator="equal">
      <formula>0</formula>
    </cfRule>
  </conditionalFormatting>
  <conditionalFormatting sqref="G66:H66">
    <cfRule type="cellIs" dxfId="53" priority="54" operator="equal">
      <formula>0</formula>
    </cfRule>
  </conditionalFormatting>
  <conditionalFormatting sqref="B67">
    <cfRule type="cellIs" dxfId="52" priority="53" operator="equal">
      <formula>"System Closed"</formula>
    </cfRule>
  </conditionalFormatting>
  <conditionalFormatting sqref="G67:H67">
    <cfRule type="cellIs" dxfId="51" priority="52" operator="equal">
      <formula>0</formula>
    </cfRule>
  </conditionalFormatting>
  <conditionalFormatting sqref="G8:H8">
    <cfRule type="cellIs" dxfId="50" priority="50" operator="equal">
      <formula>0</formula>
    </cfRule>
  </conditionalFormatting>
  <conditionalFormatting sqref="B8">
    <cfRule type="cellIs" dxfId="49" priority="51" operator="equal">
      <formula>"System Closed"</formula>
    </cfRule>
  </conditionalFormatting>
  <conditionalFormatting sqref="G21:H21">
    <cfRule type="cellIs" dxfId="48" priority="49" operator="equal">
      <formula>0</formula>
    </cfRule>
  </conditionalFormatting>
  <conditionalFormatting sqref="G72:H72">
    <cfRule type="cellIs" dxfId="47" priority="48" operator="equal">
      <formula>0</formula>
    </cfRule>
  </conditionalFormatting>
  <conditionalFormatting sqref="B4">
    <cfRule type="cellIs" dxfId="46" priority="47" operator="equal">
      <formula>"System Closed"</formula>
    </cfRule>
  </conditionalFormatting>
  <conditionalFormatting sqref="G4:H4">
    <cfRule type="cellIs" dxfId="45" priority="46" operator="equal">
      <formula>0</formula>
    </cfRule>
  </conditionalFormatting>
  <conditionalFormatting sqref="G38:H38">
    <cfRule type="cellIs" dxfId="44" priority="45" operator="equal">
      <formula>0</formula>
    </cfRule>
  </conditionalFormatting>
  <conditionalFormatting sqref="G45:H45">
    <cfRule type="cellIs" dxfId="43" priority="44" operator="equal">
      <formula>0</formula>
    </cfRule>
  </conditionalFormatting>
  <conditionalFormatting sqref="B6">
    <cfRule type="cellIs" dxfId="42" priority="43" operator="equal">
      <formula>"System Closed"</formula>
    </cfRule>
  </conditionalFormatting>
  <conditionalFormatting sqref="G6:H6">
    <cfRule type="cellIs" dxfId="41" priority="42" operator="equal">
      <formula>0</formula>
    </cfRule>
  </conditionalFormatting>
  <conditionalFormatting sqref="G26:H26">
    <cfRule type="cellIs" dxfId="40" priority="40" operator="equal">
      <formula>0</formula>
    </cfRule>
  </conditionalFormatting>
  <conditionalFormatting sqref="B26">
    <cfRule type="cellIs" dxfId="39" priority="41" operator="equal">
      <formula>"System Closed"</formula>
    </cfRule>
  </conditionalFormatting>
  <conditionalFormatting sqref="G83:H83">
    <cfRule type="cellIs" dxfId="38" priority="39" operator="equal">
      <formula>0</formula>
    </cfRule>
  </conditionalFormatting>
  <conditionalFormatting sqref="B37">
    <cfRule type="cellIs" dxfId="37" priority="38" operator="equal">
      <formula>"System Closed"</formula>
    </cfRule>
  </conditionalFormatting>
  <conditionalFormatting sqref="G37:H37">
    <cfRule type="cellIs" dxfId="36" priority="37" operator="equal">
      <formula>0</formula>
    </cfRule>
  </conditionalFormatting>
  <conditionalFormatting sqref="B36">
    <cfRule type="cellIs" dxfId="35" priority="36" operator="equal">
      <formula>"System Closed"</formula>
    </cfRule>
  </conditionalFormatting>
  <conditionalFormatting sqref="G36:H36">
    <cfRule type="cellIs" dxfId="34" priority="35" operator="equal">
      <formula>0</formula>
    </cfRule>
  </conditionalFormatting>
  <conditionalFormatting sqref="G56:H56">
    <cfRule type="cellIs" dxfId="33" priority="34" operator="equal">
      <formula>0</formula>
    </cfRule>
  </conditionalFormatting>
  <conditionalFormatting sqref="G61:H61">
    <cfRule type="cellIs" dxfId="32" priority="33" operator="equal">
      <formula>0</formula>
    </cfRule>
  </conditionalFormatting>
  <conditionalFormatting sqref="G44:H44">
    <cfRule type="cellIs" dxfId="31" priority="31" operator="equal">
      <formula>0</formula>
    </cfRule>
  </conditionalFormatting>
  <conditionalFormatting sqref="B44">
    <cfRule type="cellIs" dxfId="30" priority="32" operator="equal">
      <formula>"System Closed"</formula>
    </cfRule>
  </conditionalFormatting>
  <conditionalFormatting sqref="G41:H41">
    <cfRule type="cellIs" dxfId="29" priority="30" operator="equal">
      <formula>0</formula>
    </cfRule>
  </conditionalFormatting>
  <conditionalFormatting sqref="G62:H62">
    <cfRule type="cellIs" dxfId="28" priority="29" operator="equal">
      <formula>0</formula>
    </cfRule>
  </conditionalFormatting>
  <conditionalFormatting sqref="G53:H53">
    <cfRule type="cellIs" dxfId="27" priority="28" operator="equal">
      <formula>0</formula>
    </cfRule>
  </conditionalFormatting>
  <conditionalFormatting sqref="G10:H10">
    <cfRule type="cellIs" dxfId="26" priority="26" operator="equal">
      <formula>0</formula>
    </cfRule>
  </conditionalFormatting>
  <conditionalFormatting sqref="G29:H29">
    <cfRule type="cellIs" dxfId="25" priority="24" operator="equal">
      <formula>0</formula>
    </cfRule>
  </conditionalFormatting>
  <conditionalFormatting sqref="B10">
    <cfRule type="cellIs" dxfId="24" priority="27" operator="equal">
      <formula>"System Closed"</formula>
    </cfRule>
  </conditionalFormatting>
  <conditionalFormatting sqref="G81:H81">
    <cfRule type="cellIs" dxfId="23" priority="23" operator="equal">
      <formula>0</formula>
    </cfRule>
  </conditionalFormatting>
  <conditionalFormatting sqref="B29">
    <cfRule type="cellIs" dxfId="22" priority="25" operator="equal">
      <formula>"System Closed"</formula>
    </cfRule>
  </conditionalFormatting>
  <conditionalFormatting sqref="G18:H18">
    <cfRule type="cellIs" dxfId="21" priority="22" operator="equal">
      <formula>0</formula>
    </cfRule>
  </conditionalFormatting>
  <conditionalFormatting sqref="G40:H40">
    <cfRule type="cellIs" dxfId="20" priority="21" operator="equal">
      <formula>0</formula>
    </cfRule>
  </conditionalFormatting>
  <conditionalFormatting sqref="G64:H64">
    <cfRule type="cellIs" dxfId="19" priority="20" operator="equal">
      <formula>0</formula>
    </cfRule>
  </conditionalFormatting>
  <conditionalFormatting sqref="G19:H20">
    <cfRule type="cellIs" dxfId="18" priority="19" operator="equal">
      <formula>0</formula>
    </cfRule>
  </conditionalFormatting>
  <conditionalFormatting sqref="G74:H74">
    <cfRule type="cellIs" dxfId="17" priority="18" operator="equal">
      <formula>0</formula>
    </cfRule>
  </conditionalFormatting>
  <conditionalFormatting sqref="G75:H75">
    <cfRule type="cellIs" dxfId="16" priority="17" operator="equal">
      <formula>0</formula>
    </cfRule>
  </conditionalFormatting>
  <conditionalFormatting sqref="G73:H73">
    <cfRule type="cellIs" dxfId="15" priority="16" operator="equal">
      <formula>0</formula>
    </cfRule>
  </conditionalFormatting>
  <conditionalFormatting sqref="G76:H77">
    <cfRule type="cellIs" dxfId="14" priority="15" operator="equal">
      <formula>0</formula>
    </cfRule>
  </conditionalFormatting>
  <conditionalFormatting sqref="G5:H5">
    <cfRule type="cellIs" dxfId="13" priority="13" operator="equal">
      <formula>0</formula>
    </cfRule>
  </conditionalFormatting>
  <conditionalFormatting sqref="B5">
    <cfRule type="cellIs" dxfId="12" priority="14" operator="equal">
      <formula>"System Closed"</formula>
    </cfRule>
  </conditionalFormatting>
  <conditionalFormatting sqref="B68">
    <cfRule type="cellIs" dxfId="11" priority="12" operator="equal">
      <formula>"System Closed"</formula>
    </cfRule>
  </conditionalFormatting>
  <conditionalFormatting sqref="G68:H68">
    <cfRule type="cellIs" dxfId="10" priority="11" operator="equal">
      <formula>0</formula>
    </cfRule>
  </conditionalFormatting>
  <conditionalFormatting sqref="G71:H71">
    <cfRule type="cellIs" dxfId="9" priority="10" operator="equal">
      <formula>0</formula>
    </cfRule>
  </conditionalFormatting>
  <conditionalFormatting sqref="G63:H63">
    <cfRule type="cellIs" dxfId="8" priority="9" operator="equal">
      <formula>0</formula>
    </cfRule>
  </conditionalFormatting>
  <conditionalFormatting sqref="G82:H82">
    <cfRule type="cellIs" dxfId="7" priority="8" operator="equal">
      <formula>0</formula>
    </cfRule>
  </conditionalFormatting>
  <conditionalFormatting sqref="G47:H47">
    <cfRule type="cellIs" dxfId="6" priority="7" operator="equal">
      <formula>0</formula>
    </cfRule>
  </conditionalFormatting>
  <conditionalFormatting sqref="B59">
    <cfRule type="cellIs" dxfId="5" priority="6" operator="equal">
      <formula>"System Closed"</formula>
    </cfRule>
  </conditionalFormatting>
  <conditionalFormatting sqref="G59:H59">
    <cfRule type="cellIs" dxfId="4" priority="5" operator="equal">
      <formula>0</formula>
    </cfRule>
  </conditionalFormatting>
  <conditionalFormatting sqref="G48:H48">
    <cfRule type="cellIs" dxfId="3" priority="4" operator="equal">
      <formula>0</formula>
    </cfRule>
  </conditionalFormatting>
  <conditionalFormatting sqref="B24">
    <cfRule type="cellIs" dxfId="2" priority="3" operator="equal">
      <formula>"System Closed"</formula>
    </cfRule>
  </conditionalFormatting>
  <conditionalFormatting sqref="G24:H24">
    <cfRule type="cellIs" dxfId="1" priority="2" operator="equal">
      <formula>0</formula>
    </cfRule>
  </conditionalFormatting>
  <conditionalFormatting sqref="G54:H54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31"/>
  <sheetViews>
    <sheetView workbookViewId="0">
      <selection activeCell="C16" sqref="C16"/>
    </sheetView>
  </sheetViews>
  <sheetFormatPr defaultRowHeight="15" x14ac:dyDescent="0.25"/>
  <cols>
    <col min="3" max="3" width="17.5703125" customWidth="1"/>
    <col min="6" max="6" width="20.5703125" customWidth="1"/>
  </cols>
  <sheetData>
    <row r="5" spans="3:7" x14ac:dyDescent="0.25">
      <c r="C5" t="s">
        <v>69</v>
      </c>
      <c r="F5" t="s">
        <v>71</v>
      </c>
      <c r="G5" t="s">
        <v>58</v>
      </c>
    </row>
    <row r="6" spans="3:7" x14ac:dyDescent="0.25">
      <c r="C6" t="s">
        <v>80</v>
      </c>
      <c r="F6" t="s">
        <v>78</v>
      </c>
      <c r="G6" t="s">
        <v>58</v>
      </c>
    </row>
    <row r="7" spans="3:7" x14ac:dyDescent="0.25">
      <c r="C7" t="s">
        <v>62</v>
      </c>
      <c r="F7" t="s">
        <v>85</v>
      </c>
      <c r="G7" t="s">
        <v>58</v>
      </c>
    </row>
    <row r="8" spans="3:7" x14ac:dyDescent="0.25">
      <c r="C8" t="s">
        <v>77</v>
      </c>
      <c r="F8" t="s">
        <v>75</v>
      </c>
      <c r="G8" t="s">
        <v>58</v>
      </c>
    </row>
    <row r="9" spans="3:7" x14ac:dyDescent="0.25">
      <c r="C9" t="s">
        <v>61</v>
      </c>
      <c r="F9" t="s">
        <v>82</v>
      </c>
      <c r="G9" t="s">
        <v>58</v>
      </c>
    </row>
    <row r="10" spans="3:7" x14ac:dyDescent="0.25">
      <c r="C10" t="s">
        <v>72</v>
      </c>
      <c r="F10" t="s">
        <v>63</v>
      </c>
      <c r="G10" t="s">
        <v>58</v>
      </c>
    </row>
    <row r="11" spans="3:7" x14ac:dyDescent="0.25">
      <c r="C11" t="s">
        <v>86</v>
      </c>
      <c r="G11" t="s">
        <v>58</v>
      </c>
    </row>
    <row r="12" spans="3:7" x14ac:dyDescent="0.25">
      <c r="C12" t="s">
        <v>79</v>
      </c>
      <c r="G12" t="s">
        <v>58</v>
      </c>
    </row>
    <row r="13" spans="3:7" x14ac:dyDescent="0.25">
      <c r="C13" t="s">
        <v>68</v>
      </c>
      <c r="G13" t="s">
        <v>58</v>
      </c>
    </row>
    <row r="14" spans="3:7" x14ac:dyDescent="0.25">
      <c r="C14" t="s">
        <v>60</v>
      </c>
      <c r="G14" t="s">
        <v>58</v>
      </c>
    </row>
    <row r="15" spans="3:7" x14ac:dyDescent="0.25">
      <c r="C15" t="s">
        <v>81</v>
      </c>
      <c r="G15" t="s">
        <v>58</v>
      </c>
    </row>
    <row r="16" spans="3:7" x14ac:dyDescent="0.25">
      <c r="C16" t="s">
        <v>74</v>
      </c>
      <c r="G16" t="s">
        <v>58</v>
      </c>
    </row>
    <row r="17" spans="3:7" x14ac:dyDescent="0.25">
      <c r="C17" t="s">
        <v>83</v>
      </c>
      <c r="G17" t="s">
        <v>58</v>
      </c>
    </row>
    <row r="18" spans="3:7" x14ac:dyDescent="0.25">
      <c r="C18" t="s">
        <v>66</v>
      </c>
      <c r="G18" t="s">
        <v>58</v>
      </c>
    </row>
    <row r="19" spans="3:7" x14ac:dyDescent="0.25">
      <c r="C19" t="s">
        <v>67</v>
      </c>
      <c r="G19" t="s">
        <v>58</v>
      </c>
    </row>
    <row r="20" spans="3:7" x14ac:dyDescent="0.25">
      <c r="C20" t="s">
        <v>73</v>
      </c>
      <c r="G20" t="s">
        <v>58</v>
      </c>
    </row>
    <row r="21" spans="3:7" x14ac:dyDescent="0.25">
      <c r="C21" t="s">
        <v>64</v>
      </c>
      <c r="G21" t="s">
        <v>58</v>
      </c>
    </row>
    <row r="22" spans="3:7" x14ac:dyDescent="0.25">
      <c r="C22" t="s">
        <v>84</v>
      </c>
      <c r="G22" t="s">
        <v>58</v>
      </c>
    </row>
    <row r="23" spans="3:7" x14ac:dyDescent="0.25">
      <c r="C23" t="s">
        <v>70</v>
      </c>
      <c r="G23" t="s">
        <v>58</v>
      </c>
    </row>
    <row r="24" spans="3:7" x14ac:dyDescent="0.25">
      <c r="C24" t="s">
        <v>65</v>
      </c>
      <c r="G24" t="s">
        <v>58</v>
      </c>
    </row>
    <row r="25" spans="3:7" x14ac:dyDescent="0.25">
      <c r="C25" t="s">
        <v>59</v>
      </c>
      <c r="G25" t="s">
        <v>58</v>
      </c>
    </row>
    <row r="26" spans="3:7" x14ac:dyDescent="0.25">
      <c r="C26" t="s">
        <v>76</v>
      </c>
      <c r="G26" t="s">
        <v>58</v>
      </c>
    </row>
    <row r="27" spans="3:7" x14ac:dyDescent="0.25">
      <c r="G27" t="s">
        <v>58</v>
      </c>
    </row>
    <row r="28" spans="3:7" x14ac:dyDescent="0.25">
      <c r="G28" t="s">
        <v>58</v>
      </c>
    </row>
    <row r="29" spans="3:7" x14ac:dyDescent="0.25">
      <c r="G29" t="s">
        <v>58</v>
      </c>
    </row>
    <row r="30" spans="3:7" x14ac:dyDescent="0.25">
      <c r="G30" t="s">
        <v>58</v>
      </c>
    </row>
    <row r="31" spans="3:7" x14ac:dyDescent="0.25">
      <c r="G31" t="s">
        <v>58</v>
      </c>
    </row>
  </sheetData>
  <sortState ref="G5:G62">
    <sortCondition ref="G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Shareen McCallum</cp:lastModifiedBy>
  <dcterms:created xsi:type="dcterms:W3CDTF">2021-08-31T13:08:58Z</dcterms:created>
  <dcterms:modified xsi:type="dcterms:W3CDTF">2022-03-31T13:21:32Z</dcterms:modified>
</cp:coreProperties>
</file>