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5FD0D452-797B-4D63-B565-91B3F5EA59C4}" xr6:coauthVersionLast="36" xr6:coauthVersionMax="36" xr10:uidLastSave="{00000000-0000-0000-0000-000000000000}"/>
  <bookViews>
    <workbookView xWindow="936" yWindow="0" windowWidth="22104" windowHeight="9360" activeTab="1" xr2:uid="{99574988-3531-449C-9C2F-4CB9B3482E88}"/>
  </bookViews>
  <sheets>
    <sheet name="ME Status Report" sheetId="1" r:id="rId1"/>
    <sheet name="Email Notifica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G21" i="1"/>
  <c r="F21" i="1"/>
  <c r="H21" i="1" s="1"/>
  <c r="E21" i="1"/>
  <c r="D21" i="1"/>
  <c r="M20" i="1"/>
  <c r="L20" i="1"/>
  <c r="K20" i="1"/>
  <c r="J20" i="1"/>
  <c r="I20" i="1"/>
  <c r="F20" i="1"/>
  <c r="E20" i="1"/>
  <c r="D20" i="1"/>
  <c r="H20" i="1" s="1"/>
  <c r="C20" i="1"/>
  <c r="B20" i="1"/>
  <c r="M19" i="1"/>
  <c r="L19" i="1"/>
  <c r="K19" i="1"/>
  <c r="J19" i="1"/>
  <c r="I19" i="1"/>
  <c r="F19" i="1"/>
  <c r="H19" i="1" s="1"/>
  <c r="E19" i="1"/>
  <c r="G19" i="1" s="1"/>
  <c r="D19" i="1"/>
  <c r="C19" i="1"/>
  <c r="B19" i="1"/>
  <c r="M18" i="1"/>
  <c r="I18" i="1"/>
  <c r="F18" i="1"/>
  <c r="H18" i="1" s="1"/>
  <c r="E18" i="1"/>
  <c r="D18" i="1"/>
  <c r="G18" i="1" s="1"/>
  <c r="M17" i="1"/>
  <c r="K17" i="1"/>
  <c r="I17" i="1"/>
  <c r="G17" i="1"/>
  <c r="F17" i="1"/>
  <c r="E17" i="1"/>
  <c r="D17" i="1"/>
  <c r="H17" i="1" s="1"/>
  <c r="K16" i="1"/>
  <c r="J16" i="1"/>
  <c r="I16" i="1"/>
  <c r="F16" i="1"/>
  <c r="H16" i="1" s="1"/>
  <c r="E16" i="1"/>
  <c r="D16" i="1"/>
  <c r="G16" i="1" s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F14" i="1"/>
  <c r="E14" i="1"/>
  <c r="D14" i="1"/>
  <c r="H14" i="1" s="1"/>
  <c r="C14" i="1"/>
  <c r="B14" i="1"/>
  <c r="A31" i="1" s="1"/>
  <c r="M13" i="1"/>
  <c r="K13" i="1"/>
  <c r="J13" i="1"/>
  <c r="I13" i="1"/>
  <c r="F13" i="1"/>
  <c r="H13" i="1" s="1"/>
  <c r="E13" i="1"/>
  <c r="D13" i="1"/>
  <c r="G13" i="1" s="1"/>
  <c r="M12" i="1"/>
  <c r="K12" i="1"/>
  <c r="J12" i="1"/>
  <c r="I12" i="1"/>
  <c r="H12" i="1"/>
  <c r="G12" i="1"/>
  <c r="F12" i="1"/>
  <c r="E12" i="1"/>
  <c r="D12" i="1"/>
  <c r="M11" i="1"/>
  <c r="K11" i="1"/>
  <c r="J11" i="1"/>
  <c r="I11" i="1"/>
  <c r="H11" i="1"/>
  <c r="G11" i="1"/>
  <c r="F11" i="1"/>
  <c r="E11" i="1"/>
  <c r="D11" i="1"/>
  <c r="M10" i="1"/>
  <c r="K10" i="1"/>
  <c r="I10" i="1"/>
  <c r="H10" i="1"/>
  <c r="F10" i="1"/>
  <c r="E10" i="1"/>
  <c r="D10" i="1"/>
  <c r="G10" i="1" s="1"/>
  <c r="M9" i="1"/>
  <c r="K9" i="1"/>
  <c r="J9" i="1"/>
  <c r="I9" i="1"/>
  <c r="F9" i="1"/>
  <c r="E9" i="1"/>
  <c r="D9" i="1"/>
  <c r="H9" i="1" s="1"/>
  <c r="M8" i="1"/>
  <c r="L8" i="1"/>
  <c r="K8" i="1"/>
  <c r="J8" i="1"/>
  <c r="I8" i="1"/>
  <c r="F8" i="1"/>
  <c r="H8" i="1" s="1"/>
  <c r="E8" i="1"/>
  <c r="G8" i="1" s="1"/>
  <c r="D8" i="1"/>
  <c r="M7" i="1"/>
  <c r="K7" i="1"/>
  <c r="J7" i="1"/>
  <c r="I7" i="1"/>
  <c r="F7" i="1"/>
  <c r="E7" i="1"/>
  <c r="D7" i="1"/>
  <c r="H7" i="1" s="1"/>
  <c r="M6" i="1"/>
  <c r="K6" i="1"/>
  <c r="J6" i="1"/>
  <c r="I6" i="1"/>
  <c r="F6" i="1"/>
  <c r="E6" i="1"/>
  <c r="D6" i="1"/>
  <c r="H6" i="1" s="1"/>
  <c r="M5" i="1"/>
  <c r="L5" i="1"/>
  <c r="K5" i="1"/>
  <c r="J5" i="1"/>
  <c r="I5" i="1"/>
  <c r="H5" i="1"/>
  <c r="G5" i="1"/>
  <c r="F5" i="1"/>
  <c r="E5" i="1"/>
  <c r="D5" i="1"/>
  <c r="M4" i="1"/>
  <c r="K4" i="1"/>
  <c r="J4" i="1"/>
  <c r="I4" i="1"/>
  <c r="H4" i="1"/>
  <c r="G4" i="1"/>
  <c r="F4" i="1"/>
  <c r="E4" i="1"/>
  <c r="D4" i="1"/>
  <c r="M3" i="1"/>
  <c r="K3" i="1"/>
  <c r="J3" i="1"/>
  <c r="I3" i="1"/>
  <c r="F3" i="1"/>
  <c r="E3" i="1"/>
  <c r="D3" i="1"/>
  <c r="H3" i="1" s="1"/>
  <c r="G14" i="1" l="1"/>
  <c r="G7" i="1"/>
  <c r="G9" i="1"/>
  <c r="G6" i="1"/>
  <c r="G20" i="1"/>
  <c r="G3" i="1"/>
</calcChain>
</file>

<file path=xl/sharedStrings.xml><?xml version="1.0" encoding="utf-8"?>
<sst xmlns="http://schemas.openxmlformats.org/spreadsheetml/2006/main" count="174" uniqueCount="103">
  <si>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</si>
  <si>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</si>
  <si>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</si>
  <si>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</si>
  <si>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</si>
  <si>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</si>
  <si>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</si>
  <si>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</si>
  <si>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</si>
  <si>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</si>
  <si>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</si>
  <si>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</si>
  <si>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</si>
  <si>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</si>
  <si>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</si>
  <si>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NOTES</t>
  </si>
  <si>
    <t>24-C0097</t>
  </si>
  <si>
    <t>Open</t>
  </si>
  <si>
    <t>ANDERSON &amp; DAHLEN INC</t>
  </si>
  <si>
    <t>jessie@jlab.org</t>
  </si>
  <si>
    <t>24-C0164</t>
  </si>
  <si>
    <t>gopinath@jlab.org</t>
  </si>
  <si>
    <t>24-D0247</t>
  </si>
  <si>
    <t>ECB SOLUTIONS</t>
  </si>
  <si>
    <t>24-C0221</t>
  </si>
  <si>
    <t>GENERAL ATOMICS</t>
  </si>
  <si>
    <t>michele@jlab.org</t>
  </si>
  <si>
    <t>24-C0397</t>
  </si>
  <si>
    <t>24-D0258</t>
  </si>
  <si>
    <t>23-D1528</t>
  </si>
  <si>
    <t>HYSPAN PRECISION PRODUCTS</t>
  </si>
  <si>
    <t>cclark@jlab.org</t>
  </si>
  <si>
    <t>24-C0512</t>
  </si>
  <si>
    <t xml:space="preserve">INFN  ISTITUTO NAZIONALE </t>
  </si>
  <si>
    <t>KIM, CHARLIE</t>
  </si>
  <si>
    <t>ckim@jlab.org</t>
  </si>
  <si>
    <t>24-C0184</t>
  </si>
  <si>
    <t>KAMATICS CORPORATION</t>
  </si>
  <si>
    <t>24-D0362</t>
  </si>
  <si>
    <t>LINDE GMBH</t>
  </si>
  <si>
    <t>24-C0282</t>
  </si>
  <si>
    <t>MAJOR TOOL &amp; MACHINE INC</t>
  </si>
  <si>
    <t>cedric@jlab.org</t>
  </si>
  <si>
    <t>22-C0008</t>
  </si>
  <si>
    <t>23-C1093</t>
  </si>
  <si>
    <t>23-D1488</t>
  </si>
  <si>
    <t>SENSEICS CORPORATION</t>
  </si>
  <si>
    <t>23-D1614</t>
  </si>
  <si>
    <t>SIEMENS PRODUCT LIFECYCLE</t>
  </si>
  <si>
    <t>tolbert@jlab.org</t>
  </si>
  <si>
    <t>24-D0516</t>
  </si>
  <si>
    <t>STICHTING SUPERACT</t>
  </si>
  <si>
    <t>TORRES, MELISSA C</t>
  </si>
  <si>
    <t>torres@jlab.og</t>
  </si>
  <si>
    <t>23-D1407</t>
  </si>
  <si>
    <t>21-D1483</t>
  </si>
  <si>
    <t>24-D0168</t>
  </si>
  <si>
    <t xml:space="preserve">WARWICK PLUMBING &amp; HEATING </t>
  </si>
  <si>
    <t>Open Count</t>
  </si>
  <si>
    <t>** add Eden Evans to the cc group (eaevans@jlab.org)</t>
  </si>
  <si>
    <t>1st Request - senT 02/14/2024 @ 11 am</t>
  </si>
  <si>
    <t>2nd Request - 02/19/2024 @ 7:15 am</t>
  </si>
  <si>
    <t>3rd and FINAL Request - 02/20/2024 @ 9 am</t>
  </si>
  <si>
    <t>To:</t>
  </si>
  <si>
    <t>Cc:</t>
  </si>
  <si>
    <t>csmith@jlab.org</t>
  </si>
  <si>
    <t/>
  </si>
  <si>
    <t>dion@jlab.org</t>
  </si>
  <si>
    <t>eaevans@jlab.org</t>
  </si>
  <si>
    <t>eaevans@jab.org</t>
  </si>
  <si>
    <t>huratiak@jlab.org</t>
  </si>
  <si>
    <t>dobrenz@jlab.org</t>
  </si>
  <si>
    <t>gciovati@jlab.org</t>
  </si>
  <si>
    <t>dolbeck@jlab.org</t>
  </si>
  <si>
    <t>kwilson@jlab.org</t>
  </si>
  <si>
    <t>gen@jlab.org</t>
  </si>
  <si>
    <t>fraites@jlab.org</t>
  </si>
  <si>
    <t>ritendra@jlab.org</t>
  </si>
  <si>
    <t>mccallum@jlab.org</t>
  </si>
  <si>
    <t>jhuff@jlab.org</t>
  </si>
  <si>
    <t>xgomez@jlab.org</t>
  </si>
  <si>
    <t>haipeng@jlab.org</t>
  </si>
  <si>
    <t>cadams@jlab.org</t>
  </si>
  <si>
    <t>lucento@jlab.org</t>
  </si>
  <si>
    <t>jasonw@jlab.org</t>
  </si>
  <si>
    <t>hundley@jlab.org</t>
  </si>
  <si>
    <t>ghoshal@jlab.org</t>
  </si>
  <si>
    <t>jfast@jlab.org</t>
  </si>
  <si>
    <t>maynardb@jlab.org</t>
  </si>
  <si>
    <t>hope@JLAB.ORG</t>
  </si>
  <si>
    <t>hovater@jlab.org</t>
  </si>
  <si>
    <t>huque@jlab.org</t>
  </si>
  <si>
    <t>metzger@jlab.org</t>
  </si>
  <si>
    <t>nal@jlab.org</t>
  </si>
  <si>
    <t>nfalls@jlab.org</t>
  </si>
  <si>
    <t>okumar@jlab.org</t>
  </si>
  <si>
    <t>qsun@jlab.org</t>
  </si>
  <si>
    <t>renzo@jlab.org</t>
  </si>
  <si>
    <t>rfries@jlab.org</t>
  </si>
  <si>
    <t>scottb@jlab.org</t>
  </si>
  <si>
    <t>valente@jlab.org</t>
  </si>
  <si>
    <t>wbaum@jlab.org</t>
  </si>
  <si>
    <t>weinmann@jlab.org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</si>
</sst>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22222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/>
    <xf numFmtId="164" fontId="6" fillId="0" borderId="3" xfId="1" applyNumberFormat="1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/>
    <xf numFmtId="0" fontId="2" fillId="4" borderId="0" xfId="0" applyFont="1" applyFill="1"/>
    <xf numFmtId="0" fontId="0" fillId="4" borderId="0" xfId="0" applyFill="1"/>
    <xf numFmtId="0" fontId="2" fillId="0" borderId="0" xfId="0" applyFont="1"/>
    <xf numFmtId="0" fontId="0" fillId="0" borderId="0" xfId="0" applyFill="1"/>
  </cellXfs>
  <cellStyles count="3">
    <cellStyle name="20% - Accent5" xfId="2" builtinId="46"/>
    <cellStyle name="Comma" xfId="1" builtinId="3"/>
    <cellStyle name="Normal" xfId="0" builtinId="0"/>
  </cellStyles>
  <dxfs count="12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 INC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 INC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 INC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S</v>
          </cell>
          <cell r="I233" t="str">
            <v>System Closed</v>
          </cell>
          <cell r="J233">
            <v>1743427.65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816846.76</v>
          </cell>
          <cell r="K242">
            <v>798702.74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694459.92</v>
          </cell>
          <cell r="K243">
            <v>694459.92</v>
          </cell>
          <cell r="L243">
            <v>669499.12</v>
          </cell>
          <cell r="M243">
            <v>669499.12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133909.47</v>
          </cell>
          <cell r="K249">
            <v>133909.47</v>
          </cell>
          <cell r="L249">
            <v>129578.21</v>
          </cell>
          <cell r="M249">
            <v>129578.21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S</v>
          </cell>
          <cell r="I253" t="str">
            <v>System Closed</v>
          </cell>
          <cell r="J253">
            <v>1517137</v>
          </cell>
          <cell r="K253">
            <v>1517137</v>
          </cell>
          <cell r="L253">
            <v>1517137</v>
          </cell>
          <cell r="M253">
            <v>1517137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309243.58</v>
          </cell>
          <cell r="K254">
            <v>294517.7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157957.48000000001</v>
          </cell>
          <cell r="L256">
            <v>157957.43</v>
          </cell>
          <cell r="M256">
            <v>157957.43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133054.18</v>
          </cell>
          <cell r="K265">
            <v>129882.01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37997</v>
          </cell>
          <cell r="L268">
            <v>36879.879999999997</v>
          </cell>
          <cell r="M268">
            <v>36879.879999999997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374491.26</v>
          </cell>
          <cell r="L269">
            <v>374428.09</v>
          </cell>
          <cell r="M269">
            <v>374428.09</v>
          </cell>
          <cell r="N269" t="str">
            <v>BLDG 28 RM 10 SCOTTB</v>
          </cell>
          <cell r="O269" t="str">
            <v>BENTIVEGNA, SCOTT M</v>
          </cell>
          <cell r="P269" t="str">
            <v>scottb@jlab.org</v>
          </cell>
          <cell r="Q269" t="str">
            <v>SMITH, CORRY E</v>
          </cell>
          <cell r="R269" t="str">
            <v>csmith@jlab.org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24322.400000000001</v>
          </cell>
          <cell r="L270">
            <v>24309.51</v>
          </cell>
          <cell r="M270">
            <v>24309.51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337442.3</v>
          </cell>
          <cell r="K276">
            <v>329204.46999999997</v>
          </cell>
          <cell r="L276">
            <v>322614.18</v>
          </cell>
          <cell r="M276">
            <v>322614.18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7058641.7400000002</v>
          </cell>
          <cell r="L278">
            <v>7058641.7400000002</v>
          </cell>
          <cell r="M278">
            <v>7058641.7400000002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337939.71</v>
          </cell>
          <cell r="K282">
            <v>332939.71000000002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255713.15</v>
          </cell>
          <cell r="K292">
            <v>231460.07</v>
          </cell>
          <cell r="L292">
            <v>223414.39999999999</v>
          </cell>
          <cell r="M292">
            <v>223414.39999999999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S</v>
          </cell>
          <cell r="I301" t="str">
            <v>System Closed</v>
          </cell>
          <cell r="J301">
            <v>795875.03</v>
          </cell>
          <cell r="K301">
            <v>795875.03</v>
          </cell>
          <cell r="L301">
            <v>795875.03</v>
          </cell>
          <cell r="M301">
            <v>795875.03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730417.23</v>
          </cell>
          <cell r="K304">
            <v>724526.61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312957.93</v>
          </cell>
          <cell r="L314">
            <v>312932.21999999997</v>
          </cell>
          <cell r="M314">
            <v>312932.21999999997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685801.8</v>
          </cell>
          <cell r="K320">
            <v>307835.88</v>
          </cell>
          <cell r="L320">
            <v>297791.8</v>
          </cell>
          <cell r="M320">
            <v>297791.8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S</v>
          </cell>
          <cell r="I333" t="str">
            <v>System Closed</v>
          </cell>
          <cell r="J333">
            <v>294035.96999999997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S</v>
          </cell>
          <cell r="I344" t="str">
            <v>System Closed</v>
          </cell>
          <cell r="J344">
            <v>48000</v>
          </cell>
          <cell r="K344">
            <v>48000</v>
          </cell>
          <cell r="L344">
            <v>48000</v>
          </cell>
          <cell r="M344">
            <v>48000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1115061.6000000001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256127.25</v>
          </cell>
          <cell r="K353">
            <v>240159.75</v>
          </cell>
          <cell r="L353">
            <v>196289.75</v>
          </cell>
          <cell r="M353">
            <v>196289.75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832821.4</v>
          </cell>
          <cell r="L356">
            <v>774725.5</v>
          </cell>
          <cell r="M356">
            <v>774725.5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232336.04</v>
          </cell>
          <cell r="K358">
            <v>208390.9</v>
          </cell>
          <cell r="L358">
            <v>198587.83</v>
          </cell>
          <cell r="M358">
            <v>198587.83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S</v>
          </cell>
          <cell r="I362" t="str">
            <v>System Closed</v>
          </cell>
          <cell r="J362">
            <v>383600</v>
          </cell>
          <cell r="K362">
            <v>383600</v>
          </cell>
          <cell r="L362">
            <v>383600</v>
          </cell>
          <cell r="M362">
            <v>383600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S</v>
          </cell>
          <cell r="I364" t="str">
            <v>System Closed</v>
          </cell>
          <cell r="J364">
            <v>318851.25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S</v>
          </cell>
          <cell r="I369" t="str">
            <v>System Closed</v>
          </cell>
          <cell r="J369">
            <v>347930</v>
          </cell>
          <cell r="K369">
            <v>347930</v>
          </cell>
          <cell r="L369">
            <v>347930</v>
          </cell>
          <cell r="M369">
            <v>347930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C</v>
          </cell>
          <cell r="I372" t="str">
            <v>Closed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145483.92000000001</v>
          </cell>
          <cell r="K378">
            <v>53125.25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91052.88</v>
          </cell>
          <cell r="L384">
            <v>68186.399999999994</v>
          </cell>
          <cell r="M384">
            <v>68186.399999999994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O</v>
          </cell>
          <cell r="I388" t="str">
            <v>Open</v>
          </cell>
          <cell r="J388">
            <v>175000</v>
          </cell>
          <cell r="K388">
            <v>166250</v>
          </cell>
          <cell r="L388">
            <v>166250</v>
          </cell>
          <cell r="M388">
            <v>166250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205316.79</v>
          </cell>
          <cell r="K393">
            <v>120578.46</v>
          </cell>
          <cell r="L393">
            <v>120574.63</v>
          </cell>
          <cell r="M393">
            <v>120574.63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O</v>
          </cell>
          <cell r="I394" t="str">
            <v>Open</v>
          </cell>
          <cell r="J394">
            <v>73298.95</v>
          </cell>
          <cell r="K394">
            <v>58873.440000000002</v>
          </cell>
          <cell r="L394">
            <v>58873.440000000002</v>
          </cell>
          <cell r="M394">
            <v>58873.440000000002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127813.19</v>
          </cell>
          <cell r="K395">
            <v>103342.35</v>
          </cell>
          <cell r="L395">
            <v>84126.99</v>
          </cell>
          <cell r="M395">
            <v>84126.99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O</v>
          </cell>
          <cell r="I397" t="str">
            <v>Open</v>
          </cell>
          <cell r="J397">
            <v>1337745</v>
          </cell>
          <cell r="K397">
            <v>1270857.75</v>
          </cell>
          <cell r="L397">
            <v>1270857.75</v>
          </cell>
          <cell r="M397">
            <v>1270857.75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S</v>
          </cell>
          <cell r="I399" t="str">
            <v>System Closed</v>
          </cell>
          <cell r="J399">
            <v>496000</v>
          </cell>
          <cell r="K399">
            <v>496000</v>
          </cell>
          <cell r="L399">
            <v>496000</v>
          </cell>
          <cell r="M399">
            <v>496000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263132.71000000002</v>
          </cell>
          <cell r="K400">
            <v>201807.78</v>
          </cell>
          <cell r="L400">
            <v>153583.10999999999</v>
          </cell>
          <cell r="M400">
            <v>153583.10999999999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527254.1</v>
          </cell>
          <cell r="K401">
            <v>397213.22</v>
          </cell>
          <cell r="L401">
            <v>394247.29</v>
          </cell>
          <cell r="M401">
            <v>394247.29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55249.95</v>
          </cell>
          <cell r="K402">
            <v>43916.61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974222.16</v>
          </cell>
          <cell r="K403">
            <v>871997.54</v>
          </cell>
          <cell r="L403">
            <v>774371.26</v>
          </cell>
          <cell r="M403">
            <v>774371.26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69817.5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354797.65</v>
          </cell>
          <cell r="K406">
            <v>228067.61</v>
          </cell>
          <cell r="L406">
            <v>133354.20000000001</v>
          </cell>
          <cell r="M406">
            <v>133354.20000000001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S</v>
          </cell>
          <cell r="I407" t="str">
            <v>System Closed</v>
          </cell>
          <cell r="J407">
            <v>386500</v>
          </cell>
          <cell r="K407">
            <v>386500</v>
          </cell>
          <cell r="L407">
            <v>386500</v>
          </cell>
          <cell r="M407">
            <v>386500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S</v>
          </cell>
          <cell r="I408" t="str">
            <v>System Closed</v>
          </cell>
          <cell r="J408">
            <v>80000</v>
          </cell>
          <cell r="K408">
            <v>80000</v>
          </cell>
          <cell r="L408">
            <v>80000</v>
          </cell>
          <cell r="M408">
            <v>80000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310640</v>
          </cell>
          <cell r="L409">
            <v>271810</v>
          </cell>
          <cell r="M409">
            <v>271810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435000</v>
          </cell>
          <cell r="K410">
            <v>235000</v>
          </cell>
          <cell r="L410">
            <v>235000</v>
          </cell>
          <cell r="M410">
            <v>235000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368000</v>
          </cell>
          <cell r="L411">
            <v>368000</v>
          </cell>
          <cell r="M411">
            <v>368000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292765.2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414414.82</v>
          </cell>
          <cell r="K414">
            <v>205270</v>
          </cell>
          <cell r="L414">
            <v>198000</v>
          </cell>
          <cell r="M414">
            <v>198000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O</v>
          </cell>
          <cell r="I416" t="str">
            <v>Open</v>
          </cell>
          <cell r="J416">
            <v>213992.86</v>
          </cell>
          <cell r="K416">
            <v>205269.52</v>
          </cell>
          <cell r="L416">
            <v>205269.52</v>
          </cell>
          <cell r="M416">
            <v>205269.52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S</v>
          </cell>
          <cell r="I424" t="str">
            <v>System Closed</v>
          </cell>
          <cell r="J424">
            <v>231148.01</v>
          </cell>
          <cell r="K424">
            <v>231148.01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85680</v>
          </cell>
          <cell r="L428">
            <v>71400</v>
          </cell>
          <cell r="M428">
            <v>71400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O</v>
          </cell>
          <cell r="I429" t="str">
            <v>Open</v>
          </cell>
          <cell r="J429">
            <v>132875.4</v>
          </cell>
          <cell r="K429">
            <v>90624.02</v>
          </cell>
          <cell r="L429">
            <v>90619.8</v>
          </cell>
          <cell r="M429">
            <v>90619.8</v>
          </cell>
          <cell r="N429" t="str">
            <v>EDWARD DALY</v>
          </cell>
          <cell r="O429" t="str">
            <v>HUQUE, NAEEM A</v>
          </cell>
          <cell r="P429" t="str">
            <v>huque@jlab.org</v>
          </cell>
          <cell r="Q429" t="str">
            <v>WILSON, KATHERINE M</v>
          </cell>
          <cell r="R429" t="str">
            <v>kwilson@jlab.org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 xml:space="preserve"> 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O</v>
          </cell>
          <cell r="I432" t="str">
            <v>Open</v>
          </cell>
          <cell r="J432">
            <v>62984.52</v>
          </cell>
          <cell r="K432">
            <v>53536.84</v>
          </cell>
          <cell r="L432">
            <v>25193.81</v>
          </cell>
          <cell r="M432">
            <v>25193.81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97678.53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24409.95</v>
          </cell>
          <cell r="L434">
            <v>24408</v>
          </cell>
          <cell r="M434">
            <v>24408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41142.9</v>
          </cell>
          <cell r="L435">
            <v>27428.6</v>
          </cell>
          <cell r="M435">
            <v>27428.6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O</v>
          </cell>
          <cell r="I436" t="str">
            <v>Open</v>
          </cell>
          <cell r="J436">
            <v>148623</v>
          </cell>
          <cell r="K436">
            <v>118898.4</v>
          </cell>
          <cell r="L436">
            <v>118898.4</v>
          </cell>
          <cell r="M436">
            <v>118898.4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O</v>
          </cell>
          <cell r="I437" t="str">
            <v>Open</v>
          </cell>
          <cell r="J437">
            <v>22800</v>
          </cell>
          <cell r="K437">
            <v>15200.76</v>
          </cell>
          <cell r="L437">
            <v>15200</v>
          </cell>
          <cell r="M437">
            <v>15200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O</v>
          </cell>
          <cell r="I438" t="str">
            <v>Open</v>
          </cell>
          <cell r="J438">
            <v>107692</v>
          </cell>
          <cell r="K438">
            <v>50554</v>
          </cell>
          <cell r="L438">
            <v>0</v>
          </cell>
          <cell r="M438">
            <v>0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HURATIAK, THOMAS</v>
          </cell>
          <cell r="R438" t="str">
            <v>huratiak@jlab.org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  <cell r="O441" t="str">
            <v>METZGER, BERT C</v>
          </cell>
          <cell r="P441" t="str">
            <v>metzger@jlab.org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10650</v>
          </cell>
          <cell r="L442">
            <v>0</v>
          </cell>
          <cell r="M442">
            <v>0</v>
          </cell>
          <cell r="N442" t="str">
            <v>BLDG 55 RM 2531 QSUN</v>
          </cell>
        </row>
        <row r="443">
          <cell r="A443" t="str">
            <v>24-C0141</v>
          </cell>
          <cell r="B443">
            <v>0</v>
          </cell>
          <cell r="C443" t="str">
            <v>S</v>
          </cell>
          <cell r="D443" t="str">
            <v>374218</v>
          </cell>
          <cell r="E443" t="str">
            <v>CEDRIC JACKSON</v>
          </cell>
          <cell r="F443" t="str">
            <v>ORTOOL</v>
          </cell>
          <cell r="G443" t="str">
            <v>OAK RIDGE TOOL-ENG INC</v>
          </cell>
          <cell r="H443" t="str">
            <v>O</v>
          </cell>
          <cell r="I443" t="str">
            <v>Open</v>
          </cell>
          <cell r="J443">
            <v>273616</v>
          </cell>
          <cell r="K443">
            <v>50000</v>
          </cell>
          <cell r="L443">
            <v>50000</v>
          </cell>
          <cell r="M443">
            <v>50000</v>
          </cell>
          <cell r="N443" t="str">
            <v>BLDG 55 RM 2500-88 JLAMON</v>
          </cell>
        </row>
        <row r="444">
          <cell r="A444" t="str">
            <v>24-C0164</v>
          </cell>
          <cell r="B444">
            <v>0</v>
          </cell>
          <cell r="C444" t="str">
            <v>S</v>
          </cell>
          <cell r="D444" t="str">
            <v>T3335</v>
          </cell>
          <cell r="E444" t="str">
            <v>GIUSEPPINA TENBUSCH</v>
          </cell>
          <cell r="F444" t="str">
            <v>ANDDAH</v>
          </cell>
          <cell r="G444" t="str">
            <v>ANDERSON &amp; DAHLEN INC</v>
          </cell>
          <cell r="H444" t="str">
            <v>O</v>
          </cell>
          <cell r="I444" t="str">
            <v>Open</v>
          </cell>
          <cell r="J444">
            <v>1215800</v>
          </cell>
          <cell r="K444">
            <v>243160</v>
          </cell>
          <cell r="L444">
            <v>243160</v>
          </cell>
          <cell r="M444">
            <v>243160</v>
          </cell>
          <cell r="N444" t="str">
            <v>BLDG 55 RM 2500-20 GOPINA</v>
          </cell>
          <cell r="O444" t="str">
            <v>GOPINATH, SANDESH</v>
          </cell>
          <cell r="P444" t="str">
            <v>gopinath@jlab.org</v>
          </cell>
        </row>
        <row r="445">
          <cell r="A445" t="str">
            <v>24-C0184</v>
          </cell>
          <cell r="B445">
            <v>0</v>
          </cell>
          <cell r="C445" t="str">
            <v>S</v>
          </cell>
          <cell r="D445" t="str">
            <v>374019</v>
          </cell>
          <cell r="E445" t="str">
            <v>CONNOR CLARK</v>
          </cell>
          <cell r="F445" t="str">
            <v>KAMATI</v>
          </cell>
          <cell r="G445" t="str">
            <v>KAMATICS CORPORATION</v>
          </cell>
          <cell r="H445" t="str">
            <v>O</v>
          </cell>
          <cell r="I445" t="str">
            <v>Open</v>
          </cell>
          <cell r="J445">
            <v>230260</v>
          </cell>
          <cell r="K445">
            <v>0</v>
          </cell>
          <cell r="L445">
            <v>0</v>
          </cell>
          <cell r="M445">
            <v>0</v>
          </cell>
          <cell r="N445" t="str">
            <v>DAVE KASHY</v>
          </cell>
          <cell r="O445" t="str">
            <v>DION, MICHAEL</v>
          </cell>
          <cell r="P445" t="str">
            <v>dion@jlab.org</v>
          </cell>
        </row>
        <row r="446">
          <cell r="A446" t="str">
            <v>24-C0221</v>
          </cell>
          <cell r="B446">
            <v>0</v>
          </cell>
          <cell r="C446" t="str">
            <v>S</v>
          </cell>
          <cell r="D446" t="str">
            <v>K7103</v>
          </cell>
          <cell r="E446" t="str">
            <v>MICHELE KHASIDIS</v>
          </cell>
          <cell r="F446" t="str">
            <v>GENATO</v>
          </cell>
          <cell r="G446" t="str">
            <v>GENERAL ATOMICS</v>
          </cell>
          <cell r="H446" t="str">
            <v>O</v>
          </cell>
          <cell r="I446" t="str">
            <v>Open</v>
          </cell>
          <cell r="J446">
            <v>64000</v>
          </cell>
          <cell r="K446">
            <v>0</v>
          </cell>
          <cell r="L446">
            <v>0</v>
          </cell>
          <cell r="M446">
            <v>0</v>
          </cell>
          <cell r="N446" t="str">
            <v>BLDG 58 RM 2218 GCIOVATI</v>
          </cell>
        </row>
        <row r="447">
          <cell r="A447" t="str">
            <v>24-C0282</v>
          </cell>
          <cell r="B447">
            <v>0</v>
          </cell>
          <cell r="C447" t="str">
            <v>S</v>
          </cell>
          <cell r="D447" t="str">
            <v>374218</v>
          </cell>
          <cell r="E447" t="str">
            <v>CEDRIC JACKSON</v>
          </cell>
          <cell r="F447" t="str">
            <v>MAJORT</v>
          </cell>
          <cell r="G447" t="str">
            <v>MAJOR TOOL &amp; MACHINE INC</v>
          </cell>
          <cell r="H447" t="str">
            <v>O</v>
          </cell>
          <cell r="I447" t="str">
            <v>Open</v>
          </cell>
          <cell r="J447">
            <v>124045</v>
          </cell>
          <cell r="K447">
            <v>0</v>
          </cell>
          <cell r="L447">
            <v>0</v>
          </cell>
          <cell r="M447">
            <v>0</v>
          </cell>
          <cell r="N447" t="str">
            <v>BLDG 12 RM A120 MEEKINS</v>
          </cell>
        </row>
        <row r="448">
          <cell r="A448" t="str">
            <v>24-C0335</v>
          </cell>
          <cell r="B448">
            <v>0</v>
          </cell>
          <cell r="C448" t="str">
            <v>S</v>
          </cell>
          <cell r="D448" t="str">
            <v>H3243</v>
          </cell>
          <cell r="E448" t="str">
            <v>THOMAS HURATIAK</v>
          </cell>
          <cell r="F448" t="str">
            <v>QUANTD</v>
          </cell>
          <cell r="G448" t="str">
            <v>QUANTUM DESIGN INC</v>
          </cell>
          <cell r="H448" t="str">
            <v>O</v>
          </cell>
          <cell r="I448" t="str">
            <v>Open</v>
          </cell>
          <cell r="J448">
            <v>749240</v>
          </cell>
          <cell r="K448">
            <v>67431.600000000006</v>
          </cell>
          <cell r="L448">
            <v>0</v>
          </cell>
          <cell r="M448">
            <v>0</v>
          </cell>
          <cell r="N448" t="str">
            <v>BLDG 58 RM 2213 VALENTE</v>
          </cell>
          <cell r="O448" t="str">
            <v>VALENTE-FELICIANO, ANNE-M</v>
          </cell>
          <cell r="P448" t="str">
            <v>valente@jlab.org</v>
          </cell>
          <cell r="Q448" t="str">
            <v>HURATIAK, THOMAS</v>
          </cell>
          <cell r="R448" t="str">
            <v>huratiak@jlab.org</v>
          </cell>
        </row>
        <row r="449">
          <cell r="A449" t="str">
            <v>24-C0387</v>
          </cell>
          <cell r="B449">
            <v>0</v>
          </cell>
          <cell r="C449" t="str">
            <v>S</v>
          </cell>
          <cell r="D449" t="str">
            <v>K7103</v>
          </cell>
          <cell r="E449" t="str">
            <v>MICHELE KHASIDIS</v>
          </cell>
          <cell r="F449" t="str">
            <v>UNITE5</v>
          </cell>
          <cell r="G449" t="str">
            <v>UNIVERSITY OF TENNESSEE</v>
          </cell>
          <cell r="H449" t="str">
            <v>O</v>
          </cell>
          <cell r="I449" t="str">
            <v>Open</v>
          </cell>
          <cell r="J449">
            <v>30935.31</v>
          </cell>
          <cell r="K449">
            <v>3418.99</v>
          </cell>
          <cell r="L449">
            <v>0</v>
          </cell>
          <cell r="M449">
            <v>0</v>
          </cell>
          <cell r="N449" t="str">
            <v>BLDG 12 RM F248 FRAITES</v>
          </cell>
          <cell r="O449" t="str">
            <v>STEWART, TANYA-GAYE N</v>
          </cell>
          <cell r="P449" t="str">
            <v>fraites@jlab.org</v>
          </cell>
        </row>
        <row r="450">
          <cell r="A450" t="str">
            <v>24-C0397</v>
          </cell>
          <cell r="B450">
            <v>0</v>
          </cell>
          <cell r="C450" t="str">
            <v>S</v>
          </cell>
          <cell r="D450" t="str">
            <v>K7103</v>
          </cell>
          <cell r="E450" t="str">
            <v>MICHELE KHASIDIS</v>
          </cell>
          <cell r="F450" t="str">
            <v>GENATO</v>
          </cell>
          <cell r="G450" t="str">
            <v>GENERAL ATOMICS</v>
          </cell>
          <cell r="H450" t="str">
            <v>O</v>
          </cell>
          <cell r="I450" t="str">
            <v>Open</v>
          </cell>
          <cell r="J450">
            <v>275000</v>
          </cell>
          <cell r="K450">
            <v>0</v>
          </cell>
          <cell r="L450">
            <v>0</v>
          </cell>
          <cell r="M450">
            <v>0</v>
          </cell>
          <cell r="N450" t="str">
            <v>BLDG 58 RM 2218 GCIOVATI</v>
          </cell>
        </row>
        <row r="451">
          <cell r="A451" t="str">
            <v>24-C0460</v>
          </cell>
          <cell r="B451">
            <v>0</v>
          </cell>
          <cell r="C451" t="str">
            <v>S</v>
          </cell>
          <cell r="D451" t="str">
            <v>T3153</v>
          </cell>
          <cell r="E451" t="str">
            <v>MELISSA TORRES</v>
          </cell>
          <cell r="F451" t="str">
            <v>LANCAS</v>
          </cell>
          <cell r="G451" t="str">
            <v>LANCASTER UNIVERSITY</v>
          </cell>
          <cell r="H451" t="str">
            <v>O</v>
          </cell>
          <cell r="I451" t="str">
            <v>Open</v>
          </cell>
          <cell r="J451">
            <v>464252.68</v>
          </cell>
          <cell r="K451">
            <v>0</v>
          </cell>
          <cell r="L451">
            <v>0</v>
          </cell>
          <cell r="M451">
            <v>0</v>
          </cell>
          <cell r="N451" t="str">
            <v>EDWARD DALY</v>
          </cell>
          <cell r="O451" t="str">
            <v>FAST, JAMES E</v>
          </cell>
          <cell r="P451" t="str">
            <v>jfast@jlab.org</v>
          </cell>
          <cell r="Q451" t="str">
            <v>WILSON, KATHERINE M</v>
          </cell>
          <cell r="R451" t="str">
            <v>kwilson@jlab.org</v>
          </cell>
        </row>
        <row r="452">
          <cell r="A452" t="str">
            <v>24-C0512</v>
          </cell>
          <cell r="B452">
            <v>0</v>
          </cell>
          <cell r="C452" t="str">
            <v>S</v>
          </cell>
          <cell r="D452" t="str">
            <v>T3335</v>
          </cell>
          <cell r="E452" t="str">
            <v>GIUSEPPINA TENBUSCH</v>
          </cell>
          <cell r="F452" t="str">
            <v>INFN</v>
          </cell>
          <cell r="G452" t="str">
            <v xml:space="preserve">INFN  ISTITUTO NAZIONALE </v>
          </cell>
          <cell r="H452" t="str">
            <v>O</v>
          </cell>
          <cell r="I452" t="str">
            <v>Open</v>
          </cell>
          <cell r="J452">
            <v>415000</v>
          </cell>
          <cell r="K452">
            <v>0</v>
          </cell>
          <cell r="L452">
            <v>0</v>
          </cell>
          <cell r="M452">
            <v>0</v>
          </cell>
          <cell r="N452" t="str">
            <v>BLDG 12 RM F315A ENT</v>
          </cell>
        </row>
        <row r="453">
          <cell r="A453" t="str">
            <v>24-D0168</v>
          </cell>
          <cell r="B453">
            <v>0</v>
          </cell>
          <cell r="C453" t="str">
            <v>S</v>
          </cell>
          <cell r="D453" t="str">
            <v>W3869</v>
          </cell>
          <cell r="E453" t="str">
            <v>SHARON WILLIAMS</v>
          </cell>
          <cell r="F453" t="str">
            <v>WARWIC</v>
          </cell>
          <cell r="G453" t="str">
            <v>WARWICK PLUMBING&amp;HEATING</v>
          </cell>
          <cell r="H453" t="str">
            <v>O</v>
          </cell>
          <cell r="I453" t="str">
            <v>Open</v>
          </cell>
          <cell r="J453">
            <v>190263</v>
          </cell>
          <cell r="K453">
            <v>68733.259999999995</v>
          </cell>
          <cell r="L453">
            <v>68723.850000000006</v>
          </cell>
          <cell r="M453">
            <v>68723.850000000006</v>
          </cell>
          <cell r="N453" t="str">
            <v>BLDG 28 RM 6 MAYNARDB</v>
          </cell>
          <cell r="O453" t="str">
            <v>BROWN, MAYNARD</v>
          </cell>
          <cell r="P453" t="str">
            <v>maynardb@jlab.org</v>
          </cell>
          <cell r="Q453" t="str">
            <v>SMITH, CORRY E</v>
          </cell>
          <cell r="R453" t="str">
            <v>csmith@jlab.org</v>
          </cell>
        </row>
        <row r="454">
          <cell r="A454" t="str">
            <v>24-D0247</v>
          </cell>
          <cell r="B454">
            <v>0</v>
          </cell>
          <cell r="C454" t="str">
            <v>S</v>
          </cell>
          <cell r="D454" t="str">
            <v>H3243</v>
          </cell>
          <cell r="E454" t="str">
            <v>THOMAS HURATIAK</v>
          </cell>
          <cell r="F454" t="str">
            <v>ECBSOL</v>
          </cell>
          <cell r="G454" t="str">
            <v>ECB SOLUTIONS LLC</v>
          </cell>
          <cell r="H454" t="str">
            <v>O</v>
          </cell>
          <cell r="I454" t="str">
            <v>Open</v>
          </cell>
          <cell r="J454">
            <v>190714</v>
          </cell>
          <cell r="K454">
            <v>37500</v>
          </cell>
          <cell r="L454">
            <v>0</v>
          </cell>
          <cell r="M454">
            <v>0</v>
          </cell>
          <cell r="N454" t="str">
            <v>BLDG 28 RM 62 POWERSP</v>
          </cell>
          <cell r="O454" t="str">
            <v>WILLOUGHBY, JASON</v>
          </cell>
          <cell r="P454" t="str">
            <v>jasonw@jlab.org</v>
          </cell>
          <cell r="Q454" t="str">
            <v>HURATIAK, THOMAS</v>
          </cell>
          <cell r="R454" t="str">
            <v>huratiak@jlab.org</v>
          </cell>
        </row>
        <row r="455">
          <cell r="A455" t="str">
            <v>24-D0253</v>
          </cell>
          <cell r="B455">
            <v>0</v>
          </cell>
          <cell r="C455" t="str">
            <v>S</v>
          </cell>
          <cell r="D455" t="str">
            <v>T3334</v>
          </cell>
          <cell r="E455" t="str">
            <v>BRITTANY TOLBERT</v>
          </cell>
          <cell r="F455" t="str">
            <v>SYRACU</v>
          </cell>
          <cell r="G455" t="str">
            <v>SYRACUSE UNIVERSITY</v>
          </cell>
          <cell r="H455" t="str">
            <v>O</v>
          </cell>
          <cell r="I455" t="str">
            <v>Open</v>
          </cell>
          <cell r="J455">
            <v>62790</v>
          </cell>
          <cell r="K455">
            <v>10467.09</v>
          </cell>
          <cell r="L455">
            <v>0</v>
          </cell>
          <cell r="M455">
            <v>0</v>
          </cell>
          <cell r="N455" t="str">
            <v>BLDG 12 RM F248 FRAITES</v>
          </cell>
          <cell r="O455" t="str">
            <v>STEWART, TANYA-GAYE N</v>
          </cell>
          <cell r="P455" t="str">
            <v>fraites@jlab.org</v>
          </cell>
        </row>
        <row r="456">
          <cell r="A456" t="str">
            <v>24-D0258</v>
          </cell>
          <cell r="B456">
            <v>0</v>
          </cell>
          <cell r="C456" t="str">
            <v>S</v>
          </cell>
          <cell r="D456" t="str">
            <v>T3153</v>
          </cell>
          <cell r="E456" t="str">
            <v>MELISSA TORRES</v>
          </cell>
          <cell r="F456" t="str">
            <v>GENATO</v>
          </cell>
          <cell r="G456" t="str">
            <v>GENERAL ATOMICS</v>
          </cell>
          <cell r="H456" t="str">
            <v>O</v>
          </cell>
          <cell r="I456" t="str">
            <v>Open</v>
          </cell>
          <cell r="J456">
            <v>82000</v>
          </cell>
          <cell r="K456">
            <v>0</v>
          </cell>
          <cell r="L456">
            <v>0</v>
          </cell>
          <cell r="M456">
            <v>0</v>
          </cell>
          <cell r="N456" t="str">
            <v>BLDG 58 RM 2232 HAIPENG</v>
          </cell>
          <cell r="O456" t="str">
            <v>WANG, HAIPENG</v>
          </cell>
          <cell r="P456" t="str">
            <v>haipeng@jlab.org</v>
          </cell>
        </row>
        <row r="457">
          <cell r="A457" t="str">
            <v>24-D0309</v>
          </cell>
          <cell r="B457">
            <v>0</v>
          </cell>
          <cell r="C457" t="str">
            <v>S</v>
          </cell>
          <cell r="D457" t="str">
            <v>K7103</v>
          </cell>
          <cell r="E457" t="str">
            <v>MICHELE KHASIDIS</v>
          </cell>
          <cell r="F457" t="str">
            <v>UVA</v>
          </cell>
          <cell r="G457" t="str">
            <v>UNIVERSITY OF VIRGINIA</v>
          </cell>
          <cell r="H457" t="str">
            <v>O</v>
          </cell>
          <cell r="I457" t="str">
            <v>Open</v>
          </cell>
          <cell r="J457">
            <v>119472</v>
          </cell>
          <cell r="K457">
            <v>14170</v>
          </cell>
          <cell r="L457">
            <v>0</v>
          </cell>
          <cell r="M457">
            <v>0</v>
          </cell>
          <cell r="N457" t="str">
            <v>BLDG 12 RM F248 FRAITES</v>
          </cell>
          <cell r="O457" t="str">
            <v>STEWART, TANYA-GAYE N</v>
          </cell>
          <cell r="P457" t="str">
            <v>fraites@jlab.org</v>
          </cell>
        </row>
        <row r="458">
          <cell r="A458" t="str">
            <v>24-D0362</v>
          </cell>
          <cell r="B458">
            <v>0</v>
          </cell>
          <cell r="C458" t="str">
            <v>S</v>
          </cell>
          <cell r="D458" t="str">
            <v>374019</v>
          </cell>
          <cell r="E458" t="str">
            <v>CONNOR CLARK</v>
          </cell>
          <cell r="F458" t="str">
            <v>LINDEG</v>
          </cell>
          <cell r="G458" t="str">
            <v>LINDE GMBH</v>
          </cell>
          <cell r="H458" t="str">
            <v>O</v>
          </cell>
          <cell r="I458" t="str">
            <v>Open</v>
          </cell>
          <cell r="J458">
            <v>158900.42000000001</v>
          </cell>
          <cell r="K458">
            <v>27013.07</v>
          </cell>
          <cell r="L458">
            <v>27013.07</v>
          </cell>
          <cell r="M458">
            <v>27013.07</v>
          </cell>
          <cell r="N458" t="str">
            <v>BLDG 89 RM 110-6 BRIANM</v>
          </cell>
        </row>
        <row r="459">
          <cell r="A459" t="str">
            <v>24-D0462</v>
          </cell>
          <cell r="B459">
            <v>0</v>
          </cell>
          <cell r="C459" t="str">
            <v>S</v>
          </cell>
          <cell r="D459" t="str">
            <v>378935</v>
          </cell>
          <cell r="E459" t="str">
            <v>HOPE POWELL</v>
          </cell>
          <cell r="F459" t="str">
            <v>THECAT</v>
          </cell>
          <cell r="G459" t="str">
            <v xml:space="preserve">THE CATHOLIC UNIVERSITY  </v>
          </cell>
          <cell r="H459" t="str">
            <v>O</v>
          </cell>
          <cell r="I459" t="str">
            <v>Open</v>
          </cell>
          <cell r="J459">
            <v>5203.08</v>
          </cell>
          <cell r="K459">
            <v>0</v>
          </cell>
          <cell r="L459">
            <v>0</v>
          </cell>
          <cell r="M459">
            <v>0</v>
          </cell>
          <cell r="N459" t="str">
            <v>BLDG 12 RM F248 FRAITES</v>
          </cell>
        </row>
        <row r="460">
          <cell r="A460" t="str">
            <v>24-D0516</v>
          </cell>
          <cell r="B460">
            <v>0</v>
          </cell>
          <cell r="C460" t="str">
            <v>S</v>
          </cell>
          <cell r="D460" t="str">
            <v>T3153</v>
          </cell>
          <cell r="E460" t="str">
            <v>MELISSA TORRES</v>
          </cell>
          <cell r="F460" t="str">
            <v>STISUP</v>
          </cell>
          <cell r="G460" t="str">
            <v>STICHTING SUPERACT</v>
          </cell>
          <cell r="H460" t="str">
            <v>O</v>
          </cell>
          <cell r="I460" t="str">
            <v>Open</v>
          </cell>
          <cell r="J460">
            <v>159600</v>
          </cell>
          <cell r="K460">
            <v>0</v>
          </cell>
          <cell r="L460">
            <v>0</v>
          </cell>
          <cell r="M460">
            <v>0</v>
          </cell>
          <cell r="N460" t="str">
            <v>BLDG 55 RM 2500-20 GOPINA</v>
          </cell>
        </row>
        <row r="461">
          <cell r="A461" t="str">
            <v>Overall - Summary</v>
          </cell>
          <cell r="J461">
            <v>357586228.72000003</v>
          </cell>
          <cell r="K461">
            <v>344976770.24000001</v>
          </cell>
          <cell r="L461">
            <v>343427070.31999999</v>
          </cell>
          <cell r="M461">
            <v>343426753.74000001</v>
          </cell>
        </row>
        <row r="462">
          <cell r="A462" t="str">
            <v>/content/folder[@name='Production']/folder[@name='Common Reports']/folder[@name='General Access']/folder[@name='Procurement']/report[@name='Subcontract PO Status Export']</v>
          </cell>
        </row>
        <row r="463">
          <cell r="A463" t="str">
            <v>/content/folder[@name='Production']/folder[@name='Packages']/folder[@name='General Access']/package[@name='Purchasing CP']/model[@name='2020-06-25T11:36:22.174Z']</v>
          </cell>
        </row>
        <row r="465">
          <cell r="A465" t="str">
            <v>February 14, 2024 : 10:54:46 AM</v>
          </cell>
          <cell r="J465" t="str">
            <v>Page: 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5A93-F818-473D-9AFD-ACC685D78BED}">
  <sheetPr>
    <tabColor theme="4" tint="0.39997558519241921"/>
  </sheetPr>
  <dimension ref="A1:N31"/>
  <sheetViews>
    <sheetView topLeftCell="B1" zoomScale="80" zoomScaleNormal="80" workbookViewId="0">
      <selection activeCell="M3" sqref="M3:M21"/>
    </sheetView>
  </sheetViews>
  <sheetFormatPr defaultRowHeight="14.4" x14ac:dyDescent="0.3"/>
  <cols>
    <col min="1" max="1" width="15.77734375" style="6" customWidth="1"/>
    <col min="2" max="2" width="11.77734375" style="6" customWidth="1"/>
    <col min="3" max="3" width="30.44140625" style="6" bestFit="1" customWidth="1"/>
    <col min="4" max="8" width="13.77734375" style="6" customWidth="1"/>
    <col min="9" max="9" width="23.77734375" style="6" customWidth="1"/>
    <col min="10" max="10" width="22.44140625" style="6" customWidth="1"/>
    <col min="11" max="11" width="26" style="6" customWidth="1"/>
    <col min="12" max="12" width="24" style="6" customWidth="1"/>
    <col min="13" max="13" width="21.21875" style="6" customWidth="1"/>
    <col min="14" max="14" width="19.88671875" style="6" customWidth="1"/>
    <col min="15" max="16384" width="8.88671875" style="6"/>
  </cols>
  <sheetData>
    <row r="1" spans="1:14" ht="22.8" x14ac:dyDescent="0.4">
      <c r="A1" s="1" t="s">
        <v>0</v>
      </c>
      <c r="B1" s="2"/>
      <c r="C1" s="2"/>
      <c r="D1" s="2"/>
      <c r="E1" s="3" t="s">
        <v>1</v>
      </c>
      <c r="F1" s="4">
        <v>45266</v>
      </c>
      <c r="G1" s="2"/>
      <c r="H1" s="2"/>
      <c r="I1" s="2"/>
      <c r="J1" s="4"/>
      <c r="K1" s="5"/>
      <c r="L1" s="5"/>
    </row>
    <row r="2" spans="1:14" ht="54.6" thickBot="1" x14ac:dyDescent="0.3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 t="s">
        <v>11</v>
      </c>
      <c r="K2" s="8" t="s">
        <v>12</v>
      </c>
      <c r="L2" s="9" t="s">
        <v>13</v>
      </c>
      <c r="M2" s="8" t="s">
        <v>14</v>
      </c>
      <c r="N2" s="7" t="s">
        <v>15</v>
      </c>
    </row>
    <row r="3" spans="1:14" ht="36" x14ac:dyDescent="0.35">
      <c r="A3" s="10" t="s">
        <v>16</v>
      </c>
      <c r="B3" s="11" t="s">
        <v>17</v>
      </c>
      <c r="C3" s="10" t="s">
        <v>18</v>
      </c>
      <c r="D3" s="12">
        <f>VLOOKUP(A3,[1]CER_SubK_PO_Status!A:N,10,FALSE)/1000</f>
        <v>532.5</v>
      </c>
      <c r="E3" s="13">
        <f>VLOOKUP(A3,[1]CER_SubK_PO_Status!A:N,11,FALSE)/1000</f>
        <v>10.65</v>
      </c>
      <c r="F3" s="13">
        <f>VLOOKUP(A3,[1]CER_SubK_PO_Status!A:N,12,FALSE)/1000</f>
        <v>0</v>
      </c>
      <c r="G3" s="13">
        <f t="shared" ref="G3:G21" si="0">D3-E3</f>
        <v>521.85</v>
      </c>
      <c r="H3" s="13">
        <f t="shared" ref="H3:H21" si="1">D3-F3</f>
        <v>532.5</v>
      </c>
      <c r="I3" s="11" t="str">
        <f>VLOOKUP(A3,[1]CER_SubK_PO_Status!A:N,5,FALSE)</f>
        <v>GIUSEPPINA TENBUSCH</v>
      </c>
      <c r="J3" s="14" t="str">
        <f>IF(VLOOKUP(A3,[1]CER_SubK_PO_Status!A:R,15,FALSE)=0,"",VLOOKUP(A3,[1]CER_SubK_PO_Status!A:R,15,FALSE))</f>
        <v/>
      </c>
      <c r="K3" s="14" t="str">
        <f>IF(VLOOKUP(A3,[1]CER_SubK_PO_Status!A:R,17,FALSE)=0,"",VLOOKUP(A3,[1]CER_SubK_PO_Status!A:R,17,FALSE))</f>
        <v/>
      </c>
      <c r="L3" s="15" t="s">
        <v>19</v>
      </c>
      <c r="M3" s="14" t="str">
        <f>IF(VLOOKUP(A3,[1]CER_SubK_PO_Status!A:R,18,FALSE)=0,"",VLOOKUP(A3,[1]CER_SubK_PO_Status!A:R,18,FALSE))</f>
        <v/>
      </c>
      <c r="N3" s="16"/>
    </row>
    <row r="4" spans="1:14" ht="36" x14ac:dyDescent="0.35">
      <c r="A4" s="17" t="s">
        <v>20</v>
      </c>
      <c r="B4" s="18" t="s">
        <v>17</v>
      </c>
      <c r="C4" s="19" t="s">
        <v>18</v>
      </c>
      <c r="D4" s="12">
        <f>VLOOKUP(A4,[1]CER_SubK_PO_Status!A:N,10,FALSE)/1000</f>
        <v>1215.8</v>
      </c>
      <c r="E4" s="13">
        <f>VLOOKUP(A4,[1]CER_SubK_PO_Status!A:N,11,FALSE)/1000</f>
        <v>243.16</v>
      </c>
      <c r="F4" s="13">
        <f>VLOOKUP(A4,[1]CER_SubK_PO_Status!A:N,12,FALSE)/1000</f>
        <v>243.16</v>
      </c>
      <c r="G4" s="13">
        <f t="shared" si="0"/>
        <v>972.64</v>
      </c>
      <c r="H4" s="13">
        <f t="shared" si="1"/>
        <v>972.64</v>
      </c>
      <c r="I4" s="11" t="str">
        <f>VLOOKUP(A4,[1]CER_SubK_PO_Status!A:N,5,FALSE)</f>
        <v>GIUSEPPINA TENBUSCH</v>
      </c>
      <c r="J4" s="14" t="str">
        <f>IF(VLOOKUP(A4,[1]CER_SubK_PO_Status!A:R,15,FALSE)=0,"",VLOOKUP(A4,[1]CER_SubK_PO_Status!A:R,15,FALSE))</f>
        <v>GOPINATH, SANDESH</v>
      </c>
      <c r="K4" s="20" t="str">
        <f>IF(VLOOKUP(A4,[1]CER_SubK_PO_Status!A:R,17,FALSE)=0,"",VLOOKUP(A4,[1]CER_SubK_PO_Status!A:R,17,FALSE))</f>
        <v/>
      </c>
      <c r="L4" s="10" t="s">
        <v>21</v>
      </c>
      <c r="M4" s="21" t="str">
        <f>IF(VLOOKUP(A4,[1]CER_SubK_PO_Status!A:R,18,FALSE)=0,"",VLOOKUP(A4,[1]CER_SubK_PO_Status!A:R,18,FALSE))</f>
        <v/>
      </c>
      <c r="N4" s="16"/>
    </row>
    <row r="5" spans="1:14" ht="36" x14ac:dyDescent="0.3">
      <c r="A5" s="11" t="s">
        <v>22</v>
      </c>
      <c r="B5" s="11" t="s">
        <v>17</v>
      </c>
      <c r="C5" s="22" t="s">
        <v>23</v>
      </c>
      <c r="D5" s="13">
        <f>VLOOKUP(A5,[1]CER_SubK_PO_Status!A:N,10,FALSE)/1000</f>
        <v>190.714</v>
      </c>
      <c r="E5" s="13">
        <f>VLOOKUP(A5,[1]CER_SubK_PO_Status!A:N,11,FALSE)/1000</f>
        <v>37.5</v>
      </c>
      <c r="F5" s="13">
        <f>VLOOKUP(A5,[1]CER_SubK_PO_Status!A:N,12,FALSE)/1000</f>
        <v>0</v>
      </c>
      <c r="G5" s="13">
        <f t="shared" si="0"/>
        <v>153.214</v>
      </c>
      <c r="H5" s="13">
        <f t="shared" si="1"/>
        <v>190.714</v>
      </c>
      <c r="I5" s="11" t="str">
        <f>VLOOKUP(A5,[1]CER_SubK_PO_Status!A:N,5,FALSE)</f>
        <v>THOMAS HURATIAK</v>
      </c>
      <c r="J5" s="14" t="str">
        <f>IF(VLOOKUP(A5,[1]CER_SubK_PO_Status!A:R,15,FALSE)=0,"",VLOOKUP(A5,[1]CER_SubK_PO_Status!A:R,15,FALSE))</f>
        <v>WILLOUGHBY, JASON</v>
      </c>
      <c r="K5" s="14" t="str">
        <f>IF(VLOOKUP(A5,[1]CER_SubK_PO_Status!A:R,17,FALSE)=0,"",VLOOKUP(A5,[1]CER_SubK_PO_Status!A:R,17,FALSE))</f>
        <v>HURATIAK, THOMAS</v>
      </c>
      <c r="L5" s="14" t="str">
        <f>IF(VLOOKUP(A5,[1]CER_SubK_PO_Status!A:R,16,FALSE)=0,"",VLOOKUP(A5,[1]CER_SubK_PO_Status!A:R,16,FALSE))</f>
        <v>jasonw@jlab.org</v>
      </c>
      <c r="M5" s="14" t="str">
        <f>IF(VLOOKUP(A5,[1]CER_SubK_PO_Status!A:R,18,FALSE)=0,"",VLOOKUP(A5,[1]CER_SubK_PO_Status!A:R,18,FALSE))</f>
        <v>huratiak@jlab.org</v>
      </c>
      <c r="N5" s="11"/>
    </row>
    <row r="6" spans="1:14" ht="18" x14ac:dyDescent="0.3">
      <c r="A6" s="11" t="s">
        <v>24</v>
      </c>
      <c r="B6" s="11" t="s">
        <v>17</v>
      </c>
      <c r="C6" s="22" t="s">
        <v>25</v>
      </c>
      <c r="D6" s="13">
        <f>VLOOKUP(A6,[1]CER_SubK_PO_Status!A:N,10,FALSE)/1000</f>
        <v>64</v>
      </c>
      <c r="E6" s="13">
        <f>VLOOKUP(A6,[1]CER_SubK_PO_Status!A:N,11,FALSE)/1000</f>
        <v>0</v>
      </c>
      <c r="F6" s="13">
        <f>VLOOKUP(A6,[1]CER_SubK_PO_Status!A:N,12,FALSE)/1000</f>
        <v>0</v>
      </c>
      <c r="G6" s="13">
        <f t="shared" si="0"/>
        <v>64</v>
      </c>
      <c r="H6" s="13">
        <f t="shared" si="1"/>
        <v>64</v>
      </c>
      <c r="I6" s="11" t="str">
        <f>VLOOKUP(A6,[1]CER_SubK_PO_Status!A:N,5,FALSE)</f>
        <v>MICHELE KHASIDIS</v>
      </c>
      <c r="J6" s="14" t="str">
        <f>IF(VLOOKUP(A6,[1]CER_SubK_PO_Status!A:R,15,FALSE)=0,"",VLOOKUP(A6,[1]CER_SubK_PO_Status!A:R,15,FALSE))</f>
        <v/>
      </c>
      <c r="K6" s="14" t="str">
        <f>IF(VLOOKUP(A6,[1]CER_SubK_PO_Status!A:R,17,FALSE)=0,"",VLOOKUP(A6,[1]CER_SubK_PO_Status!A:R,17,FALSE))</f>
        <v/>
      </c>
      <c r="L6" s="23" t="s">
        <v>26</v>
      </c>
      <c r="M6" s="14" t="str">
        <f>IF(VLOOKUP(A6,[1]CER_SubK_PO_Status!A:R,18,FALSE)=0,"",VLOOKUP(A6,[1]CER_SubK_PO_Status!A:R,18,FALSE))</f>
        <v/>
      </c>
      <c r="N6" s="11"/>
    </row>
    <row r="7" spans="1:14" ht="18" x14ac:dyDescent="0.3">
      <c r="A7" s="11" t="s">
        <v>27</v>
      </c>
      <c r="B7" s="11" t="s">
        <v>17</v>
      </c>
      <c r="C7" s="22" t="s">
        <v>25</v>
      </c>
      <c r="D7" s="13">
        <f>VLOOKUP(A7,[1]CER_SubK_PO_Status!A:N,10,FALSE)/1000</f>
        <v>275</v>
      </c>
      <c r="E7" s="13">
        <f>VLOOKUP(A7,[1]CER_SubK_PO_Status!A:N,11,FALSE)/1000</f>
        <v>0</v>
      </c>
      <c r="F7" s="13">
        <f>VLOOKUP(A7,[1]CER_SubK_PO_Status!A:N,12,FALSE)/1000</f>
        <v>0</v>
      </c>
      <c r="G7" s="13">
        <f t="shared" si="0"/>
        <v>275</v>
      </c>
      <c r="H7" s="13">
        <f t="shared" si="1"/>
        <v>275</v>
      </c>
      <c r="I7" s="11" t="str">
        <f>VLOOKUP(A7,[1]CER_SubK_PO_Status!A:N,5,FALSE)</f>
        <v>MICHELE KHASIDIS</v>
      </c>
      <c r="J7" s="14" t="str">
        <f>IF(VLOOKUP(A7,[1]CER_SubK_PO_Status!A:R,15,FALSE)=0,"",VLOOKUP(A7,[1]CER_SubK_PO_Status!A:R,15,FALSE))</f>
        <v/>
      </c>
      <c r="K7" s="14" t="str">
        <f>IF(VLOOKUP(A7,[1]CER_SubK_PO_Status!A:R,17,FALSE)=0,"",VLOOKUP(A7,[1]CER_SubK_PO_Status!A:R,17,FALSE))</f>
        <v/>
      </c>
      <c r="L7" s="23" t="s">
        <v>26</v>
      </c>
      <c r="M7" s="14" t="str">
        <f>IF(VLOOKUP(A7,[1]CER_SubK_PO_Status!A:R,18,FALSE)=0,"",VLOOKUP(A7,[1]CER_SubK_PO_Status!A:R,18,FALSE))</f>
        <v/>
      </c>
      <c r="N7" s="11"/>
    </row>
    <row r="8" spans="1:14" ht="18" x14ac:dyDescent="0.3">
      <c r="A8" s="11" t="s">
        <v>28</v>
      </c>
      <c r="B8" s="11" t="s">
        <v>17</v>
      </c>
      <c r="C8" s="22" t="s">
        <v>25</v>
      </c>
      <c r="D8" s="13">
        <f>VLOOKUP(A8,[1]CER_SubK_PO_Status!A:N,10,FALSE)/1000</f>
        <v>82</v>
      </c>
      <c r="E8" s="13">
        <f>VLOOKUP(A8,[1]CER_SubK_PO_Status!A:N,11,FALSE)/1000</f>
        <v>0</v>
      </c>
      <c r="F8" s="13">
        <f>VLOOKUP(A8,[1]CER_SubK_PO_Status!A:N,12,FALSE)/1000</f>
        <v>0</v>
      </c>
      <c r="G8" s="13">
        <f t="shared" si="0"/>
        <v>82</v>
      </c>
      <c r="H8" s="13">
        <f t="shared" si="1"/>
        <v>82</v>
      </c>
      <c r="I8" s="11" t="str">
        <f>VLOOKUP(A8,[1]CER_SubK_PO_Status!A:N,5,FALSE)</f>
        <v>MELISSA TORRES</v>
      </c>
      <c r="J8" s="14" t="str">
        <f>IF(VLOOKUP(A8,[1]CER_SubK_PO_Status!A:R,15,FALSE)=0,"",VLOOKUP(A8,[1]CER_SubK_PO_Status!A:R,15,FALSE))</f>
        <v>WANG, HAIPENG</v>
      </c>
      <c r="K8" s="14" t="str">
        <f>IF(VLOOKUP(A8,[1]CER_SubK_PO_Status!A:R,17,FALSE)=0,"",VLOOKUP(A8,[1]CER_SubK_PO_Status!A:R,17,FALSE))</f>
        <v/>
      </c>
      <c r="L8" s="14" t="str">
        <f>IF(VLOOKUP(A8,[1]CER_SubK_PO_Status!A:R,16,FALSE)=0,"",VLOOKUP(A8,[1]CER_SubK_PO_Status!A:R,16,FALSE))</f>
        <v>haipeng@jlab.org</v>
      </c>
      <c r="M8" s="14" t="str">
        <f>IF(VLOOKUP(A8,[1]CER_SubK_PO_Status!A:R,18,FALSE)=0,"",VLOOKUP(A8,[1]CER_SubK_PO_Status!A:R,18,FALSE))</f>
        <v/>
      </c>
      <c r="N8" s="11"/>
    </row>
    <row r="9" spans="1:14" ht="36" x14ac:dyDescent="0.3">
      <c r="A9" s="11" t="s">
        <v>29</v>
      </c>
      <c r="B9" s="11" t="s">
        <v>17</v>
      </c>
      <c r="C9" s="22" t="s">
        <v>30</v>
      </c>
      <c r="D9" s="13">
        <f>VLOOKUP(A9,[1]CER_SubK_PO_Status!A:N,10,FALSE)/1000</f>
        <v>148.62299999999999</v>
      </c>
      <c r="E9" s="13">
        <f>VLOOKUP(A9,[1]CER_SubK_PO_Status!A:N,11,FALSE)/1000</f>
        <v>118.8984</v>
      </c>
      <c r="F9" s="13">
        <f>VLOOKUP(A9,[1]CER_SubK_PO_Status!A:N,12,FALSE)/1000</f>
        <v>118.8984</v>
      </c>
      <c r="G9" s="13">
        <f t="shared" si="0"/>
        <v>29.724599999999995</v>
      </c>
      <c r="H9" s="13">
        <f t="shared" si="1"/>
        <v>29.724599999999995</v>
      </c>
      <c r="I9" s="11" t="str">
        <f>VLOOKUP(A9,[1]CER_SubK_PO_Status!A:N,5,FALSE)</f>
        <v>CONNOR CLARK</v>
      </c>
      <c r="J9" s="14" t="str">
        <f>IF(VLOOKUP(A9,[1]CER_SubK_PO_Status!A:R,15,FALSE)=0,"",VLOOKUP(A9,[1]CER_SubK_PO_Status!A:R,15,FALSE))</f>
        <v>SUN, QIULI</v>
      </c>
      <c r="K9" s="14" t="str">
        <f>IF(VLOOKUP(A9,[1]CER_SubK_PO_Status!A:R,17,FALSE)=0,"",VLOOKUP(A9,[1]CER_SubK_PO_Status!A:R,17,FALSE))</f>
        <v>CLARK, CONNOR</v>
      </c>
      <c r="L9" s="15" t="s">
        <v>31</v>
      </c>
      <c r="M9" s="14" t="str">
        <f>IF(VLOOKUP(A9,[1]CER_SubK_PO_Status!A:R,18,FALSE)=0,"",VLOOKUP(A9,[1]CER_SubK_PO_Status!A:R,18,FALSE))</f>
        <v>cclark@jlab.org</v>
      </c>
      <c r="N9" s="22"/>
    </row>
    <row r="10" spans="1:14" ht="36" x14ac:dyDescent="0.4">
      <c r="A10" s="11" t="s">
        <v>32</v>
      </c>
      <c r="B10" s="11" t="s">
        <v>17</v>
      </c>
      <c r="C10" s="22" t="s">
        <v>33</v>
      </c>
      <c r="D10" s="13">
        <f>VLOOKUP(A10,[1]CER_SubK_PO_Status!A:N,10,FALSE)/1000</f>
        <v>415</v>
      </c>
      <c r="E10" s="13">
        <f>VLOOKUP(A10,[1]CER_SubK_PO_Status!A:N,11,FALSE)/1000</f>
        <v>0</v>
      </c>
      <c r="F10" s="13">
        <f>VLOOKUP(A10,[1]CER_SubK_PO_Status!A:N,12,FALSE)/1000</f>
        <v>0</v>
      </c>
      <c r="G10" s="13">
        <f t="shared" si="0"/>
        <v>415</v>
      </c>
      <c r="H10" s="13">
        <f t="shared" si="1"/>
        <v>415</v>
      </c>
      <c r="I10" s="11" t="str">
        <f>VLOOKUP(A10,[1]CER_SubK_PO_Status!A:N,5,FALSE)</f>
        <v>GIUSEPPINA TENBUSCH</v>
      </c>
      <c r="J10" s="14" t="s">
        <v>34</v>
      </c>
      <c r="K10" s="14" t="str">
        <f>IF(VLOOKUP(A10,[1]CER_SubK_PO_Status!A:R,17,FALSE)=0,"",VLOOKUP(A10,[1]CER_SubK_PO_Status!A:R,17,FALSE))</f>
        <v/>
      </c>
      <c r="L10" s="24" t="s">
        <v>35</v>
      </c>
      <c r="M10" s="14" t="str">
        <f>IF(VLOOKUP(A10,[1]CER_SubK_PO_Status!A:R,18,FALSE)=0,"",VLOOKUP(A10,[1]CER_SubK_PO_Status!A:R,18,FALSE))</f>
        <v/>
      </c>
      <c r="N10" s="22"/>
    </row>
    <row r="11" spans="1:14" ht="18" x14ac:dyDescent="0.3">
      <c r="A11" s="11" t="s">
        <v>36</v>
      </c>
      <c r="B11" s="11" t="s">
        <v>17</v>
      </c>
      <c r="C11" s="22" t="s">
        <v>37</v>
      </c>
      <c r="D11" s="13">
        <f>VLOOKUP(A11,[1]CER_SubK_PO_Status!A:N,10,FALSE)/1000</f>
        <v>230.26</v>
      </c>
      <c r="E11" s="13">
        <f>VLOOKUP(A11,[1]CER_SubK_PO_Status!A:N,11,FALSE)/1000</f>
        <v>0</v>
      </c>
      <c r="F11" s="13">
        <f>VLOOKUP(A11,[1]CER_SubK_PO_Status!A:N,12,FALSE)/1000</f>
        <v>0</v>
      </c>
      <c r="G11" s="13">
        <f t="shared" si="0"/>
        <v>230.26</v>
      </c>
      <c r="H11" s="13">
        <f t="shared" si="1"/>
        <v>230.26</v>
      </c>
      <c r="I11" s="11" t="str">
        <f>VLOOKUP(A11,[1]CER_SubK_PO_Status!A:N,5,FALSE)</f>
        <v>CONNOR CLARK</v>
      </c>
      <c r="J11" s="14" t="str">
        <f>IF(VLOOKUP(A11,[1]CER_SubK_PO_Status!A:R,15,FALSE)=0,"",VLOOKUP(A11,[1]CER_SubK_PO_Status!A:R,15,FALSE))</f>
        <v>DION, MICHAEL</v>
      </c>
      <c r="K11" s="14" t="str">
        <f>IF(VLOOKUP(A11,[1]CER_SubK_PO_Status!A:R,17,FALSE)=0,"",VLOOKUP(A11,[1]CER_SubK_PO_Status!A:R,17,FALSE))</f>
        <v/>
      </c>
      <c r="L11" s="25" t="s">
        <v>31</v>
      </c>
      <c r="M11" s="14" t="str">
        <f>IF(VLOOKUP(A11,[1]CER_SubK_PO_Status!A:R,18,FALSE)=0,"",VLOOKUP(A11,[1]CER_SubK_PO_Status!A:R,18,FALSE))</f>
        <v/>
      </c>
      <c r="N11" s="22"/>
    </row>
    <row r="12" spans="1:14" ht="18" x14ac:dyDescent="0.3">
      <c r="A12" s="11" t="s">
        <v>38</v>
      </c>
      <c r="B12" s="11" t="s">
        <v>17</v>
      </c>
      <c r="C12" s="22" t="s">
        <v>39</v>
      </c>
      <c r="D12" s="13">
        <f>VLOOKUP(A12,[1]CER_SubK_PO_Status!A:N,10,FALSE)/1000</f>
        <v>158.90042000000003</v>
      </c>
      <c r="E12" s="13">
        <f>VLOOKUP(A12,[1]CER_SubK_PO_Status!A:N,11,FALSE)/1000</f>
        <v>27.013069999999999</v>
      </c>
      <c r="F12" s="13">
        <f>VLOOKUP(A12,[1]CER_SubK_PO_Status!A:N,12,FALSE)/1000</f>
        <v>27.013069999999999</v>
      </c>
      <c r="G12" s="13">
        <f t="shared" si="0"/>
        <v>131.88735000000003</v>
      </c>
      <c r="H12" s="13">
        <f t="shared" si="1"/>
        <v>131.88735000000003</v>
      </c>
      <c r="I12" s="11" t="str">
        <f>VLOOKUP(A12,[1]CER_SubK_PO_Status!A:N,5,FALSE)</f>
        <v>CONNOR CLARK</v>
      </c>
      <c r="J12" s="14" t="str">
        <f>IF(VLOOKUP(A12,[1]CER_SubK_PO_Status!A:R,15,FALSE)=0,"",VLOOKUP(A12,[1]CER_SubK_PO_Status!A:R,15,FALSE))</f>
        <v/>
      </c>
      <c r="K12" s="14" t="str">
        <f>IF(VLOOKUP(A12,[1]CER_SubK_PO_Status!A:R,17,FALSE)=0,"",VLOOKUP(A12,[1]CER_SubK_PO_Status!A:R,17,FALSE))</f>
        <v/>
      </c>
      <c r="L12" s="23" t="s">
        <v>31</v>
      </c>
      <c r="M12" s="14" t="str">
        <f>IF(VLOOKUP(A12,[1]CER_SubK_PO_Status!A:R,18,FALSE)=0,"",VLOOKUP(A12,[1]CER_SubK_PO_Status!A:R,18,FALSE))</f>
        <v/>
      </c>
      <c r="N12" s="22"/>
    </row>
    <row r="13" spans="1:14" ht="36" x14ac:dyDescent="0.3">
      <c r="A13" s="11" t="s">
        <v>40</v>
      </c>
      <c r="B13" s="11" t="s">
        <v>17</v>
      </c>
      <c r="C13" s="22" t="s">
        <v>41</v>
      </c>
      <c r="D13" s="13">
        <f>VLOOKUP(A13,[1]CER_SubK_PO_Status!A:N,10,FALSE)/1000</f>
        <v>124.045</v>
      </c>
      <c r="E13" s="13">
        <f>VLOOKUP(A13,[1]CER_SubK_PO_Status!A:N,11,FALSE)/1000</f>
        <v>0</v>
      </c>
      <c r="F13" s="13">
        <f>VLOOKUP(A13,[1]CER_SubK_PO_Status!A:N,12,FALSE)/1000</f>
        <v>0</v>
      </c>
      <c r="G13" s="13">
        <f t="shared" si="0"/>
        <v>124.045</v>
      </c>
      <c r="H13" s="13">
        <f t="shared" si="1"/>
        <v>124.045</v>
      </c>
      <c r="I13" s="11" t="str">
        <f>VLOOKUP(A13,[1]CER_SubK_PO_Status!A:N,5,FALSE)</f>
        <v>CEDRIC JACKSON</v>
      </c>
      <c r="J13" s="14" t="str">
        <f>IF(VLOOKUP(A13,[1]CER_SubK_PO_Status!A:R,15,FALSE)=0,"",VLOOKUP(A13,[1]CER_SubK_PO_Status!A:R,15,FALSE))</f>
        <v/>
      </c>
      <c r="K13" s="14" t="str">
        <f>IF(VLOOKUP(A13,[1]CER_SubK_PO_Status!A:R,17,FALSE)=0,"",VLOOKUP(A13,[1]CER_SubK_PO_Status!A:R,17,FALSE))</f>
        <v/>
      </c>
      <c r="L13" s="23" t="s">
        <v>42</v>
      </c>
      <c r="M13" s="14" t="str">
        <f>IF(VLOOKUP(A13,[1]CER_SubK_PO_Status!A:R,18,FALSE)=0,"",VLOOKUP(A13,[1]CER_SubK_PO_Status!A:R,18,FALSE))</f>
        <v/>
      </c>
      <c r="N13" s="22"/>
    </row>
    <row r="14" spans="1:14" s="26" customFormat="1" ht="67.5" customHeight="1" x14ac:dyDescent="0.25">
      <c r="A14" s="11" t="s">
        <v>43</v>
      </c>
      <c r="B14" s="11" t="str">
        <f>VLOOKUP(A14,[1]CER_SubK_PO_Status!A:N,9,FALSE)</f>
        <v>Open</v>
      </c>
      <c r="C14" s="22" t="str">
        <f>VLOOKUP(A14,[1]CER_SubK_PO_Status!A:N,7,FALSE)</f>
        <v>RI RESEARCH INSTRUMENTS</v>
      </c>
      <c r="D14" s="13">
        <f>VLOOKUP(A14,[1]CER_SubK_PO_Status!A:N,10,FALSE)/1000</f>
        <v>1289.08</v>
      </c>
      <c r="E14" s="13">
        <f>VLOOKUP(A14,[1]CER_SubK_PO_Status!A:N,11,FALSE)/1000</f>
        <v>1115.0616</v>
      </c>
      <c r="F14" s="13">
        <f>VLOOKUP(A14,[1]CER_SubK_PO_Status!A:N,12,FALSE)/1000</f>
        <v>1058.24</v>
      </c>
      <c r="G14" s="13">
        <f t="shared" si="0"/>
        <v>174.01839999999993</v>
      </c>
      <c r="H14" s="13">
        <f t="shared" si="1"/>
        <v>230.83999999999992</v>
      </c>
      <c r="I14" s="11" t="str">
        <f>VLOOKUP(A14,[1]CER_SubK_PO_Status!A:N,5,FALSE)</f>
        <v>GIUSEPPINA TENBUSCH</v>
      </c>
      <c r="J14" s="14" t="str">
        <f>IF(VLOOKUP(A14,[1]CER_SubK_PO_Status!A:R,15,FALSE)=0,"",VLOOKUP(A14,[1]CER_SubK_PO_Status!A:R,15,FALSE))</f>
        <v>CIOVATI, GIANLUIGI</v>
      </c>
      <c r="K14" s="14" t="str">
        <f>IF(VLOOKUP(A14,[1]CER_SubK_PO_Status!A:R,17,FALSE)=0,"",VLOOKUP(A14,[1]CER_SubK_PO_Status!A:R,17,FALSE))</f>
        <v>TENBUSCH, GIUSEPPINA</v>
      </c>
      <c r="L14" s="14" t="str">
        <f>IF(VLOOKUP(A14,[1]CER_SubK_PO_Status!A:R,16,FALSE)=0,"",VLOOKUP(A14,[1]CER_SubK_PO_Status!A:R,16,FALSE))</f>
        <v>gciovati@jlab.org</v>
      </c>
      <c r="M14" s="14" t="str">
        <f>IF(VLOOKUP(A14,[1]CER_SubK_PO_Status!A:R,18,FALSE)=0,"",VLOOKUP(A14,[1]CER_SubK_PO_Status!A:R,18,FALSE))</f>
        <v>jessie@jlab.org</v>
      </c>
      <c r="N14" s="11"/>
    </row>
    <row r="15" spans="1:14" ht="18" x14ac:dyDescent="0.3">
      <c r="A15" s="11" t="s">
        <v>44</v>
      </c>
      <c r="B15" s="11" t="str">
        <f>VLOOKUP(A15,[1]CER_SubK_PO_Status!A:N,9,FALSE)</f>
        <v>Open</v>
      </c>
      <c r="C15" s="22" t="str">
        <f>VLOOKUP(A15,[1]CER_SubK_PO_Status!A:N,7,FALSE)</f>
        <v>SENSEICS CORPORATION</v>
      </c>
      <c r="D15" s="13">
        <f>VLOOKUP(A15,[1]CER_SubK_PO_Status!A:N,10,FALSE)/1000</f>
        <v>621.27800000000002</v>
      </c>
      <c r="E15" s="13">
        <f>VLOOKUP(A15,[1]CER_SubK_PO_Status!A:N,11,FALSE)/1000</f>
        <v>310.64</v>
      </c>
      <c r="F15" s="13">
        <f>VLOOKUP(A15,[1]CER_SubK_PO_Status!A:N,12,FALSE)/1000</f>
        <v>271.81</v>
      </c>
      <c r="G15" s="13">
        <f t="shared" si="0"/>
        <v>310.63800000000003</v>
      </c>
      <c r="H15" s="13">
        <f t="shared" si="1"/>
        <v>349.46800000000002</v>
      </c>
      <c r="I15" s="11" t="str">
        <f>VLOOKUP(A15,[1]CER_SubK_PO_Status!A:N,5,FALSE)</f>
        <v>CONNOR CLARK</v>
      </c>
      <c r="J15" s="14" t="str">
        <f>IF(VLOOKUP(A15,[1]CER_SubK_PO_Status!A:R,15,FALSE)=0,"",VLOOKUP(A15,[1]CER_SubK_PO_Status!A:R,15,FALSE))</f>
        <v>FAST, JAMES E</v>
      </c>
      <c r="K15" s="14" t="str">
        <f>IF(VLOOKUP(A15,[1]CER_SubK_PO_Status!A:R,17,FALSE)=0,"",VLOOKUP(A15,[1]CER_SubK_PO_Status!A:R,17,FALSE))</f>
        <v/>
      </c>
      <c r="L15" s="14" t="str">
        <f>IF(VLOOKUP(A15,[1]CER_SubK_PO_Status!A:R,16,FALSE)=0,"",VLOOKUP(A15,[1]CER_SubK_PO_Status!A:R,16,FALSE))</f>
        <v>jfast@jlab.org</v>
      </c>
      <c r="M15" s="11" t="s">
        <v>31</v>
      </c>
      <c r="N15" s="11"/>
    </row>
    <row r="16" spans="1:14" ht="18" x14ac:dyDescent="0.3">
      <c r="A16" s="11" t="s">
        <v>45</v>
      </c>
      <c r="B16" s="11" t="s">
        <v>17</v>
      </c>
      <c r="C16" s="22" t="s">
        <v>46</v>
      </c>
      <c r="D16" s="13">
        <f>VLOOKUP(A16,[1]CER_SubK_PO_Status!A:N,10,FALSE)/1000</f>
        <v>96</v>
      </c>
      <c r="E16" s="13">
        <f>VLOOKUP(A16,[1]CER_SubK_PO_Status!A:N,11,FALSE)/1000</f>
        <v>41.142900000000004</v>
      </c>
      <c r="F16" s="13">
        <f>VLOOKUP(A16,[1]CER_SubK_PO_Status!A:N,12,FALSE)/1000</f>
        <v>27.428599999999999</v>
      </c>
      <c r="G16" s="13">
        <f t="shared" si="0"/>
        <v>54.857099999999996</v>
      </c>
      <c r="H16" s="13">
        <f t="shared" si="1"/>
        <v>68.571399999999997</v>
      </c>
      <c r="I16" s="11" t="str">
        <f>VLOOKUP(A16,[1]CER_SubK_PO_Status!A:N,5,FALSE)</f>
        <v>CONNOR CLARK</v>
      </c>
      <c r="J16" s="14" t="str">
        <f>IF(VLOOKUP(A16,[1]CER_SubK_PO_Status!A:R,15,FALSE)=0,"",VLOOKUP(A16,[1]CER_SubK_PO_Status!A:R,15,FALSE))</f>
        <v>FAST, JAMES E</v>
      </c>
      <c r="K16" s="14" t="str">
        <f>IF(VLOOKUP(A16,[1]CER_SubK_PO_Status!A:R,17,FALSE)=0,"",VLOOKUP(A16,[1]CER_SubK_PO_Status!A:R,17,FALSE))</f>
        <v/>
      </c>
      <c r="L16" s="25" t="s">
        <v>31</v>
      </c>
      <c r="M16" s="11" t="s">
        <v>31</v>
      </c>
      <c r="N16" s="11"/>
    </row>
    <row r="17" spans="1:14" ht="36" x14ac:dyDescent="0.3">
      <c r="A17" s="11" t="s">
        <v>47</v>
      </c>
      <c r="B17" s="11" t="s">
        <v>17</v>
      </c>
      <c r="C17" s="22" t="s">
        <v>48</v>
      </c>
      <c r="D17" s="13">
        <f>VLOOKUP(A17,[1]CER_SubK_PO_Status!A:N,10,FALSE)/1000</f>
        <v>194.46</v>
      </c>
      <c r="E17" s="13">
        <f>VLOOKUP(A17,[1]CER_SubK_PO_Status!A:N,11,FALSE)/1000</f>
        <v>0</v>
      </c>
      <c r="F17" s="13">
        <f>VLOOKUP(A17,[1]CER_SubK_PO_Status!A:N,12,FALSE)/1000</f>
        <v>0</v>
      </c>
      <c r="G17" s="13">
        <f t="shared" si="0"/>
        <v>194.46</v>
      </c>
      <c r="H17" s="13">
        <f t="shared" si="1"/>
        <v>194.46</v>
      </c>
      <c r="I17" s="11" t="str">
        <f>VLOOKUP(A17,[1]CER_SubK_PO_Status!A:N,5,FALSE)</f>
        <v>BRITTANY TOLBERT</v>
      </c>
      <c r="J17" s="14"/>
      <c r="K17" s="14" t="str">
        <f>IF(VLOOKUP(A17,[1]CER_SubK_PO_Status!A:R,17,FALSE)=0,"",VLOOKUP(A17,[1]CER_SubK_PO_Status!A:R,17,FALSE))</f>
        <v/>
      </c>
      <c r="L17" s="23" t="s">
        <v>49</v>
      </c>
      <c r="M17" s="14" t="str">
        <f>IF(VLOOKUP(A17,[1]CER_SubK_PO_Status!A:R,18,FALSE)=0,"",VLOOKUP(A17,[1]CER_SubK_PO_Status!A:R,18,FALSE))</f>
        <v/>
      </c>
      <c r="N17" s="11"/>
    </row>
    <row r="18" spans="1:14" ht="18" x14ac:dyDescent="0.3">
      <c r="A18" s="11" t="s">
        <v>50</v>
      </c>
      <c r="B18" s="11" t="s">
        <v>17</v>
      </c>
      <c r="C18" s="22" t="s">
        <v>51</v>
      </c>
      <c r="D18" s="13">
        <f>VLOOKUP(A18,[1]CER_SubK_PO_Status!A:N,10,FALSE)/1000</f>
        <v>159.6</v>
      </c>
      <c r="E18" s="13">
        <f>VLOOKUP(A18,[1]CER_SubK_PO_Status!A:N,11,FALSE)/1000</f>
        <v>0</v>
      </c>
      <c r="F18" s="13">
        <f>VLOOKUP(A18,[1]CER_SubK_PO_Status!A:N,12,FALSE)/1000</f>
        <v>0</v>
      </c>
      <c r="G18" s="13">
        <f t="shared" si="0"/>
        <v>159.6</v>
      </c>
      <c r="H18" s="13">
        <f t="shared" si="1"/>
        <v>159.6</v>
      </c>
      <c r="I18" s="11" t="str">
        <f>VLOOKUP(A18,[1]CER_SubK_PO_Status!A:N,5,FALSE)</f>
        <v>MELISSA TORRES</v>
      </c>
      <c r="J18" s="14" t="s">
        <v>52</v>
      </c>
      <c r="K18" s="14"/>
      <c r="L18" s="23" t="s">
        <v>53</v>
      </c>
      <c r="M18" s="14" t="str">
        <f>IF(VLOOKUP(A18,[1]CER_SubK_PO_Status!A:R,18,FALSE)=0,"",VLOOKUP(A18,[1]CER_SubK_PO_Status!A:R,18,FALSE))</f>
        <v/>
      </c>
      <c r="N18" s="22"/>
    </row>
    <row r="19" spans="1:14" ht="18" x14ac:dyDescent="0.3">
      <c r="A19" s="11" t="s">
        <v>54</v>
      </c>
      <c r="B19" s="11" t="str">
        <f>VLOOKUP(A19,[1]CER_SubK_PO_Status!A:N,9,FALSE)</f>
        <v>Open</v>
      </c>
      <c r="C19" s="22" t="str">
        <f>VLOOKUP(A19,[1]CER_SubK_PO_Status!A:N,7,FALSE)</f>
        <v>TEXAS WIND TOWER CO</v>
      </c>
      <c r="D19" s="13">
        <f>VLOOKUP(A19,[1]CER_SubK_PO_Status!A:N,10,FALSE)/1000</f>
        <v>62.984519999999996</v>
      </c>
      <c r="E19" s="13">
        <f>VLOOKUP(A19,[1]CER_SubK_PO_Status!A:N,11,FALSE)/1000</f>
        <v>53.536839999999998</v>
      </c>
      <c r="F19" s="13">
        <f>VLOOKUP(A19,[1]CER_SubK_PO_Status!A:N,12,FALSE)/1000</f>
        <v>25.193810000000003</v>
      </c>
      <c r="G19" s="13">
        <f t="shared" si="0"/>
        <v>9.4476799999999983</v>
      </c>
      <c r="H19" s="13">
        <f t="shared" si="1"/>
        <v>37.79070999999999</v>
      </c>
      <c r="I19" s="11" t="str">
        <f>VLOOKUP(A19,[1]CER_SubK_PO_Status!A:N,5,FALSE)</f>
        <v>CONNOR CLARK</v>
      </c>
      <c r="J19" s="14" t="str">
        <f>IF(VLOOKUP(A19,[1]CER_SubK_PO_Status!A:R,15,FALSE)=0,"",VLOOKUP(A19,[1]CER_SubK_PO_Status!A:R,15,FALSE))</f>
        <v>CIOVATI, GIANLUIGI</v>
      </c>
      <c r="K19" s="14" t="str">
        <f>IF(VLOOKUP(A19,[1]CER_SubK_PO_Status!A:R,17,FALSE)=0,"",VLOOKUP(A19,[1]CER_SubK_PO_Status!A:R,17,FALSE))</f>
        <v>CLARK, CONNOR</v>
      </c>
      <c r="L19" s="14" t="str">
        <f>IF(VLOOKUP(A19,[1]CER_SubK_PO_Status!A:R,16,FALSE)=0,"",VLOOKUP(A19,[1]CER_SubK_PO_Status!A:R,16,FALSE))</f>
        <v>gciovati@jlab.org</v>
      </c>
      <c r="M19" s="14" t="str">
        <f>IF(VLOOKUP(A19,[1]CER_SubK_PO_Status!A:R,18,FALSE)=0,"",VLOOKUP(A19,[1]CER_SubK_PO_Status!A:R,18,FALSE))</f>
        <v>cclark@jlab.org</v>
      </c>
      <c r="N19" s="22"/>
    </row>
    <row r="20" spans="1:14" ht="36" x14ac:dyDescent="0.3">
      <c r="A20" s="11" t="s">
        <v>55</v>
      </c>
      <c r="B20" s="11" t="str">
        <f>VLOOKUP(A20,[1]CER_SubK_PO_Status!A:N,9,FALSE)</f>
        <v>Open</v>
      </c>
      <c r="C20" s="22" t="str">
        <f>VLOOKUP(A20,[1]CER_SubK_PO_Status!A:N,7,FALSE)</f>
        <v>UNIVERSITY OF REGINA</v>
      </c>
      <c r="D20" s="13">
        <f>VLOOKUP(A20,[1]CER_SubK_PO_Status!A:N,10,FALSE)/1000</f>
        <v>50.78125</v>
      </c>
      <c r="E20" s="13">
        <f>VLOOKUP(A20,[1]CER_SubK_PO_Status!A:N,11,FALSE)/1000</f>
        <v>18.5</v>
      </c>
      <c r="F20" s="13">
        <f>VLOOKUP(A20,[1]CER_SubK_PO_Status!A:N,12,FALSE)/1000</f>
        <v>0</v>
      </c>
      <c r="G20" s="13">
        <f t="shared" si="0"/>
        <v>32.28125</v>
      </c>
      <c r="H20" s="13">
        <f t="shared" si="1"/>
        <v>50.78125</v>
      </c>
      <c r="I20" s="11" t="str">
        <f>VLOOKUP(A20,[1]CER_SubK_PO_Status!A:N,5,FALSE)</f>
        <v>CHARLIE KIM</v>
      </c>
      <c r="J20" s="14" t="str">
        <f>IF(VLOOKUP(A20,[1]CER_SubK_PO_Status!A:R,15,FALSE)=0,"",VLOOKUP(A20,[1]CER_SubK_PO_Status!A:R,15,FALSE))</f>
        <v>CHUDAKOV, EUGENE A</v>
      </c>
      <c r="K20" s="14" t="str">
        <f>IF(VLOOKUP(A20,[1]CER_SubK_PO_Status!A:R,17,FALSE)=0,"",VLOOKUP(A20,[1]CER_SubK_PO_Status!A:R,17,FALSE))</f>
        <v/>
      </c>
      <c r="L20" s="14" t="str">
        <f>IF(VLOOKUP(A20,[1]CER_SubK_PO_Status!A:R,16,FALSE)=0,"",VLOOKUP(A20,[1]CER_SubK_PO_Status!A:R,16,FALSE))</f>
        <v>gen@jlab.org</v>
      </c>
      <c r="M20" s="14" t="str">
        <f>IF(VLOOKUP(A20,[1]CER_SubK_PO_Status!A:R,18,FALSE)=0,"",VLOOKUP(A20,[1]CER_SubK_PO_Status!A:R,18,FALSE))</f>
        <v/>
      </c>
      <c r="N20" s="11"/>
    </row>
    <row r="21" spans="1:14" ht="36" x14ac:dyDescent="0.3">
      <c r="A21" s="11" t="s">
        <v>56</v>
      </c>
      <c r="B21" s="11" t="s">
        <v>17</v>
      </c>
      <c r="C21" s="22" t="s">
        <v>57</v>
      </c>
      <c r="D21" s="27">
        <f>VLOOKUP(A21,[1]CER_SubK_PO_Status!A:N,10,FALSE)/1000</f>
        <v>190.26300000000001</v>
      </c>
      <c r="E21" s="27">
        <f>VLOOKUP(A21,[1]CER_SubK_PO_Status!A:N,11,FALSE)/1000</f>
        <v>68.733260000000001</v>
      </c>
      <c r="F21" s="27">
        <f>VLOOKUP(A21,[1]CER_SubK_PO_Status!A:N,12,FALSE)/1000</f>
        <v>68.723849999999999</v>
      </c>
      <c r="G21" s="27">
        <f t="shared" si="0"/>
        <v>121.52974</v>
      </c>
      <c r="H21" s="27">
        <f t="shared" si="1"/>
        <v>121.53915000000001</v>
      </c>
      <c r="I21" s="11" t="str">
        <f>VLOOKUP(A21,[1]CER_SubK_PO_Status!A:N,5,FALSE)</f>
        <v>SHARON WILLIAMS</v>
      </c>
      <c r="J21" s="28" t="str">
        <f>IF(VLOOKUP(A21,[1]CER_SubK_PO_Status!A:R,15,FALSE)=0,"",VLOOKUP(A21,[1]CER_SubK_PO_Status!A:R,15,FALSE))</f>
        <v>BROWN, MAYNARD</v>
      </c>
      <c r="K21" s="28" t="str">
        <f>IF(VLOOKUP(A21,[1]CER_SubK_PO_Status!A:R,17,FALSE)=0,"",VLOOKUP(A21,[1]CER_SubK_PO_Status!A:R,17,FALSE))</f>
        <v>SMITH, CORRY E</v>
      </c>
      <c r="L21" s="28" t="str">
        <f>IF(VLOOKUP(A21,[1]CER_SubK_PO_Status!A:R,16,FALSE)=0,"",VLOOKUP(A21,[1]CER_SubK_PO_Status!A:R,16,FALSE))</f>
        <v>maynardb@jlab.org</v>
      </c>
      <c r="M21" s="28" t="str">
        <f>IF(VLOOKUP(A21,[1]CER_SubK_PO_Status!A:R,18,FALSE)=0,"",VLOOKUP(A21,[1]CER_SubK_PO_Status!A:R,18,FALSE))</f>
        <v>csmith@jlab.org</v>
      </c>
      <c r="N21" s="11"/>
    </row>
    <row r="30" spans="1:14" ht="18" thickBot="1" x14ac:dyDescent="0.35">
      <c r="A30" s="29" t="s">
        <v>58</v>
      </c>
    </row>
    <row r="31" spans="1:14" ht="18" thickBot="1" x14ac:dyDescent="0.35">
      <c r="A31" s="30">
        <f>COUNTIF(B3:B21,"Open")</f>
        <v>19</v>
      </c>
    </row>
  </sheetData>
  <conditionalFormatting sqref="B17:B19 B1:B13">
    <cfRule type="cellIs" dxfId="11" priority="10" operator="equal">
      <formula>"System Closed"</formula>
    </cfRule>
  </conditionalFormatting>
  <conditionalFormatting sqref="J1 F1">
    <cfRule type="containsText" dxfId="10" priority="11" operator="containsText" text="DONE">
      <formula>NOT(ISERROR(SEARCH("DONE",F1)))</formula>
    </cfRule>
    <cfRule type="containsText" dxfId="9" priority="12" operator="containsText" text="NEW">
      <formula>NOT(ISERROR(SEARCH("NEW",F1)))</formula>
    </cfRule>
  </conditionalFormatting>
  <conditionalFormatting sqref="N21 N2:N19">
    <cfRule type="containsText" dxfId="8" priority="9" operator="containsText" text="DEOB">
      <formula>NOT(ISERROR(SEARCH("DEOB",N2)))</formula>
    </cfRule>
  </conditionalFormatting>
  <conditionalFormatting sqref="G17:H19 G21:H21 G3:H13">
    <cfRule type="cellIs" dxfId="7" priority="8" operator="equal">
      <formula>0</formula>
    </cfRule>
  </conditionalFormatting>
  <conditionalFormatting sqref="G19:H19">
    <cfRule type="cellIs" dxfId="6" priority="2" operator="equal">
      <formula>0</formula>
    </cfRule>
  </conditionalFormatting>
  <conditionalFormatting sqref="N20">
    <cfRule type="containsText" dxfId="5" priority="7" operator="containsText" text="DEOB">
      <formula>NOT(ISERROR(SEARCH("DEOB",N20)))</formula>
    </cfRule>
  </conditionalFormatting>
  <conditionalFormatting sqref="G20:H20">
    <cfRule type="cellIs" dxfId="4" priority="6" operator="equal">
      <formula>0</formula>
    </cfRule>
  </conditionalFormatting>
  <conditionalFormatting sqref="G14:H16">
    <cfRule type="cellIs" dxfId="3" priority="5" operator="equal">
      <formula>0</formula>
    </cfRule>
  </conditionalFormatting>
  <conditionalFormatting sqref="B15:B16">
    <cfRule type="cellIs" dxfId="2" priority="4" operator="equal">
      <formula>"System Closed"</formula>
    </cfRule>
  </conditionalFormatting>
  <conditionalFormatting sqref="G15:H16">
    <cfRule type="cellIs" dxfId="1" priority="3" operator="equal">
      <formula>0</formula>
    </cfRule>
  </conditionalFormatting>
  <conditionalFormatting sqref="M15:M16">
    <cfRule type="containsText" dxfId="0" priority="1" operator="containsText" text="DEOB">
      <formula>NOT(ISERROR(SEARCH("DEOB",M15)))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7FAA-5624-4866-BA53-8B622ECCFF60}">
  <sheetPr>
    <tabColor theme="4" tint="0.59999389629810485"/>
  </sheetPr>
  <dimension ref="A1:Q59"/>
  <sheetViews>
    <sheetView tabSelected="1" workbookViewId="0">
      <selection activeCell="G4" sqref="G4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7" x14ac:dyDescent="0.3">
      <c r="A1" s="31" t="s">
        <v>59</v>
      </c>
    </row>
    <row r="3" spans="1:17" x14ac:dyDescent="0.3">
      <c r="A3" s="32" t="s">
        <v>60</v>
      </c>
      <c r="B3" s="33"/>
      <c r="C3" s="33"/>
      <c r="D3" s="33"/>
      <c r="E3" s="33"/>
      <c r="G3" s="32" t="s">
        <v>61</v>
      </c>
      <c r="H3" s="33"/>
      <c r="I3" s="33"/>
      <c r="J3" s="33"/>
      <c r="K3" s="33"/>
      <c r="M3" s="32" t="s">
        <v>62</v>
      </c>
      <c r="N3" s="33"/>
      <c r="O3" s="33"/>
      <c r="P3" s="33"/>
      <c r="Q3" s="33"/>
    </row>
    <row r="4" spans="1:17" x14ac:dyDescent="0.3">
      <c r="A4" s="34"/>
    </row>
    <row r="5" spans="1:17" x14ac:dyDescent="0.3">
      <c r="B5" s="34" t="s">
        <v>63</v>
      </c>
      <c r="C5" t="s">
        <v>31</v>
      </c>
      <c r="D5" s="34" t="s">
        <v>64</v>
      </c>
      <c r="E5" s="35" t="s">
        <v>65</v>
      </c>
      <c r="H5" s="34" t="s">
        <v>63</v>
      </c>
      <c r="I5" t="s">
        <v>31</v>
      </c>
      <c r="J5" s="34" t="s">
        <v>64</v>
      </c>
      <c r="K5" t="s">
        <v>65</v>
      </c>
      <c r="M5" t="s">
        <v>66</v>
      </c>
      <c r="N5" s="34" t="s">
        <v>63</v>
      </c>
      <c r="P5" s="34" t="s">
        <v>64</v>
      </c>
    </row>
    <row r="6" spans="1:17" x14ac:dyDescent="0.3">
      <c r="C6" t="s">
        <v>42</v>
      </c>
      <c r="E6" t="s">
        <v>67</v>
      </c>
      <c r="I6" t="s">
        <v>42</v>
      </c>
      <c r="K6" t="s">
        <v>68</v>
      </c>
    </row>
    <row r="7" spans="1:17" x14ac:dyDescent="0.3">
      <c r="C7" t="s">
        <v>35</v>
      </c>
      <c r="E7" s="35" t="s">
        <v>69</v>
      </c>
      <c r="I7" t="s">
        <v>35</v>
      </c>
      <c r="K7" s="35" t="s">
        <v>70</v>
      </c>
      <c r="M7" t="s">
        <v>66</v>
      </c>
    </row>
    <row r="8" spans="1:17" x14ac:dyDescent="0.3">
      <c r="C8" t="s">
        <v>71</v>
      </c>
      <c r="E8" t="s">
        <v>70</v>
      </c>
      <c r="I8" t="s">
        <v>72</v>
      </c>
      <c r="K8" s="35" t="s">
        <v>70</v>
      </c>
      <c r="Q8" s="35"/>
    </row>
    <row r="9" spans="1:17" x14ac:dyDescent="0.3">
      <c r="C9" t="s">
        <v>73</v>
      </c>
      <c r="E9" t="s">
        <v>74</v>
      </c>
      <c r="I9" t="s">
        <v>75</v>
      </c>
      <c r="M9" t="s">
        <v>66</v>
      </c>
    </row>
    <row r="10" spans="1:17" x14ac:dyDescent="0.3">
      <c r="C10" t="s">
        <v>76</v>
      </c>
      <c r="E10" t="s">
        <v>77</v>
      </c>
      <c r="I10" t="s">
        <v>21</v>
      </c>
      <c r="K10" s="35" t="s">
        <v>78</v>
      </c>
      <c r="M10" t="s">
        <v>66</v>
      </c>
      <c r="Q10" s="35" t="s">
        <v>79</v>
      </c>
    </row>
    <row r="11" spans="1:17" x14ac:dyDescent="0.3">
      <c r="C11" t="s">
        <v>72</v>
      </c>
      <c r="E11" t="s">
        <v>80</v>
      </c>
      <c r="I11" t="s">
        <v>81</v>
      </c>
      <c r="K11" s="35" t="s">
        <v>82</v>
      </c>
      <c r="M11" t="s">
        <v>66</v>
      </c>
      <c r="Q11" s="35" t="s">
        <v>83</v>
      </c>
    </row>
    <row r="12" spans="1:17" x14ac:dyDescent="0.3">
      <c r="C12" t="s">
        <v>75</v>
      </c>
      <c r="I12" t="s">
        <v>84</v>
      </c>
      <c r="K12" s="35" t="s">
        <v>85</v>
      </c>
      <c r="M12" t="s">
        <v>66</v>
      </c>
    </row>
    <row r="13" spans="1:17" x14ac:dyDescent="0.3">
      <c r="C13" t="s">
        <v>86</v>
      </c>
      <c r="E13" s="35" t="s">
        <v>78</v>
      </c>
      <c r="I13" t="s">
        <v>19</v>
      </c>
      <c r="Q13" s="35" t="s">
        <v>78</v>
      </c>
    </row>
    <row r="14" spans="1:17" x14ac:dyDescent="0.3">
      <c r="C14" t="s">
        <v>21</v>
      </c>
      <c r="E14" s="35" t="s">
        <v>82</v>
      </c>
      <c r="I14" t="s">
        <v>87</v>
      </c>
      <c r="M14" t="s">
        <v>66</v>
      </c>
      <c r="Q14" s="35" t="s">
        <v>82</v>
      </c>
    </row>
    <row r="15" spans="1:17" x14ac:dyDescent="0.3">
      <c r="C15" t="s">
        <v>81</v>
      </c>
      <c r="E15" s="35" t="s">
        <v>85</v>
      </c>
      <c r="I15" t="s">
        <v>88</v>
      </c>
      <c r="M15" t="s">
        <v>66</v>
      </c>
      <c r="Q15" s="35" t="s">
        <v>85</v>
      </c>
    </row>
    <row r="16" spans="1:17" x14ac:dyDescent="0.3">
      <c r="C16" t="s">
        <v>89</v>
      </c>
      <c r="I16" t="s">
        <v>26</v>
      </c>
    </row>
    <row r="17" spans="3:17" x14ac:dyDescent="0.3">
      <c r="C17" t="s">
        <v>90</v>
      </c>
      <c r="I17" t="s">
        <v>49</v>
      </c>
      <c r="Q17" s="35"/>
    </row>
    <row r="18" spans="3:17" x14ac:dyDescent="0.3">
      <c r="C18" t="s">
        <v>91</v>
      </c>
      <c r="I18" t="s">
        <v>53</v>
      </c>
      <c r="Q18" s="35"/>
    </row>
    <row r="19" spans="3:17" x14ac:dyDescent="0.3">
      <c r="C19" t="s">
        <v>84</v>
      </c>
      <c r="Q19" s="35"/>
    </row>
    <row r="20" spans="3:17" x14ac:dyDescent="0.3">
      <c r="C20" t="s">
        <v>19</v>
      </c>
    </row>
    <row r="21" spans="3:17" x14ac:dyDescent="0.3">
      <c r="C21" t="s">
        <v>87</v>
      </c>
    </row>
    <row r="22" spans="3:17" x14ac:dyDescent="0.3">
      <c r="C22" t="s">
        <v>88</v>
      </c>
    </row>
    <row r="23" spans="3:17" x14ac:dyDescent="0.3">
      <c r="C23" t="s">
        <v>92</v>
      </c>
    </row>
    <row r="24" spans="3:17" x14ac:dyDescent="0.3">
      <c r="C24" t="s">
        <v>26</v>
      </c>
    </row>
    <row r="25" spans="3:17" x14ac:dyDescent="0.3">
      <c r="C25" t="s">
        <v>93</v>
      </c>
    </row>
    <row r="26" spans="3:17" x14ac:dyDescent="0.3">
      <c r="C26" t="s">
        <v>94</v>
      </c>
    </row>
    <row r="27" spans="3:17" x14ac:dyDescent="0.3">
      <c r="C27" t="s">
        <v>95</v>
      </c>
      <c r="Q27" t="s">
        <v>66</v>
      </c>
    </row>
    <row r="28" spans="3:17" x14ac:dyDescent="0.3">
      <c r="C28" t="s">
        <v>96</v>
      </c>
      <c r="Q28" t="s">
        <v>66</v>
      </c>
    </row>
    <row r="29" spans="3:17" x14ac:dyDescent="0.3">
      <c r="C29" t="s">
        <v>97</v>
      </c>
      <c r="Q29" t="s">
        <v>66</v>
      </c>
    </row>
    <row r="30" spans="3:17" x14ac:dyDescent="0.3">
      <c r="C30" t="s">
        <v>98</v>
      </c>
      <c r="Q30" t="s">
        <v>66</v>
      </c>
    </row>
    <row r="31" spans="3:17" x14ac:dyDescent="0.3">
      <c r="C31" t="s">
        <v>99</v>
      </c>
      <c r="Q31" t="s">
        <v>66</v>
      </c>
    </row>
    <row r="32" spans="3:17" x14ac:dyDescent="0.3">
      <c r="C32" t="s">
        <v>49</v>
      </c>
      <c r="Q32" t="s">
        <v>66</v>
      </c>
    </row>
    <row r="33" spans="3:3" x14ac:dyDescent="0.3">
      <c r="C33" t="s">
        <v>53</v>
      </c>
    </row>
    <row r="34" spans="3:3" x14ac:dyDescent="0.3">
      <c r="C34" t="s">
        <v>100</v>
      </c>
    </row>
    <row r="35" spans="3:3" x14ac:dyDescent="0.3">
      <c r="C35" t="s">
        <v>101</v>
      </c>
    </row>
    <row r="36" spans="3:3" x14ac:dyDescent="0.3">
      <c r="C36" t="s">
        <v>102</v>
      </c>
    </row>
    <row r="59" spans="2:4" x14ac:dyDescent="0.3">
      <c r="B59" s="34"/>
      <c r="D59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49D0F9F7-DEE3-4B62-BEBF-1EAB92B61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914665-8596-4C83-91E2-2CD5415B80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CE014-A0B0-42B5-9AEE-9D2E7D239C5A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685b8dc9-ced7-4178-970d-47f4639756be"/>
    <ds:schemaRef ds:uri="2eed4679-0416-48da-a53f-b1fed0e368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2024-02-19T12:07:26Z</dcterms:created>
  <dcterms:modified xsi:type="dcterms:W3CDTF">2024-02-19T12:08:10Z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