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488" windowWidth="19152" windowHeight="10188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</sheets>
  <calcPr calcId="145621"/>
</workbook>
</file>

<file path=xl/calcChain.xml><?xml version="1.0" encoding="utf-8"?>
<calcChain xmlns="http://schemas.openxmlformats.org/spreadsheetml/2006/main">
  <c r="I48" i="4" l="1"/>
  <c r="H48" i="4"/>
  <c r="D48" i="4"/>
  <c r="J60" i="4"/>
  <c r="I60" i="4"/>
  <c r="H60" i="4"/>
  <c r="G60" i="4"/>
  <c r="E60" i="4"/>
  <c r="D60" i="4"/>
  <c r="F60" i="4"/>
  <c r="I50" i="4" l="1"/>
  <c r="H50" i="4"/>
  <c r="E51" i="4" s="1"/>
  <c r="E50" i="4"/>
  <c r="G51" i="4"/>
  <c r="G50" i="4"/>
  <c r="D49" i="4" l="1"/>
  <c r="M47" i="4" s="1"/>
  <c r="D47" i="4"/>
  <c r="N47" i="4" s="1"/>
  <c r="D40" i="4"/>
  <c r="F47" i="7" l="1"/>
  <c r="F45" i="7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F60" i="5"/>
  <c r="D15" i="4"/>
  <c r="F38" i="7" l="1"/>
  <c r="F30" i="7"/>
  <c r="G38" i="6"/>
  <c r="G37" i="6"/>
  <c r="E38" i="6"/>
  <c r="G30" i="6"/>
  <c r="E30" i="6"/>
  <c r="G38" i="5"/>
  <c r="G37" i="5"/>
  <c r="E38" i="5"/>
  <c r="G30" i="5"/>
  <c r="E30" i="5"/>
  <c r="G47" i="4"/>
  <c r="E47" i="4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J61" i="7"/>
  <c r="I61" i="7"/>
  <c r="H61" i="7"/>
  <c r="F61" i="7"/>
  <c r="J61" i="6"/>
  <c r="I61" i="6"/>
  <c r="H61" i="6"/>
  <c r="F61" i="6"/>
  <c r="F61" i="5"/>
  <c r="D45" i="4"/>
  <c r="J27" i="4"/>
  <c r="J27" i="7" s="1"/>
  <c r="J26" i="4"/>
  <c r="J26" i="6" s="1"/>
  <c r="J25" i="4"/>
  <c r="J25" i="7" s="1"/>
  <c r="J21" i="4"/>
  <c r="J21" i="6" s="1"/>
  <c r="J20" i="4"/>
  <c r="J20" i="7" s="1"/>
  <c r="I27" i="4"/>
  <c r="I27" i="6" s="1"/>
  <c r="I26" i="4"/>
  <c r="I26" i="7" s="1"/>
  <c r="I25" i="4"/>
  <c r="I25" i="6" s="1"/>
  <c r="I21" i="4"/>
  <c r="I21" i="7" s="1"/>
  <c r="I20" i="4"/>
  <c r="I20" i="6" s="1"/>
  <c r="H27" i="4"/>
  <c r="H27" i="7" s="1"/>
  <c r="H26" i="4"/>
  <c r="H26" i="6" s="1"/>
  <c r="H25" i="4"/>
  <c r="H25" i="7" s="1"/>
  <c r="H21" i="4"/>
  <c r="H21" i="6" s="1"/>
  <c r="H20" i="4"/>
  <c r="H20" i="7" s="1"/>
  <c r="G27" i="4"/>
  <c r="G26" i="4"/>
  <c r="G25" i="4"/>
  <c r="AC35" i="11" s="1"/>
  <c r="G24" i="4"/>
  <c r="G23" i="4"/>
  <c r="AC25" i="11" s="1"/>
  <c r="G22" i="4"/>
  <c r="AC20" i="11" s="1"/>
  <c r="G21" i="4"/>
  <c r="AC15" i="11" s="1"/>
  <c r="G20" i="4"/>
  <c r="AC10" i="11" s="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E21" i="4"/>
  <c r="E20" i="4"/>
  <c r="D27" i="4"/>
  <c r="AA45" i="11" s="1"/>
  <c r="D26" i="4"/>
  <c r="AA40" i="11" s="1"/>
  <c r="D25" i="4"/>
  <c r="D24" i="4"/>
  <c r="D23" i="4"/>
  <c r="AA25" i="11" s="1"/>
  <c r="D22" i="4"/>
  <c r="AA20" i="11" s="1"/>
  <c r="D21" i="4"/>
  <c r="AA15" i="11" s="1"/>
  <c r="D20" i="4"/>
  <c r="AA10" i="11" s="1"/>
  <c r="U7" i="11"/>
  <c r="P10" i="11"/>
  <c r="AC45" i="11"/>
  <c r="AC40" i="11"/>
  <c r="AA35" i="11"/>
  <c r="AC30" i="11"/>
  <c r="AA30" i="11"/>
  <c r="AB20" i="11"/>
  <c r="AB15" i="11"/>
  <c r="AB10" i="11"/>
  <c r="Y47" i="11"/>
  <c r="Z47" i="11" s="1"/>
  <c r="Z45" i="11"/>
  <c r="Y45" i="11"/>
  <c r="Z42" i="11"/>
  <c r="Y42" i="11"/>
  <c r="Z40" i="11"/>
  <c r="Y40" i="1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Z22" i="11"/>
  <c r="Y22" i="11"/>
  <c r="Z20" i="11"/>
  <c r="Y20" i="11"/>
  <c r="Z17" i="11"/>
  <c r="Y17" i="11"/>
  <c r="Z15" i="11"/>
  <c r="Y15" i="11"/>
  <c r="Z12" i="11"/>
  <c r="Y12" i="11"/>
  <c r="Z10" i="11"/>
  <c r="Y10" i="1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Q40" i="11"/>
  <c r="P40" i="11"/>
  <c r="R35" i="11"/>
  <c r="Q35" i="11"/>
  <c r="P35" i="1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Q15" i="11"/>
  <c r="P15" i="11"/>
  <c r="Q10" i="11"/>
  <c r="R10" i="1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G45" i="4"/>
  <c r="E45" i="4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L47" i="4"/>
  <c r="E45" i="6" l="1"/>
  <c r="E45" i="5"/>
  <c r="G45" i="6"/>
  <c r="G45" i="5"/>
  <c r="G58" i="4"/>
  <c r="G57" i="4"/>
  <c r="E58" i="4"/>
  <c r="E57" i="4"/>
  <c r="D42" i="4"/>
  <c r="U43" i="4"/>
  <c r="U42" i="4"/>
  <c r="T42" i="4"/>
  <c r="T41" i="4"/>
  <c r="Q42" i="4" l="1"/>
  <c r="D43" i="4"/>
  <c r="G42" i="4"/>
  <c r="E42" i="4"/>
  <c r="E43" i="4"/>
  <c r="E44" i="4"/>
  <c r="F56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F50" i="4"/>
  <c r="F49" i="4"/>
  <c r="F46" i="4"/>
  <c r="H44" i="4"/>
  <c r="G44" i="4"/>
  <c r="F44" i="4"/>
  <c r="D44" i="4"/>
  <c r="F41" i="4"/>
  <c r="G43" i="4" l="1"/>
  <c r="T43" i="4"/>
  <c r="Q43" i="4"/>
  <c r="D57" i="4"/>
  <c r="Q58" i="4" l="1"/>
  <c r="Q57" i="4"/>
  <c r="Q55" i="4"/>
  <c r="Q54" i="4"/>
  <c r="Q53" i="4"/>
  <c r="H49" i="10" l="1"/>
  <c r="H48" i="10"/>
  <c r="H47" i="10"/>
  <c r="H46" i="10"/>
  <c r="H45" i="10"/>
  <c r="E49" i="10"/>
  <c r="C49" i="10"/>
  <c r="C45" i="10"/>
  <c r="D68" i="4"/>
  <c r="D68" i="7" s="1"/>
  <c r="D68" i="6" l="1"/>
  <c r="D68" i="5"/>
  <c r="D63" i="6" l="1"/>
  <c r="D62" i="6"/>
  <c r="D60" i="6"/>
  <c r="D38" i="6"/>
  <c r="D30" i="6"/>
  <c r="D19" i="6"/>
  <c r="D45" i="6"/>
  <c r="D47" i="6"/>
  <c r="D17" i="6"/>
  <c r="D19" i="4"/>
  <c r="G69" i="7"/>
  <c r="G57" i="7" s="1"/>
  <c r="F60" i="7"/>
  <c r="E69" i="7"/>
  <c r="E28" i="7" s="1"/>
  <c r="F59" i="7"/>
  <c r="F58" i="7"/>
  <c r="F57" i="7"/>
  <c r="F56" i="7"/>
  <c r="F55" i="7"/>
  <c r="F54" i="7"/>
  <c r="F53" i="7"/>
  <c r="F52" i="7"/>
  <c r="F51" i="7"/>
  <c r="F50" i="7"/>
  <c r="F49" i="7"/>
  <c r="F48" i="7"/>
  <c r="F46" i="7"/>
  <c r="F44" i="7"/>
  <c r="F43" i="7"/>
  <c r="F42" i="7"/>
  <c r="F41" i="7"/>
  <c r="F40" i="7"/>
  <c r="F39" i="7"/>
  <c r="F37" i="7"/>
  <c r="F36" i="7"/>
  <c r="G35" i="4"/>
  <c r="F35" i="7"/>
  <c r="E35" i="4"/>
  <c r="G34" i="7"/>
  <c r="F34" i="7"/>
  <c r="G33" i="4"/>
  <c r="G33" i="7" s="1"/>
  <c r="F33" i="7"/>
  <c r="E33" i="4"/>
  <c r="E33" i="5" s="1"/>
  <c r="F32" i="7"/>
  <c r="G31" i="7"/>
  <c r="F31" i="7"/>
  <c r="G29" i="4"/>
  <c r="G29" i="6" s="1"/>
  <c r="F29" i="7"/>
  <c r="E29" i="4"/>
  <c r="E29" i="5" s="1"/>
  <c r="F28" i="7"/>
  <c r="F27" i="7"/>
  <c r="F26" i="7"/>
  <c r="F25" i="7"/>
  <c r="F24" i="7"/>
  <c r="F23" i="7"/>
  <c r="F22" i="7"/>
  <c r="F21" i="7"/>
  <c r="F20" i="7"/>
  <c r="F18" i="7"/>
  <c r="F16" i="7"/>
  <c r="G13" i="4"/>
  <c r="G13" i="7" s="1"/>
  <c r="F13" i="7"/>
  <c r="E13" i="4"/>
  <c r="E13" i="5" s="1"/>
  <c r="G12" i="4"/>
  <c r="E12" i="4"/>
  <c r="E12" i="5" s="1"/>
  <c r="F12" i="7"/>
  <c r="F69" i="7"/>
  <c r="D69" i="7"/>
  <c r="G34" i="6"/>
  <c r="F34" i="6"/>
  <c r="E34" i="6"/>
  <c r="D34" i="6"/>
  <c r="G34" i="5"/>
  <c r="F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J18" i="1"/>
  <c r="I18" i="1"/>
  <c r="E18" i="1"/>
  <c r="E52" i="1"/>
  <c r="F52" i="1"/>
  <c r="G55" i="6"/>
  <c r="E54" i="5"/>
  <c r="D52" i="6"/>
  <c r="N52" i="6" s="1"/>
  <c r="V59" i="1"/>
  <c r="V61" i="1"/>
  <c r="E55" i="1"/>
  <c r="F55" i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H33" i="4"/>
  <c r="F33" i="4"/>
  <c r="D33" i="4"/>
  <c r="D33" i="6" s="1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D13" i="7" s="1"/>
  <c r="H12" i="4"/>
  <c r="F12" i="4"/>
  <c r="D12" i="4"/>
  <c r="E42" i="1"/>
  <c r="F42" i="1"/>
  <c r="E38" i="1"/>
  <c r="E39" i="1"/>
  <c r="F37" i="1"/>
  <c r="F37" i="6"/>
  <c r="I37" i="1"/>
  <c r="J37" i="1"/>
  <c r="I40" i="1"/>
  <c r="J40" i="1"/>
  <c r="I39" i="1"/>
  <c r="J39" i="1"/>
  <c r="E41" i="1"/>
  <c r="F41" i="1"/>
  <c r="F41" i="6"/>
  <c r="F49" i="1"/>
  <c r="F49" i="6"/>
  <c r="E58" i="1"/>
  <c r="F58" i="1"/>
  <c r="E57" i="1"/>
  <c r="F57" i="1"/>
  <c r="E56" i="1"/>
  <c r="F56" i="1"/>
  <c r="E45" i="1"/>
  <c r="F45" i="1"/>
  <c r="E16" i="1"/>
  <c r="F16" i="1"/>
  <c r="F16" i="6"/>
  <c r="E14" i="1"/>
  <c r="F14" i="1"/>
  <c r="F14" i="6" s="1"/>
  <c r="B39" i="1"/>
  <c r="B40" i="1"/>
  <c r="E36" i="1"/>
  <c r="F36" i="1"/>
  <c r="F36" i="6"/>
  <c r="E35" i="1"/>
  <c r="F35" i="1"/>
  <c r="F35" i="6"/>
  <c r="E31" i="1"/>
  <c r="F31" i="1"/>
  <c r="F31" i="6"/>
  <c r="E30" i="1"/>
  <c r="F30" i="1"/>
  <c r="F30" i="6"/>
  <c r="H37" i="1"/>
  <c r="F28" i="1"/>
  <c r="F18" i="1"/>
  <c r="F57" i="6"/>
  <c r="F57" i="5"/>
  <c r="F58" i="6"/>
  <c r="F58" i="5"/>
  <c r="F44" i="6"/>
  <c r="F42" i="6"/>
  <c r="F42" i="5"/>
  <c r="D50" i="7"/>
  <c r="O50" i="1"/>
  <c r="P50" i="1"/>
  <c r="F46" i="6"/>
  <c r="F43" i="6"/>
  <c r="F43" i="5"/>
  <c r="D36" i="7"/>
  <c r="F38" i="1"/>
  <c r="F38" i="6"/>
  <c r="F56" i="6"/>
  <c r="F53" i="6"/>
  <c r="F53" i="5"/>
  <c r="F60" i="6"/>
  <c r="F55" i="6"/>
  <c r="F55" i="5"/>
  <c r="F18" i="6"/>
  <c r="F28" i="6"/>
  <c r="F59" i="6"/>
  <c r="F54" i="6"/>
  <c r="F54" i="5"/>
  <c r="F18" i="4"/>
  <c r="F28" i="4"/>
  <c r="F18" i="5"/>
  <c r="F2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5" i="5"/>
  <c r="E37" i="5"/>
  <c r="E39" i="5"/>
  <c r="E44" i="5"/>
  <c r="E56" i="5"/>
  <c r="G12" i="5"/>
  <c r="G18" i="5"/>
  <c r="G21" i="5"/>
  <c r="G23" i="5"/>
  <c r="G25" i="5"/>
  <c r="G27" i="5"/>
  <c r="G29" i="5"/>
  <c r="G31" i="5"/>
  <c r="G33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5" i="5"/>
  <c r="G39" i="5"/>
  <c r="G44" i="5"/>
  <c r="G56" i="5"/>
  <c r="G12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31" i="6"/>
  <c r="E32" i="6"/>
  <c r="G32" i="6"/>
  <c r="G33" i="6"/>
  <c r="E35" i="6"/>
  <c r="G36" i="6"/>
  <c r="E37" i="6"/>
  <c r="E39" i="6"/>
  <c r="G40" i="6"/>
  <c r="E41" i="6"/>
  <c r="G44" i="6"/>
  <c r="E46" i="6"/>
  <c r="G56" i="6"/>
  <c r="E59" i="6"/>
  <c r="D21" i="6"/>
  <c r="D29" i="6"/>
  <c r="D41" i="6"/>
  <c r="F16" i="4"/>
  <c r="F31" i="4"/>
  <c r="F35" i="4"/>
  <c r="F36" i="4"/>
  <c r="F59" i="4"/>
  <c r="F16" i="5"/>
  <c r="F30" i="5"/>
  <c r="F31" i="5"/>
  <c r="F35" i="5"/>
  <c r="F36" i="5"/>
  <c r="F37" i="5"/>
  <c r="F38" i="5"/>
  <c r="F41" i="5"/>
  <c r="F44" i="5"/>
  <c r="F46" i="5"/>
  <c r="F49" i="5"/>
  <c r="F56" i="5"/>
  <c r="F59" i="5"/>
  <c r="E40" i="1"/>
  <c r="F40" i="1"/>
  <c r="F39" i="1"/>
  <c r="D39" i="6"/>
  <c r="G51" i="6"/>
  <c r="E50" i="6"/>
  <c r="E50" i="5"/>
  <c r="G50" i="5"/>
  <c r="F50" i="6"/>
  <c r="F50" i="5"/>
  <c r="G51" i="5"/>
  <c r="G50" i="6"/>
  <c r="F40" i="6"/>
  <c r="F40" i="5"/>
  <c r="F40" i="4"/>
  <c r="F39" i="6"/>
  <c r="F39" i="5"/>
  <c r="F39" i="4"/>
  <c r="E33" i="6" l="1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70" i="5"/>
  <c r="D63" i="5" l="1"/>
  <c r="D62" i="5"/>
  <c r="D60" i="5"/>
  <c r="E72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<sst xmlns="http://schemas.openxmlformats.org/spreadsheetml/2006/main" count="749" uniqueCount="277">
  <si>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</si>
  <si>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</si>
  <si>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</si>
  <si>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</si>
  <si>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</si>
  <si>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</si>
  <si>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</si>
  <si>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</si>
  <si>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</si>
  <si>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</si>
  <si>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</si>
  <si>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</si>
  <si>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</si>
  <si>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</si>
  <si>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</si>
  <si>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</si>
  <si>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</si>
  <si>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</si>
  <si>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</si>
  <si>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</si>
  <si>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</si>
  <si>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</si>
  <si>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</si>
  <si>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</si>
  <si>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</si>
  <si>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</si>
  <si>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</si>
  <si>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</si>
  <si>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</si>
  <si>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</si>
  <si>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</si>
  <si>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</si>
  <si>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</si>
  <si>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</si>
  <si>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</si>
  <si>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</si>
  <si>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</si>
  <si>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</si>
  <si>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</si>
  <si>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</si>
  <si>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</si>
  <si>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</si>
  <si>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</si>
  <si>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</si>
  <si>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</si>
  <si>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</si>
  <si>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</si>
  <si>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</si>
  <si>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</si>
  <si>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</si>
  <si>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</si>
  <si>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</si>
  <si>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</si>
  <si>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</si>
  <si>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</si>
  <si>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</si>
  <si>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</si>
  <si>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</si>
  <si>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</si>
  <si>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</si>
  <si>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</si>
  <si>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</si>
  <si>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</si>
  <si>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</si>
  <si>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</si>
  <si>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</si>
  <si>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</si>
  <si>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</si>
  <si>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</si>
  <si>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</si>
  <si>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</si>
  <si>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</si>
  <si>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</si>
  <si>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</si>
  <si>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</si>
  <si>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</si>
  <si>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</si>
  <si>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</si>
  <si>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</si>
  <si>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</si>
  <si>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</si>
  <si>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</si>
  <si>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</si>
  <si>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</si>
  <si>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</si>
  <si>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</si>
  <si>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</si>
  <si>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</si>
  <si>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</si>
  <si>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</si>
  <si>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</si>
  <si>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</si>
  <si>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</si>
  <si>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</si>
  <si>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</si>
  <si>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</si>
  <si>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</si>
  <si>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</si>
  <si>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</si>
  <si>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</si>
  <si>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</si>
  <si>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</si>
  <si>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</si>
  <si>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</si>
  <si>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</si>
  <si>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</si>
  <si>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</si>
  <si>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</si>
  <si>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</si>
  <si>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</si>
  <si>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</si>
  <si>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</si>
  <si>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</si>
  <si>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</si>
  <si>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</si>
  <si>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</si>
  <si>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</si>
  <si>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</si>
  <si>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</si>
  <si>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</si>
  <si>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</si>
  <si>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</si>
  <si>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</si>
  <si>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</si>
  <si>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</si>
  <si>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</si>
  <si>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</si>
  <si>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</si>
  <si>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</si>
  <si>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</si>
  <si>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</si>
  <si>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</si>
  <si>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</si>
  <si>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</si>
  <si>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</si>
  <si>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</si>
  <si>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</si>
  <si>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</si>
  <si>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</si>
  <si>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</si>
  <si>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</si>
  <si>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</si>
  <si>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</si>
  <si>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</si>
  <si>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</si>
  <si>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</si>
  <si>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</si>
  <si>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</si>
  <si>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</si>
  <si>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</si>
  <si>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</si>
  <si>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</si>
  <si>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</si>
  <si>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</si>
  <si>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Hydrogen TARGET - center of target (Target length measured 30.026 cm)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</si>
  <si>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</si>
  <si>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</si>
  <si>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</si>
  <si>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</si>
  <si>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</si>
  <si>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</si>
  <si>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</si>
  <si>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</si>
  <si>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</si>
  <si>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</si>
  <si>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</si>
  <si>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</si>
  <si>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</si>
  <si>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</si>
  <si>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</si>
  <si>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</si>
  <si>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</si>
  <si>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</si>
  <si>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</si>
  <si>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</si>
  <si>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</si>
  <si>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</si>
  <si>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</si>
  <si>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</si>
  <si>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</si>
  <si>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</si>
  <si>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</si>
  <si>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</si>
  <si>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</si>
  <si>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</si>
  <si>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</si>
  <si>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</si>
  <si>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</si>
  <si>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</si>
  <si>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</si>
  <si>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</si>
  <si>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</si>
  <si>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</si>
  <si>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</si>
  <si>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</si>
  <si>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HYDROGEN TARGET center</t>
  </si>
  <si>
    <t>Hydrogen target US window</t>
  </si>
  <si>
    <t>Hydrogen Target DS window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</si>
  <si>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</si>
  <si>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</si>
  <si>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</si>
  <si>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</si>
  <si>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</si>
  <si>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</si>
  <si>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</si>
  <si>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</si>
  <si>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</si>
  <si>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</si>
  <si>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</si>
  <si>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</si>
  <si>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</si>
  <si>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</si>
  <si>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</si>
  <si>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</si>
  <si>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</si>
  <si>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</si>
  <si>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</si>
  <si>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</si>
  <si>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</si>
  <si>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</si>
  <si>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</si>
  <si>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</si>
  <si>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</si>
  <si>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</si>
  <si>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</si>
  <si>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</si>
  <si>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</si>
  <si>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</si>
  <si>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</si>
  <si>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</si>
  <si>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</si>
  <si>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</si>
  <si>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</si>
  <si>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</si>
  <si>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</si>
  <si>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</si>
  <si>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</si>
  <si>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</si>
  <si>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</si>
  <si>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</si>
  <si>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</si>
  <si>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</si>
  <si>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</si>
  <si>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</si>
  <si>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</si>
  <si>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</si>
  <si>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</si>
  <si>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</si>
  <si>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</si>
  <si>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</si>
  <si>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</si>
  <si>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</si>
  <si>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</si>
  <si>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</si>
  <si>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HTAR (warm)</t>
  </si>
  <si>
    <t xml:space="preserve">Bad meas </t>
  </si>
  <si>
    <t xml:space="preserve"> Bad meas</t>
  </si>
  <si>
    <t>(set)</t>
  </si>
  <si>
    <t>Microscope and Hodo plates 3, 4 and 5 were resurved Jan 2017, all others are from fall 2016 survey.</t>
  </si>
  <si>
    <t>Muon Detector</t>
  </si>
  <si>
    <t>LINE/HALL D Dec 2017 SURVEY REPORT</t>
  </si>
  <si>
    <t>TOF was not remeasured but the originally measured offset from th FCAL was assumed since it was not disturbed.</t>
  </si>
  <si>
    <t>TAC</t>
  </si>
  <si>
    <t>HDTAC</t>
  </si>
  <si>
    <t xml:space="preserve">  </t>
  </si>
  <si>
    <t>Items resurveyed prior to Fall 2018 run:  HG, LG and  Pair Spec magnet, TAC,  Goniometer, FCAL, Target</t>
  </si>
  <si>
    <t>Muon Detector was removed for this run</t>
  </si>
  <si>
    <t>JD70-100  diamond removed and sent to Richard for testing</t>
  </si>
  <si>
    <t>Lower DIRC Bbox 1</t>
  </si>
  <si>
    <t>Lower DIRC Bbox 2</t>
  </si>
  <si>
    <t>LDIRC1</t>
  </si>
  <si>
    <t>LDIRC2</t>
  </si>
  <si>
    <t>SC not remeasured, but assumed to move with new target location, used relative data from Oct 2017 measurement</t>
  </si>
  <si>
    <t>CompCal to be installed in November</t>
  </si>
  <si>
    <t>Goni Z</t>
  </si>
  <si>
    <t>TAC - center of upstream face</t>
  </si>
  <si>
    <t>Scattering chamber was not remeasured but assumed the same offset from target from previous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</si>
</sst>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00"/>
    <numFmt numFmtId="167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/>
    <xf numFmtId="166" fontId="0" fillId="0" borderId="0" xfId="0" applyNumberFormat="1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2" xfId="0" applyFill="1" applyBorder="1"/>
    <xf numFmtId="0" fontId="0" fillId="0" borderId="0" xfId="0" applyFill="1" applyBorder="1"/>
    <xf numFmtId="0" fontId="0" fillId="2" borderId="1" xfId="0" applyFill="1" applyBorder="1"/>
    <xf numFmtId="0" fontId="0" fillId="2" borderId="0" xfId="0" applyFill="1"/>
    <xf numFmtId="164" fontId="0" fillId="2" borderId="1" xfId="0" applyNumberFormat="1" applyFill="1" applyBorder="1"/>
    <xf numFmtId="165" fontId="0" fillId="2" borderId="1" xfId="0" applyNumberFormat="1" applyFill="1" applyBorder="1"/>
    <xf numFmtId="164" fontId="0" fillId="2" borderId="0" xfId="0" applyNumberFormat="1" applyFill="1"/>
    <xf numFmtId="164" fontId="0" fillId="2" borderId="2" xfId="0" applyNumberFormat="1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3" borderId="1" xfId="0" applyFill="1" applyBorder="1"/>
    <xf numFmtId="164" fontId="0" fillId="3" borderId="1" xfId="0" applyNumberFormat="1" applyFill="1" applyBorder="1"/>
    <xf numFmtId="164" fontId="0" fillId="3" borderId="2" xfId="0" applyNumberFormat="1" applyFill="1" applyBorder="1"/>
    <xf numFmtId="165" fontId="0" fillId="3" borderId="1" xfId="0" applyNumberFormat="1" applyFill="1" applyBorder="1"/>
    <xf numFmtId="0" fontId="0" fillId="3" borderId="0" xfId="0" applyFill="1"/>
    <xf numFmtId="0" fontId="0" fillId="0" borderId="0" xfId="0" applyBorder="1"/>
    <xf numFmtId="0" fontId="0" fillId="0" borderId="1" xfId="0" applyFont="1" applyFill="1" applyBorder="1"/>
    <xf numFmtId="0" fontId="0" fillId="0" borderId="0" xfId="0" applyFill="1"/>
    <xf numFmtId="0" fontId="0" fillId="4" borderId="0" xfId="0" applyFill="1"/>
    <xf numFmtId="16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365760</xdr:colOff>
          <xdr:row>0</xdr:row>
          <xdr:rowOff>38100</xdr:rowOff>
        </xdr:from>
        <xdr:to>
          <xdr:col>22</xdr:col>
          <xdr:colOff>594360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164705" y="5779770"/>
          <a:ext cx="614934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15240</xdr:colOff>
      <xdr:row>47</xdr:row>
      <xdr:rowOff>84773</xdr:rowOff>
    </xdr:from>
    <xdr:to>
      <xdr:col>12</xdr:col>
      <xdr:colOff>281940</xdr:colOff>
      <xdr:row>92</xdr:row>
      <xdr:rowOff>54293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15240" y="8756333"/>
          <a:ext cx="7581900" cy="8199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30</xdr:col>
          <xdr:colOff>365760</xdr:colOff>
          <xdr:row>68</xdr:row>
          <xdr:rowOff>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3"/>
  <sheetViews>
    <sheetView tabSelected="1" topLeftCell="A43" workbookViewId="0">
      <selection activeCell="A73" sqref="A73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3.109375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3" width="9.109375" style="4"/>
    <col min="14" max="14" width="9.5546875" style="4" bestFit="1" customWidth="1"/>
    <col min="15" max="16" width="9.109375" style="4"/>
    <col min="17" max="17" width="10.44140625" style="4" customWidth="1"/>
    <col min="18" max="18" width="9.109375" style="4"/>
    <col min="19" max="19" width="10.6640625" style="4" customWidth="1"/>
    <col min="20" max="16384" width="9.109375" style="4"/>
  </cols>
  <sheetData>
    <row r="1" spans="1:16" ht="15" x14ac:dyDescent="0.25">
      <c r="A1" s="4" t="s">
        <v>260</v>
      </c>
    </row>
    <row r="2" spans="1:16" x14ac:dyDescent="0.3">
      <c r="A2" s="43" t="s">
        <v>67</v>
      </c>
      <c r="B2" s="43"/>
      <c r="C2" s="43"/>
      <c r="D2" s="43"/>
    </row>
    <row r="3" spans="1:16" x14ac:dyDescent="0.3">
      <c r="A3" s="43"/>
      <c r="B3" s="43"/>
      <c r="C3" s="43"/>
      <c r="D3" s="43"/>
    </row>
    <row r="4" spans="1:16" x14ac:dyDescent="0.3">
      <c r="A4" s="43"/>
      <c r="B4" s="43"/>
      <c r="C4" s="43"/>
      <c r="D4" s="43"/>
    </row>
    <row r="5" spans="1:16" x14ac:dyDescent="0.3">
      <c r="A5" s="44"/>
      <c r="B5" s="44"/>
      <c r="C5" s="44"/>
      <c r="D5" s="44"/>
    </row>
    <row r="10" spans="1:16" ht="15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45" t="s">
        <v>48</v>
      </c>
      <c r="M10" s="45"/>
      <c r="N10" s="45"/>
      <c r="O10" s="45"/>
      <c r="P10" s="45"/>
    </row>
    <row r="11" spans="1:16" ht="15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51" customFormat="1" ht="15" x14ac:dyDescent="0.25">
      <c r="A14" s="51" t="s">
        <v>156</v>
      </c>
      <c r="B14" s="47" t="s">
        <v>1</v>
      </c>
      <c r="C14" s="47"/>
      <c r="D14" s="48">
        <v>299.08625000000001</v>
      </c>
      <c r="E14" s="51" t="s">
        <v>159</v>
      </c>
      <c r="F14" s="48">
        <f>'data from JD'!F14+'data from JD'!P14/1000</f>
        <v>-8.8999999999999995E-5</v>
      </c>
      <c r="H14" s="48"/>
      <c r="I14" s="50"/>
      <c r="J14" s="50" t="s">
        <v>46</v>
      </c>
      <c r="K14" s="47"/>
      <c r="L14" s="47" t="s">
        <v>155</v>
      </c>
      <c r="M14" s="47"/>
      <c r="N14" s="47"/>
      <c r="O14" s="47"/>
      <c r="P14" s="47"/>
    </row>
    <row r="15" spans="1:16" s="51" customFormat="1" ht="15" x14ac:dyDescent="0.25">
      <c r="A15" s="51" t="s">
        <v>157</v>
      </c>
      <c r="B15" s="47"/>
      <c r="C15" s="48"/>
      <c r="D15" s="48">
        <f>D14+0.0249</f>
        <v>299.11115000000001</v>
      </c>
      <c r="F15" s="48"/>
      <c r="H15" s="48"/>
      <c r="I15" s="50"/>
      <c r="J15" s="50"/>
      <c r="K15" s="47"/>
      <c r="L15" s="47" t="s">
        <v>158</v>
      </c>
      <c r="M15" s="47"/>
      <c r="N15" s="47"/>
      <c r="O15" s="47"/>
      <c r="P15" s="47"/>
    </row>
    <row r="16" spans="1:16" ht="15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ht="15" x14ac:dyDescent="0.25">
      <c r="A18" s="15" t="s">
        <v>164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HODO!G10</f>
        <v>303.09948000000003</v>
      </c>
      <c r="E20" s="16">
        <f>HODO!H10</f>
        <v>79.717939999999999</v>
      </c>
      <c r="F20" s="16">
        <f>'data from JD'!F20+'data from JD'!P20/1000</f>
        <v>-2.7500000000000002E-4</v>
      </c>
      <c r="G20" s="16">
        <f>HODO!I10</f>
        <v>104.76997</v>
      </c>
      <c r="H20" s="16">
        <f>HODO!P10</f>
        <v>-8.0449907090024517</v>
      </c>
      <c r="I20" s="16">
        <f>HODO!Q10</f>
        <v>-7.1393711111308105E-3</v>
      </c>
      <c r="J20" s="16">
        <f>HODO!R10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HODO!G15</f>
        <v>304.38873000000001</v>
      </c>
      <c r="E21" s="16">
        <f>HODO!H15</f>
        <v>79.536720000000003</v>
      </c>
      <c r="F21" s="16">
        <f>'data from JD'!F21+'data from JD'!P21/1000</f>
        <v>-1.75E-4</v>
      </c>
      <c r="G21" s="16">
        <f>HODO!I15</f>
        <v>104.77006</v>
      </c>
      <c r="H21" s="16">
        <f>HODO!P15</f>
        <v>-8.0499647158416092</v>
      </c>
      <c r="I21" s="16">
        <f>HODO!Q15</f>
        <v>-4.0328556835919349E-3</v>
      </c>
      <c r="J21" s="16">
        <f>HODO!R15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HODO!G20</f>
        <v>305.66979092000003</v>
      </c>
      <c r="E22" s="16">
        <f>HODO!H20</f>
        <v>79.354157810000004</v>
      </c>
      <c r="F22" s="16">
        <f>'data from JD'!F22+'data from JD'!P22/1000</f>
        <v>0</v>
      </c>
      <c r="G22" s="16">
        <f>HODO!I20</f>
        <v>104.77029434000001</v>
      </c>
      <c r="H22" s="16">
        <f>HODO!P20</f>
        <v>-8.0972930165940973</v>
      </c>
      <c r="I22" s="16">
        <f>HODO!Q20</f>
        <v>3.9426660429168023E-2</v>
      </c>
      <c r="J22" s="16">
        <f>HODO!R20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HODO!G25</f>
        <v>306.65924812999998</v>
      </c>
      <c r="E23" s="16">
        <f>HODO!H25</f>
        <v>79.214755740000001</v>
      </c>
      <c r="F23" s="16">
        <f>'data from JD'!F23+'data from JD'!P23/1000</f>
        <v>7.4999999999999993E-5</v>
      </c>
      <c r="G23" s="16">
        <f>HODO!I25</f>
        <v>104.77024795</v>
      </c>
      <c r="H23" s="16">
        <f>HODO!P25</f>
        <v>-8.0164809023229786</v>
      </c>
      <c r="I23" s="16">
        <f>HODO!Q25</f>
        <v>-2.705771214530469E-2</v>
      </c>
      <c r="J23" s="16">
        <f>HODO!R25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HODO!G30</f>
        <v>307.70428380999999</v>
      </c>
      <c r="E24" s="16">
        <f>HODO!H30</f>
        <v>79.067831780000006</v>
      </c>
      <c r="F24" s="16">
        <f>'data from JD'!F24+'data from JD'!P24/1000</f>
        <v>-2.2499999999999999E-4</v>
      </c>
      <c r="G24" s="16">
        <f>HODO!I30</f>
        <v>104.76980234</v>
      </c>
      <c r="H24" s="16">
        <f>HODO!P30</f>
        <v>-8.1219318911421308</v>
      </c>
      <c r="I24" s="16">
        <f>HODO!Q30</f>
        <v>-8.8322313335489136E-3</v>
      </c>
      <c r="J24" s="16">
        <f>HODO!R30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HODO!G35</f>
        <v>308.89994000000002</v>
      </c>
      <c r="E25" s="16">
        <f>HODO!H35</f>
        <v>78.899289999999993</v>
      </c>
      <c r="F25" s="16">
        <f>'data from JD'!F25+'data from JD'!P25/1000</f>
        <v>-5.0000000000000001E-4</v>
      </c>
      <c r="G25" s="16">
        <f>HODO!I35</f>
        <v>104.76918999999999</v>
      </c>
      <c r="H25" s="16">
        <f>HODO!P35</f>
        <v>-8.0937395766408056</v>
      </c>
      <c r="I25" s="16">
        <f>HODO!Q35</f>
        <v>3.3280790462276548E-2</v>
      </c>
      <c r="J25" s="16">
        <f>HODO!R35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HODO!G40</f>
        <v>310.14301</v>
      </c>
      <c r="E26" s="16">
        <f>HODO!H40</f>
        <v>78.722020000000001</v>
      </c>
      <c r="F26" s="16">
        <f>'data from JD'!F26+'data from JD'!P26/1000</f>
        <v>4.4999999999999999E-4</v>
      </c>
      <c r="G26" s="16">
        <f>HODO!I40</f>
        <v>104.77017000000001</v>
      </c>
      <c r="H26" s="16">
        <f>HODO!P40</f>
        <v>-8.0610361783406557</v>
      </c>
      <c r="I26" s="16">
        <f>HODO!Q40</f>
        <v>-1.043013430950851E-2</v>
      </c>
      <c r="J26" s="16">
        <f>HODO!R40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HODO!G45</f>
        <v>311.56452000000002</v>
      </c>
      <c r="E27" s="16">
        <f>HODO!H45</f>
        <v>78.525919999999999</v>
      </c>
      <c r="F27" s="16">
        <f>'data from JD'!F27+'data from JD'!P27/1000</f>
        <v>1.25E-4</v>
      </c>
      <c r="G27" s="16">
        <f>HODO!I45</f>
        <v>104.7701</v>
      </c>
      <c r="H27" s="16">
        <f>'data from JD'!L27+'data from JD'!R27</f>
        <v>-8.0435622717000008</v>
      </c>
      <c r="I27" s="16">
        <f>'data from JD'!M27+'data from JD'!S27</f>
        <v>-1.6094320299999999E-2</v>
      </c>
      <c r="J27" s="16">
        <f>'data from JD'!N27+'data from JD'!T27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v>306.52375999999998</v>
      </c>
      <c r="E28" s="16">
        <v>79.433340000000001</v>
      </c>
      <c r="F28" s="16">
        <f>'data from JD'!F28+'data from JD'!P28/1000</f>
        <v>-0.91003700003305099</v>
      </c>
      <c r="G28" s="16">
        <v>104.69991</v>
      </c>
      <c r="H28" s="16">
        <v>-8.0521999999999991</v>
      </c>
      <c r="I28" s="17">
        <v>6.6E-3</v>
      </c>
      <c r="J28" s="17"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1" customFormat="1" ht="15" x14ac:dyDescent="0.25">
      <c r="A30" s="47" t="s">
        <v>52</v>
      </c>
      <c r="B30" s="47" t="s">
        <v>25</v>
      </c>
      <c r="C30" s="47"/>
      <c r="D30" s="48">
        <v>374.48548</v>
      </c>
      <c r="E30" s="48">
        <v>80.599950000000007</v>
      </c>
      <c r="F30" s="48">
        <v>104.69996999999999</v>
      </c>
      <c r="G30" s="49">
        <v>104.70001999999999</v>
      </c>
      <c r="H30" s="50">
        <v>5.1999999999999998E-3</v>
      </c>
      <c r="I30" s="50">
        <v>1.1000000000000001E-3</v>
      </c>
      <c r="J30" s="50">
        <v>-0.01</v>
      </c>
      <c r="K30" s="47"/>
      <c r="L30" s="47"/>
      <c r="M30" s="47"/>
      <c r="N30" s="47"/>
      <c r="O30" s="47"/>
      <c r="P30" s="47"/>
    </row>
    <row r="31" spans="1:16" ht="15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3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3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3">
      <c r="A34" s="15" t="s">
        <v>162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3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s="38" customFormat="1" x14ac:dyDescent="0.3">
      <c r="A36" s="37" t="s">
        <v>57</v>
      </c>
      <c r="B36" s="37" t="s">
        <v>21</v>
      </c>
      <c r="C36" s="37"/>
      <c r="D36" s="39">
        <v>386.76733000000002</v>
      </c>
      <c r="E36" s="39">
        <v>80.599900000000005</v>
      </c>
      <c r="F36" s="39">
        <f>'data from JD'!F36+'data from JD'!P36/1000</f>
        <v>0.17991300000029103</v>
      </c>
      <c r="G36" s="39">
        <v>104.69956000000001</v>
      </c>
      <c r="H36" s="39">
        <v>6.7000000000000002E-3</v>
      </c>
      <c r="I36" s="40">
        <v>-1.0800000000000001E-2</v>
      </c>
      <c r="J36" s="40">
        <v>-2E-3</v>
      </c>
      <c r="K36" s="37"/>
      <c r="L36" s="37"/>
      <c r="M36" s="37"/>
      <c r="N36" s="37"/>
      <c r="O36" s="37"/>
      <c r="P36" s="37"/>
    </row>
    <row r="37" spans="1:21" s="38" customFormat="1" x14ac:dyDescent="0.3">
      <c r="A37" s="37" t="s">
        <v>58</v>
      </c>
      <c r="B37" s="37" t="s">
        <v>19</v>
      </c>
      <c r="C37" s="37"/>
      <c r="D37" s="39">
        <v>389.69475</v>
      </c>
      <c r="E37" s="39">
        <v>80.361410000000006</v>
      </c>
      <c r="F37" s="39">
        <v>104.70003</v>
      </c>
      <c r="G37" s="42">
        <v>104.70001000000001</v>
      </c>
      <c r="H37" s="40">
        <v>-4.6894999999999998</v>
      </c>
      <c r="I37" s="40">
        <v>4.7000000000000002E-3</v>
      </c>
      <c r="J37" s="40">
        <v>1.41E-2</v>
      </c>
      <c r="K37" s="37"/>
      <c r="L37" s="37"/>
      <c r="M37" s="37"/>
      <c r="N37" s="37"/>
      <c r="O37" s="37"/>
      <c r="P37" s="37"/>
    </row>
    <row r="38" spans="1:21" s="38" customFormat="1" x14ac:dyDescent="0.3">
      <c r="A38" s="37" t="s">
        <v>59</v>
      </c>
      <c r="B38" s="37" t="s">
        <v>20</v>
      </c>
      <c r="C38" s="37"/>
      <c r="D38" s="39">
        <v>389.69421</v>
      </c>
      <c r="E38" s="39">
        <v>80.838520000000003</v>
      </c>
      <c r="F38" s="39">
        <v>104.70019000000001</v>
      </c>
      <c r="G38" s="42">
        <v>104.69998</v>
      </c>
      <c r="H38" s="40">
        <v>4.6729000000000003</v>
      </c>
      <c r="I38" s="40">
        <v>2.1999999999999999E-2</v>
      </c>
      <c r="J38" s="40">
        <v>9.5999999999999992E-3</v>
      </c>
      <c r="K38" s="37"/>
      <c r="L38" s="37"/>
      <c r="M38" s="37"/>
      <c r="N38" s="37"/>
      <c r="O38" s="37"/>
      <c r="P38" s="37"/>
    </row>
    <row r="39" spans="1:21" s="38" customFormat="1" x14ac:dyDescent="0.3">
      <c r="A39" s="37" t="s">
        <v>60</v>
      </c>
      <c r="B39" s="39" t="s">
        <v>86</v>
      </c>
      <c r="C39" s="37"/>
      <c r="D39" s="39">
        <v>390.18349999999998</v>
      </c>
      <c r="E39" s="39">
        <v>80.32517</v>
      </c>
      <c r="F39" s="39">
        <f>'data from JD'!F39+'data from JD'!P39/1000</f>
        <v>0.18167999999524154</v>
      </c>
      <c r="G39" s="39">
        <v>104.70267</v>
      </c>
      <c r="H39" s="39">
        <v>-4.6928999999999998</v>
      </c>
      <c r="I39" s="40">
        <v>-9.5799999999999996E-2</v>
      </c>
      <c r="J39" s="40">
        <v>9.8199999999999996E-2</v>
      </c>
      <c r="K39" s="37"/>
      <c r="L39" s="37"/>
      <c r="M39" s="37"/>
      <c r="N39" s="37"/>
      <c r="O39" s="37"/>
      <c r="P39" s="37"/>
    </row>
    <row r="40" spans="1:21" s="38" customFormat="1" x14ac:dyDescent="0.3">
      <c r="A40" s="37" t="s">
        <v>61</v>
      </c>
      <c r="B40" s="39" t="s">
        <v>85</v>
      </c>
      <c r="C40" s="37"/>
      <c r="D40" s="39">
        <f>390.18349</f>
        <v>390.18349000000001</v>
      </c>
      <c r="E40" s="39">
        <v>80.87509</v>
      </c>
      <c r="F40" s="39">
        <f>'data from JD'!F40+'data from JD'!P40/1000</f>
        <v>0.18207999999524152</v>
      </c>
      <c r="G40" s="39">
        <v>104.70086999999999</v>
      </c>
      <c r="H40" s="39">
        <v>4.7812999999999999</v>
      </c>
      <c r="I40" s="40">
        <v>-3.7000000000000002E-3</v>
      </c>
      <c r="J40" s="40">
        <v>-9.06E-2</v>
      </c>
      <c r="K40" s="37"/>
      <c r="L40" s="37"/>
      <c r="M40" s="37"/>
      <c r="N40" s="37"/>
      <c r="O40" s="37"/>
      <c r="P40" s="37"/>
    </row>
    <row r="41" spans="1:21" x14ac:dyDescent="0.3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3">
      <c r="A42" s="15" t="s">
        <v>141</v>
      </c>
      <c r="B42" s="15"/>
      <c r="C42" s="15"/>
      <c r="D42" s="16">
        <f>D41-2.398</f>
        <v>397.62979999999999</v>
      </c>
      <c r="E42" s="16">
        <f>(D42-D41)*TAN(H41*3.1415/180)+E41</f>
        <v>80.598620224490361</v>
      </c>
      <c r="F42" s="16"/>
      <c r="G42" s="16">
        <f>(D42-D41)*TAN(I41*3.1415/180)+G41</f>
        <v>104.69943500121455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-2.3980000000000246</v>
      </c>
      <c r="S42" s="4">
        <v>397.63062000000002</v>
      </c>
      <c r="T42" s="2">
        <f t="shared" ref="T42:T43" si="0">S42-D42</f>
        <v>8.2000000003290552E-4</v>
      </c>
      <c r="U42" s="4">
        <f>S41-S42</f>
        <v>2.397959999999955</v>
      </c>
    </row>
    <row r="43" spans="1:21" x14ac:dyDescent="0.3">
      <c r="A43" s="15" t="s">
        <v>142</v>
      </c>
      <c r="B43" s="15"/>
      <c r="C43" s="15"/>
      <c r="D43" s="16">
        <f>D42+4.796</f>
        <v>402.42579999999998</v>
      </c>
      <c r="E43" s="16">
        <f>(D43-D41)*TAN(H41*3.1415/180)+E41</f>
        <v>80.600779775509636</v>
      </c>
      <c r="F43" s="16"/>
      <c r="G43" s="16">
        <f>(D43-D41)*TAN(I41*3.1415/180)+G41</f>
        <v>104.70056499878545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2.3979999999999677</v>
      </c>
      <c r="S43" s="4">
        <v>402.42653999999999</v>
      </c>
      <c r="T43" s="2">
        <f t="shared" si="0"/>
        <v>7.4000000000751243E-4</v>
      </c>
      <c r="U43" s="4">
        <f>S43-S41</f>
        <v>2.3979600000000119</v>
      </c>
    </row>
    <row r="44" spans="1:21" x14ac:dyDescent="0.3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s="38" customFormat="1" x14ac:dyDescent="0.3">
      <c r="A45" s="37" t="s">
        <v>196</v>
      </c>
      <c r="B45" s="37"/>
      <c r="C45" s="37"/>
      <c r="D45" s="41">
        <f>D46-(D47-D46)</f>
        <v>398.64234000000005</v>
      </c>
      <c r="E45" s="39">
        <f>(D45-D46)*(TAN(H46*3.1416/180))+E46</f>
        <v>80.599958911460973</v>
      </c>
      <c r="F45" s="39"/>
      <c r="G45" s="39">
        <f>(D45-D46)*(TAN(I46*3.1416/180))+G46</f>
        <v>104.69996515746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21" s="38" customFormat="1" x14ac:dyDescent="0.3">
      <c r="A46" s="37" t="s">
        <v>195</v>
      </c>
      <c r="B46" s="37" t="s">
        <v>254</v>
      </c>
      <c r="C46" s="37"/>
      <c r="D46" s="39">
        <v>398.79009000000002</v>
      </c>
      <c r="E46" s="39">
        <v>80.599969999999999</v>
      </c>
      <c r="F46" s="39">
        <f>'data from JD'!F45+'data from JD'!P45/1000</f>
        <v>0.17992000000029104</v>
      </c>
      <c r="G46" s="39">
        <v>104.69996</v>
      </c>
      <c r="H46" s="39">
        <v>4.3E-3</v>
      </c>
      <c r="I46" s="40">
        <v>-2E-3</v>
      </c>
      <c r="J46" s="40" t="s">
        <v>46</v>
      </c>
      <c r="K46" s="37"/>
      <c r="L46" s="37"/>
      <c r="M46" s="37"/>
      <c r="N46" s="37"/>
      <c r="O46" s="37"/>
      <c r="P46" s="37"/>
    </row>
    <row r="47" spans="1:21" s="38" customFormat="1" x14ac:dyDescent="0.3">
      <c r="A47" s="37" t="s">
        <v>197</v>
      </c>
      <c r="B47" s="37"/>
      <c r="C47" s="37"/>
      <c r="D47" s="41">
        <f>D46+0.14775</f>
        <v>398.93783999999999</v>
      </c>
      <c r="E47" s="39">
        <f>(D47-D46)*(TAN(H46*3.1416/180))+E46</f>
        <v>80.599981088539025</v>
      </c>
      <c r="F47" s="39"/>
      <c r="G47" s="39">
        <f>(D47-D46)*(TAN(I46*3.1416/180))+G46</f>
        <v>104.69995484254001</v>
      </c>
      <c r="H47" s="39"/>
      <c r="I47" s="40"/>
      <c r="J47" s="40"/>
      <c r="K47" s="37"/>
      <c r="L47" s="37">
        <f>(D45+D47)/2</f>
        <v>398.79009000000002</v>
      </c>
      <c r="M47" s="39">
        <f>D46-D49</f>
        <v>0.35228999999998223</v>
      </c>
      <c r="N47" s="39">
        <f>D47-D46</f>
        <v>0.14774999999997362</v>
      </c>
      <c r="O47" s="37"/>
      <c r="P47" s="37"/>
    </row>
    <row r="48" spans="1:21" s="38" customFormat="1" x14ac:dyDescent="0.3">
      <c r="A48" s="37" t="s">
        <v>152</v>
      </c>
      <c r="B48" s="37"/>
      <c r="C48" s="37"/>
      <c r="D48" s="39">
        <f>D46-(-0.19418)</f>
        <v>398.98427000000004</v>
      </c>
      <c r="E48" s="39">
        <f>(D48-398.78738)*(TAN(H48*3.1415/180))+80.60095</f>
        <v>80.601282288341679</v>
      </c>
      <c r="F48" s="39"/>
      <c r="G48" s="39">
        <f>(D48-398.78738)*(TAN(I48*3.1415/180))+104.70174</f>
        <v>104.70199943909512</v>
      </c>
      <c r="H48" s="39">
        <f>H46-(-0.0924)</f>
        <v>9.6699999999999994E-2</v>
      </c>
      <c r="I48" s="40">
        <f>I46-(-0.0775)</f>
        <v>7.5499999999999998E-2</v>
      </c>
      <c r="J48" s="40">
        <v>-1.55E-2</v>
      </c>
      <c r="K48" s="37"/>
      <c r="L48" s="37"/>
      <c r="M48" s="37"/>
      <c r="N48" s="37"/>
      <c r="O48" s="37"/>
      <c r="P48" s="37"/>
    </row>
    <row r="49" spans="1:17" s="38" customFormat="1" x14ac:dyDescent="0.3">
      <c r="A49" s="37" t="s">
        <v>80</v>
      </c>
      <c r="B49" s="37" t="s">
        <v>18</v>
      </c>
      <c r="C49" s="39" t="s">
        <v>46</v>
      </c>
      <c r="D49" s="39">
        <f>D46-0.35229</f>
        <v>398.43780000000004</v>
      </c>
      <c r="E49" s="39" t="s">
        <v>46</v>
      </c>
      <c r="F49" s="39">
        <f>'data from JD'!F49+'data from JD'!P49/1000</f>
        <v>1.23E-3</v>
      </c>
      <c r="G49" s="39" t="s">
        <v>46</v>
      </c>
      <c r="H49" s="39" t="s">
        <v>46</v>
      </c>
      <c r="I49" s="39" t="s">
        <v>46</v>
      </c>
      <c r="J49" s="40"/>
      <c r="K49" s="37"/>
      <c r="L49" s="37"/>
      <c r="M49" s="37"/>
      <c r="N49" s="37"/>
      <c r="O49" s="37"/>
      <c r="P49" s="37"/>
    </row>
    <row r="50" spans="1:17" s="38" customFormat="1" x14ac:dyDescent="0.3">
      <c r="A50" s="37" t="s">
        <v>92</v>
      </c>
      <c r="B50" s="37"/>
      <c r="C50" s="39"/>
      <c r="D50" s="41">
        <f>D49+0.0873</f>
        <v>398.52510000000007</v>
      </c>
      <c r="E50" s="39">
        <f>(D50-D46)*(TAN(H50*3.1415/180))+E46+0.00072</f>
        <v>80.599942165981645</v>
      </c>
      <c r="F50" s="39">
        <f>'data from JD'!F50+'data from JD'!P50/1000</f>
        <v>1.23E-3</v>
      </c>
      <c r="G50" s="39">
        <f>(D50-D46)*(TAN(I50*3.1415/180))+G46</f>
        <v>104.69895826103928</v>
      </c>
      <c r="H50" s="39">
        <f>H46+0.1574</f>
        <v>0.16170000000000001</v>
      </c>
      <c r="I50" s="39">
        <f>I46+0.2186</f>
        <v>0.21659999999999999</v>
      </c>
      <c r="J50" s="40"/>
      <c r="K50" s="37"/>
      <c r="L50" s="37">
        <v>398.78809000000001</v>
      </c>
      <c r="M50" s="37"/>
      <c r="N50" s="37"/>
      <c r="O50" s="37"/>
      <c r="P50" s="37"/>
    </row>
    <row r="51" spans="1:17" s="38" customFormat="1" x14ac:dyDescent="0.3">
      <c r="A51" s="37" t="s">
        <v>93</v>
      </c>
      <c r="B51" s="37"/>
      <c r="C51" s="39"/>
      <c r="D51" s="41">
        <f>D49+0.6724</f>
        <v>399.11020000000002</v>
      </c>
      <c r="E51" s="39">
        <f>(D51-D46)*(TAN(H50*3.1415/180))+E46+0.00072</f>
        <v>80.601593389364183</v>
      </c>
      <c r="F51" s="39">
        <f>'data from JD'!F51+'data from JD'!P51/1000</f>
        <v>-4.4000000000000002E-4</v>
      </c>
      <c r="G51" s="39">
        <f>(D51-D46)*(TAN(I50*3.1415/180))+G46</f>
        <v>104.70117010852756</v>
      </c>
      <c r="H51" s="39"/>
      <c r="I51" s="39"/>
      <c r="J51" s="40"/>
      <c r="K51" s="37"/>
      <c r="L51" s="37"/>
      <c r="M51" s="37"/>
      <c r="N51" s="37"/>
      <c r="O51" s="37"/>
      <c r="P51" s="37"/>
    </row>
    <row r="52" spans="1:17" x14ac:dyDescent="0.3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3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3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3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3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3">
      <c r="A57" s="15" t="s">
        <v>160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3">
      <c r="A58" s="15" t="s">
        <v>161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s="38" customFormat="1" x14ac:dyDescent="0.3">
      <c r="A59" s="37" t="s">
        <v>65</v>
      </c>
      <c r="B59" s="37" t="s">
        <v>15</v>
      </c>
      <c r="C59" s="37"/>
      <c r="D59" s="39">
        <v>404.38753000000003</v>
      </c>
      <c r="E59" s="39">
        <v>80.606009999999998</v>
      </c>
      <c r="F59" s="39">
        <f>'data from JD'!F57+'data from JD'!P57/1000</f>
        <v>0.17997900000029105</v>
      </c>
      <c r="G59" s="39">
        <v>104.70031</v>
      </c>
      <c r="H59" s="39">
        <v>-4.8399999999999999E-2</v>
      </c>
      <c r="I59" s="40">
        <v>2.64E-2</v>
      </c>
      <c r="J59" s="40">
        <v>-1.8599999999999998E-2</v>
      </c>
      <c r="K59" s="37"/>
      <c r="L59" s="37"/>
      <c r="M59" s="37"/>
      <c r="N59" s="37"/>
      <c r="O59" s="37"/>
      <c r="P59" s="37"/>
    </row>
    <row r="60" spans="1:17" s="38" customFormat="1" x14ac:dyDescent="0.3">
      <c r="A60" s="37" t="s">
        <v>191</v>
      </c>
      <c r="B60" s="37" t="s">
        <v>16</v>
      </c>
      <c r="C60" s="37"/>
      <c r="D60" s="41">
        <f>D59-0.19113</f>
        <v>404.19640000000004</v>
      </c>
      <c r="E60" s="41">
        <f>E59-0.00221</f>
        <v>80.603799999999993</v>
      </c>
      <c r="F60" s="41">
        <f t="shared" ref="E60:J60" si="1">F59-F61</f>
        <v>0.17997900000029105</v>
      </c>
      <c r="G60" s="41">
        <f>G59-(-0.002272)</f>
        <v>104.70258200000001</v>
      </c>
      <c r="H60" s="41">
        <f>H59-(-0.11631)</f>
        <v>6.7909999999999998E-2</v>
      </c>
      <c r="I60" s="41">
        <f>I59-(-0.00086)</f>
        <v>2.726E-2</v>
      </c>
      <c r="J60" s="41">
        <f>J59-(0.1664)</f>
        <v>-0.185</v>
      </c>
      <c r="K60" s="37"/>
      <c r="L60" s="37"/>
      <c r="M60" s="37"/>
      <c r="N60" s="37"/>
      <c r="O60" s="37"/>
      <c r="P60" s="37"/>
    </row>
    <row r="61" spans="1:17" x14ac:dyDescent="0.3">
      <c r="A61" s="15" t="s">
        <v>253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7" s="54" customFormat="1" x14ac:dyDescent="0.3">
      <c r="A62" s="25" t="s">
        <v>259</v>
      </c>
      <c r="B62" s="25"/>
      <c r="C62" s="25"/>
      <c r="D62" s="53">
        <v>0</v>
      </c>
      <c r="E62" s="25">
        <v>0</v>
      </c>
      <c r="F62" s="25"/>
      <c r="G62" s="25">
        <v>0</v>
      </c>
      <c r="H62" s="25"/>
      <c r="I62" s="25"/>
      <c r="J62" s="25"/>
      <c r="K62" s="25"/>
      <c r="L62" s="25"/>
      <c r="M62" s="25"/>
      <c r="N62" s="25"/>
      <c r="O62" s="25"/>
      <c r="P62" s="25"/>
    </row>
    <row r="63" spans="1:17" s="38" customFormat="1" x14ac:dyDescent="0.3">
      <c r="A63" s="37" t="s">
        <v>262</v>
      </c>
      <c r="B63" s="39" t="s">
        <v>263</v>
      </c>
      <c r="C63" s="37"/>
      <c r="D63" s="37">
        <v>414.40679999999998</v>
      </c>
      <c r="E63" s="37">
        <v>80.599810000000005</v>
      </c>
      <c r="F63" s="37"/>
      <c r="G63" s="37">
        <v>104.70032999999999</v>
      </c>
      <c r="H63" s="37">
        <v>0.1168</v>
      </c>
      <c r="I63" s="37">
        <v>0.1065</v>
      </c>
      <c r="J63" s="37" t="s">
        <v>46</v>
      </c>
      <c r="K63" s="37"/>
      <c r="L63" s="37"/>
      <c r="M63" s="37"/>
      <c r="N63" s="37"/>
      <c r="O63" s="37"/>
      <c r="P63" s="37"/>
    </row>
    <row r="64" spans="1:17" s="51" customFormat="1" x14ac:dyDescent="0.3">
      <c r="A64" s="47" t="s">
        <v>268</v>
      </c>
      <c r="B64" s="48" t="s">
        <v>270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1:16" s="51" customFormat="1" x14ac:dyDescent="0.3">
      <c r="A65" s="47" t="s">
        <v>269</v>
      </c>
      <c r="B65" s="48" t="s">
        <v>271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1:16" s="51" customFormat="1" x14ac:dyDescent="0.3">
      <c r="A66" s="47"/>
      <c r="B66" s="48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1:16" s="51" customFormat="1" x14ac:dyDescent="0.3">
      <c r="A67" s="47"/>
      <c r="B67" s="48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1:16" x14ac:dyDescent="0.3">
      <c r="A68" s="14" t="s">
        <v>81</v>
      </c>
      <c r="B68" s="15"/>
      <c r="C68" s="15"/>
      <c r="D68" s="16">
        <f>D42+0.508</f>
        <v>398.13779999999997</v>
      </c>
      <c r="E68" s="15">
        <v>80.599999999999994</v>
      </c>
      <c r="F68" s="15"/>
      <c r="G68" s="15">
        <v>104.7</v>
      </c>
      <c r="H68" s="15"/>
      <c r="I68" s="15"/>
      <c r="J68" s="15"/>
      <c r="K68" s="15"/>
      <c r="L68" s="15"/>
      <c r="M68" s="15"/>
      <c r="N68" s="15"/>
      <c r="O68" s="15"/>
      <c r="P68" s="15"/>
    </row>
    <row r="69" spans="1:16" s="33" customFormat="1" x14ac:dyDescent="0.3">
      <c r="A69" s="14"/>
      <c r="B69" s="15"/>
      <c r="C69" s="15"/>
      <c r="D69" s="1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</row>
    <row r="70" spans="1:16" s="38" customFormat="1" x14ac:dyDescent="0.3">
      <c r="A70" s="37" t="s">
        <v>265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1:16" x14ac:dyDescent="0.3">
      <c r="A71" s="35" t="s">
        <v>261</v>
      </c>
    </row>
    <row r="72" spans="1:16" x14ac:dyDescent="0.3">
      <c r="A72" s="36" t="s">
        <v>266</v>
      </c>
    </row>
    <row r="73" spans="1:16" x14ac:dyDescent="0.3">
      <c r="A73" s="36" t="s">
        <v>276</v>
      </c>
    </row>
    <row r="74" spans="1:16" x14ac:dyDescent="0.3">
      <c r="A74" s="36" t="s">
        <v>267</v>
      </c>
      <c r="B74" s="2"/>
      <c r="D74" s="2"/>
    </row>
    <row r="75" spans="1:16" x14ac:dyDescent="0.3">
      <c r="A75" s="36" t="s">
        <v>272</v>
      </c>
      <c r="D75" s="2"/>
    </row>
    <row r="76" spans="1:16" x14ac:dyDescent="0.3">
      <c r="A76" s="36" t="s">
        <v>273</v>
      </c>
      <c r="D76" s="2"/>
    </row>
    <row r="81" spans="4:4" x14ac:dyDescent="0.3">
      <c r="D81" s="2"/>
    </row>
    <row r="83" spans="4:4" x14ac:dyDescent="0.3">
      <c r="D83" s="2"/>
    </row>
  </sheetData>
  <mergeCells count="2">
    <mergeCell ref="A2:D5"/>
    <mergeCell ref="L10:P10"/>
  </mergeCells>
  <pageMargins left="0.7" right="0.7" top="0.75" bottom="0.75" header="0.3" footer="0.3"/>
  <pageSetup scale="4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I49" sqref="I49"/>
    </sheetView>
  </sheetViews>
  <sheetFormatPr defaultRowHeight="14.4" x14ac:dyDescent="0.3"/>
  <cols>
    <col min="1" max="1" width="28.88671875" customWidth="1"/>
  </cols>
  <sheetData>
    <row r="1" spans="1:1" ht="15" x14ac:dyDescent="0.25">
      <c r="A1" t="s">
        <v>46</v>
      </c>
    </row>
    <row r="44" spans="1:9" ht="75" x14ac:dyDescent="0.25">
      <c r="B44" s="19" t="s">
        <v>185</v>
      </c>
      <c r="C44" s="19" t="s">
        <v>186</v>
      </c>
      <c r="D44" t="s">
        <v>181</v>
      </c>
      <c r="E44" s="19" t="s">
        <v>182</v>
      </c>
      <c r="F44" s="19" t="s">
        <v>183</v>
      </c>
      <c r="G44" s="19" t="s">
        <v>187</v>
      </c>
      <c r="H44" s="19" t="s">
        <v>188</v>
      </c>
      <c r="I44" s="19" t="s">
        <v>189</v>
      </c>
    </row>
    <row r="45" spans="1:9" ht="15" x14ac:dyDescent="0.25">
      <c r="A45" s="4" t="s">
        <v>180</v>
      </c>
      <c r="B45">
        <f>'Rel to HD 0,0'!D46</f>
        <v>0.65229000000005044</v>
      </c>
      <c r="C45">
        <f>(C47+C48)/2</f>
        <v>0.62739999999999996</v>
      </c>
      <c r="D45">
        <f>C45-B45</f>
        <v>-2.4890000000050483E-2</v>
      </c>
      <c r="E45">
        <v>1E-3</v>
      </c>
      <c r="F45">
        <f>D45+E45</f>
        <v>-2.3890000000050482E-2</v>
      </c>
      <c r="G45">
        <f>(G48+G47)/2</f>
        <v>0.65496000000005039</v>
      </c>
      <c r="H45">
        <f>E45</f>
        <v>1E-3</v>
      </c>
      <c r="I45">
        <f>C45-G45+H45</f>
        <v>-2.6560000000050432E-2</v>
      </c>
    </row>
    <row r="46" spans="1:9" ht="15" x14ac:dyDescent="0.25">
      <c r="A46" s="4" t="s">
        <v>152</v>
      </c>
      <c r="B46" s="4">
        <f>'Rel to HD 0,0'!D48</f>
        <v>0.84647000000006756</v>
      </c>
      <c r="C46">
        <v>0.82210000000000005</v>
      </c>
      <c r="D46" s="4">
        <f t="shared" ref="D46:D48" si="0">C46-B46</f>
        <v>-2.4370000000067504E-2</v>
      </c>
      <c r="E46">
        <v>1.5E-3</v>
      </c>
      <c r="F46" s="4">
        <f t="shared" ref="F46:F48" si="1">D46+E46</f>
        <v>-2.2870000000067503E-2</v>
      </c>
      <c r="G46">
        <f>B46</f>
        <v>0.84647000000006756</v>
      </c>
      <c r="H46" s="4">
        <f t="shared" ref="H46:H49" si="2">E46</f>
        <v>1.5E-3</v>
      </c>
      <c r="I46" s="4">
        <f t="shared" ref="I46:I49" si="3">C46-G46+H46</f>
        <v>-2.2870000000067503E-2</v>
      </c>
    </row>
    <row r="47" spans="1:9" x14ac:dyDescent="0.3">
      <c r="A47" t="s">
        <v>179</v>
      </c>
      <c r="B47">
        <f>B45-0.1513</f>
        <v>0.50099000000005045</v>
      </c>
      <c r="C47">
        <v>0.48080000000000001</v>
      </c>
      <c r="D47" s="4">
        <f t="shared" si="0"/>
        <v>-2.0190000000050445E-2</v>
      </c>
      <c r="E47">
        <v>5.0000000000000001E-4</v>
      </c>
      <c r="F47" s="4">
        <f t="shared" si="1"/>
        <v>-1.9690000000050445E-2</v>
      </c>
      <c r="G47">
        <f>G48-0.29726</f>
        <v>0.50633000000005035</v>
      </c>
      <c r="H47" s="4">
        <f t="shared" si="2"/>
        <v>5.0000000000000001E-4</v>
      </c>
      <c r="I47" s="4">
        <f t="shared" si="3"/>
        <v>-2.5030000000050345E-2</v>
      </c>
    </row>
    <row r="48" spans="1:9" x14ac:dyDescent="0.3">
      <c r="A48" t="s">
        <v>178</v>
      </c>
      <c r="B48">
        <f>B45+0.1513</f>
        <v>0.80359000000005043</v>
      </c>
      <c r="C48">
        <v>0.77400000000000002</v>
      </c>
      <c r="D48" s="4">
        <f t="shared" si="0"/>
        <v>-2.9590000000050409E-2</v>
      </c>
      <c r="E48">
        <v>2E-3</v>
      </c>
      <c r="F48" s="4">
        <f t="shared" si="1"/>
        <v>-2.7590000000050408E-2</v>
      </c>
      <c r="G48">
        <f>B48</f>
        <v>0.80359000000005043</v>
      </c>
      <c r="H48" s="4">
        <f t="shared" si="2"/>
        <v>2E-3</v>
      </c>
      <c r="I48" s="4">
        <f t="shared" si="3"/>
        <v>-2.7590000000050408E-2</v>
      </c>
    </row>
    <row r="49" spans="1:9" x14ac:dyDescent="0.3">
      <c r="A49" t="s">
        <v>184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workbookViewId="0">
      <selection activeCell="A50" sqref="A50"/>
    </sheetView>
  </sheetViews>
  <sheetFormatPr defaultRowHeight="14.4" x14ac:dyDescent="0.3"/>
  <cols>
    <col min="1" max="1" width="13.88671875" customWidth="1"/>
    <col min="11" max="11" width="10.109375" customWidth="1"/>
    <col min="13" max="13" width="12.33203125" customWidth="1"/>
  </cols>
  <sheetData>
    <row r="1" spans="1:29" ht="15" x14ac:dyDescent="0.25">
      <c r="A1" t="s">
        <v>198</v>
      </c>
    </row>
    <row r="2" spans="1:29" ht="15" x14ac:dyDescent="0.2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ht="15" x14ac:dyDescent="0.25">
      <c r="A3" s="4" t="s">
        <v>199</v>
      </c>
      <c r="B3" s="4"/>
      <c r="C3" s="4"/>
      <c r="D3" s="4"/>
      <c r="E3" s="4"/>
      <c r="F3" s="4"/>
      <c r="G3" s="4" t="s">
        <v>200</v>
      </c>
      <c r="H3" s="4"/>
      <c r="I3" s="4"/>
      <c r="J3" s="4"/>
      <c r="K3" s="4" t="s">
        <v>201</v>
      </c>
      <c r="L3" s="4"/>
      <c r="M3" s="4"/>
      <c r="N3" s="4"/>
      <c r="O3" s="4"/>
      <c r="P3" s="4" t="s">
        <v>252</v>
      </c>
      <c r="Q3" s="4"/>
      <c r="R3" s="4"/>
      <c r="S3" s="4"/>
      <c r="T3" s="4"/>
      <c r="U3" t="s">
        <v>245</v>
      </c>
      <c r="AA3" t="s">
        <v>251</v>
      </c>
    </row>
    <row r="4" spans="1:29" ht="15" x14ac:dyDescent="0.25">
      <c r="A4" s="4" t="s">
        <v>202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203</v>
      </c>
      <c r="H4" s="22" t="s">
        <v>204</v>
      </c>
      <c r="I4" s="22" t="s">
        <v>205</v>
      </c>
      <c r="J4" s="4"/>
      <c r="K4" s="22" t="s">
        <v>203</v>
      </c>
      <c r="L4" s="22" t="s">
        <v>204</v>
      </c>
      <c r="M4" s="22" t="s">
        <v>205</v>
      </c>
      <c r="N4" s="4"/>
      <c r="O4" s="4"/>
      <c r="P4" s="22" t="s">
        <v>32</v>
      </c>
      <c r="Q4" s="22" t="s">
        <v>243</v>
      </c>
      <c r="R4" s="22" t="s">
        <v>244</v>
      </c>
      <c r="S4" s="4"/>
      <c r="T4" s="4"/>
      <c r="U4" s="22" t="s">
        <v>246</v>
      </c>
      <c r="V4" s="22" t="s">
        <v>247</v>
      </c>
      <c r="W4" s="22" t="s">
        <v>248</v>
      </c>
      <c r="X4" s="22" t="s">
        <v>249</v>
      </c>
      <c r="Y4" s="22" t="s">
        <v>250</v>
      </c>
      <c r="Z4" s="22" t="s">
        <v>181</v>
      </c>
      <c r="AA4" s="22" t="s">
        <v>31</v>
      </c>
      <c r="AB4" s="22" t="s">
        <v>13</v>
      </c>
      <c r="AC4" s="22" t="s">
        <v>14</v>
      </c>
    </row>
    <row r="5" spans="1:29" ht="15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ht="15" x14ac:dyDescent="0.25">
      <c r="A6" s="4" t="s">
        <v>206</v>
      </c>
      <c r="B6" s="32">
        <v>0.17299999999999999</v>
      </c>
      <c r="C6" s="32">
        <v>0.13600000000000001</v>
      </c>
      <c r="D6" s="32">
        <v>-8.6999999999999994E-2</v>
      </c>
      <c r="E6" s="31"/>
      <c r="F6" s="31"/>
      <c r="G6" s="31">
        <v>306.52375999999998</v>
      </c>
      <c r="H6" s="31">
        <v>79.433340000000001</v>
      </c>
      <c r="I6" s="31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207</v>
      </c>
      <c r="P6" s="34">
        <v>-8.0510199999999994</v>
      </c>
      <c r="Q6" s="34">
        <v>5.1599999999999997E-3</v>
      </c>
      <c r="R6" s="34">
        <v>-3.8390000000000001E-2</v>
      </c>
      <c r="S6" s="33" t="s">
        <v>257</v>
      </c>
      <c r="T6" s="4"/>
    </row>
    <row r="7" spans="1:29" ht="15" x14ac:dyDescent="0.25">
      <c r="A7" s="4" t="s">
        <v>208</v>
      </c>
      <c r="B7" s="32">
        <v>0.185</v>
      </c>
      <c r="C7" s="32">
        <v>4.5999999999999999E-2</v>
      </c>
      <c r="D7" s="32">
        <v>-7.6999999999999999E-2</v>
      </c>
      <c r="E7" s="31"/>
      <c r="F7" s="31"/>
      <c r="G7" s="31">
        <v>306.52375000000001</v>
      </c>
      <c r="H7" s="31">
        <v>79.433250000000001</v>
      </c>
      <c r="I7" s="31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207</v>
      </c>
      <c r="P7" s="34">
        <v>-8.0521899999999995</v>
      </c>
      <c r="Q7" s="34">
        <v>6.5900000000000004E-3</v>
      </c>
      <c r="R7" s="34">
        <v>-2.3779999999999999E-2</v>
      </c>
      <c r="S7" s="33" t="s">
        <v>209</v>
      </c>
      <c r="T7" s="4"/>
      <c r="U7">
        <f>(SQRT((H12-H10)^2+(G12-G10)^2))/0.0254</f>
        <v>51.057175043084918</v>
      </c>
    </row>
    <row r="8" spans="1:29" ht="15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ht="15" x14ac:dyDescent="0.25">
      <c r="A9" s="4" t="s">
        <v>210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203</v>
      </c>
      <c r="H9" s="22" t="s">
        <v>204</v>
      </c>
      <c r="I9" s="22" t="s">
        <v>205</v>
      </c>
      <c r="J9" s="4"/>
      <c r="K9" s="22" t="s">
        <v>203</v>
      </c>
      <c r="L9" s="22" t="s">
        <v>204</v>
      </c>
      <c r="M9" s="22" t="s">
        <v>205</v>
      </c>
      <c r="N9" s="4"/>
      <c r="O9" s="4"/>
      <c r="P9" s="4"/>
      <c r="Q9" s="4"/>
      <c r="R9" s="4"/>
      <c r="S9" s="4"/>
      <c r="T9" s="4"/>
    </row>
    <row r="10" spans="1:29" ht="15" x14ac:dyDescent="0.25">
      <c r="A10" s="4" t="s">
        <v>211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3">
        <v>303.09948000000003</v>
      </c>
      <c r="H10" s="3">
        <v>79.717939999999999</v>
      </c>
      <c r="I10" s="3">
        <v>104.76997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-8.0449907090024517</v>
      </c>
      <c r="Q10" s="16">
        <f>ATAN(((I12-I10)/(G12-G10)))*180/3.1415</f>
        <v>-7.1393711111308105E-3</v>
      </c>
      <c r="R10" s="16">
        <f>ATAN(((I10-I11)/(H11-H10)))*180/3.1415</f>
        <v>-1.1378328311305591E-2</v>
      </c>
      <c r="S10" s="4"/>
      <c r="T10" s="4"/>
      <c r="U10">
        <v>157.74</v>
      </c>
      <c r="V10">
        <f>U10*0.0254</f>
        <v>4.006596</v>
      </c>
      <c r="W10" s="3">
        <f>'Rel to Goni'!$D$70+HODO!V10-HODO!G10</f>
        <v>1.8265999999982796E-2</v>
      </c>
      <c r="X10">
        <v>-34.716999999999999</v>
      </c>
      <c r="Y10" s="4">
        <f>X10*0.0254</f>
        <v>-0.88181179999999992</v>
      </c>
      <c r="Z10" s="3">
        <f>80.6+HODO!Y10-HODO!H10</f>
        <v>2.4820000000147502E-4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ht="15" x14ac:dyDescent="0.25">
      <c r="A11" s="4" t="s">
        <v>212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3">
        <v>303.12139000000002</v>
      </c>
      <c r="H11" s="3">
        <v>79.869010000000003</v>
      </c>
      <c r="I11" s="3">
        <v>104.77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ht="15" x14ac:dyDescent="0.25">
      <c r="A12" s="4" t="s">
        <v>213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3">
        <v>304.38357000000002</v>
      </c>
      <c r="H12" s="3">
        <v>79.536450000000002</v>
      </c>
      <c r="I12" s="3">
        <v>104.76981000000001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Goni'!$D$70+HODO!V12-HODO!G12</f>
        <v>1.6825199999971119E-2</v>
      </c>
      <c r="X12">
        <v>-41.859000000000002</v>
      </c>
      <c r="Y12" s="4">
        <f>X12*0.0254</f>
        <v>-1.0632185999999999</v>
      </c>
      <c r="Z12" s="3">
        <f>80.6+HODO!Y12-HODO!H12</f>
        <v>3.3139999999320935E-4</v>
      </c>
    </row>
    <row r="13" spans="1:29" ht="15" x14ac:dyDescent="0.25">
      <c r="A13" s="4" t="s">
        <v>214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3">
        <v>304.40483</v>
      </c>
      <c r="H13" s="3">
        <v>79.687479999999994</v>
      </c>
      <c r="I13" s="3">
        <v>104.76985000000001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ht="15" x14ac:dyDescent="0.2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ht="15" x14ac:dyDescent="0.25">
      <c r="A15" s="4" t="s">
        <v>215</v>
      </c>
      <c r="B15" s="23">
        <v>0.09</v>
      </c>
      <c r="C15" s="23">
        <v>0.85</v>
      </c>
      <c r="D15" s="23">
        <v>-0.74</v>
      </c>
      <c r="E15" s="4"/>
      <c r="F15" s="4"/>
      <c r="G15" s="3">
        <v>304.38873000000001</v>
      </c>
      <c r="H15" s="3">
        <v>79.536720000000003</v>
      </c>
      <c r="I15" s="3">
        <v>104.77006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-8.0499647158416092</v>
      </c>
      <c r="Q15" s="16">
        <f>ATAN(((I17-I15)/(G17-G15)))*180/3.1415</f>
        <v>-4.0328556835919349E-3</v>
      </c>
      <c r="R15" s="16">
        <f>ATAN(((I15-I16)/(H16-H15)))*180/3.1415</f>
        <v>-0.21295835331764326</v>
      </c>
      <c r="S15" s="4"/>
      <c r="T15" s="4"/>
      <c r="U15">
        <v>208.48500000000001</v>
      </c>
      <c r="V15" s="4">
        <f>U15*0.0254</f>
        <v>5.2955190000000005</v>
      </c>
      <c r="W15" s="3">
        <f>'Rel to Goni'!$D$70+HODO!V15-HODO!G15</f>
        <v>1.7939000000012584E-2</v>
      </c>
      <c r="X15">
        <v>-41.893999999999998</v>
      </c>
      <c r="Y15" s="4">
        <f>X15*0.0254</f>
        <v>-1.0641075999999998</v>
      </c>
      <c r="Z15" s="3">
        <f>80.6+HODO!Y15-HODO!H15</f>
        <v>-8.2760000000803302E-4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ht="15" x14ac:dyDescent="0.25">
      <c r="A16" s="4" t="s">
        <v>216</v>
      </c>
      <c r="B16" s="23">
        <v>0.13</v>
      </c>
      <c r="C16" s="23">
        <v>153.02000000000001</v>
      </c>
      <c r="D16" s="23">
        <v>-0.18</v>
      </c>
      <c r="E16" s="4"/>
      <c r="F16" s="4"/>
      <c r="G16" s="3">
        <v>304.41007999999999</v>
      </c>
      <c r="H16" s="3">
        <v>79.687389999999994</v>
      </c>
      <c r="I16" s="3">
        <v>104.77061999999999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ht="15" x14ac:dyDescent="0.25">
      <c r="A17" s="4" t="s">
        <v>217</v>
      </c>
      <c r="B17" s="23">
        <v>1291.5</v>
      </c>
      <c r="C17" s="23">
        <v>0.85</v>
      </c>
      <c r="D17" s="23">
        <v>-0.83</v>
      </c>
      <c r="E17" s="4"/>
      <c r="F17" s="4"/>
      <c r="G17" s="3">
        <v>305.66741999999999</v>
      </c>
      <c r="H17" s="3">
        <v>79.355879999999999</v>
      </c>
      <c r="I17" s="3">
        <v>104.76997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Goni'!$D$70+HODO!V17-HODO!G17</f>
        <v>1.55990000000088E-2</v>
      </c>
      <c r="X17">
        <v>-49.000999999999998</v>
      </c>
      <c r="Y17" s="4">
        <f>X17*0.0254</f>
        <v>-1.2446253999999999</v>
      </c>
      <c r="Z17" s="3">
        <f>80.6+HODO!Y17-HODO!H17</f>
        <v>-5.0540000000864893E-4</v>
      </c>
    </row>
    <row r="18" spans="1:29" ht="15" x14ac:dyDescent="0.25">
      <c r="A18" s="4" t="s">
        <v>218</v>
      </c>
      <c r="B18" s="23">
        <v>1291.46</v>
      </c>
      <c r="C18" s="23">
        <v>152.69</v>
      </c>
      <c r="D18" s="23">
        <v>-0.27</v>
      </c>
      <c r="E18" s="4"/>
      <c r="F18" s="4"/>
      <c r="G18" s="3">
        <v>305.68864000000002</v>
      </c>
      <c r="H18" s="3">
        <v>79.506219999999999</v>
      </c>
      <c r="I18" s="3">
        <v>104.77052999999999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ht="15" x14ac:dyDescent="0.2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ht="15" x14ac:dyDescent="0.25">
      <c r="A20" s="26" t="s">
        <v>219</v>
      </c>
      <c r="B20" s="28">
        <v>0.24</v>
      </c>
      <c r="C20" s="28">
        <v>-0.5</v>
      </c>
      <c r="D20" s="28">
        <v>-0.51</v>
      </c>
      <c r="E20" s="26"/>
      <c r="F20" s="26"/>
      <c r="G20" s="29">
        <v>305.66979092000003</v>
      </c>
      <c r="H20" s="29">
        <v>79.354157810000004</v>
      </c>
      <c r="I20" s="29">
        <v>104.77029434000001</v>
      </c>
      <c r="J20" s="26"/>
      <c r="K20" s="29">
        <v>305.66962000000001</v>
      </c>
      <c r="L20" s="29">
        <v>79.354690000000005</v>
      </c>
      <c r="M20" s="29">
        <v>104.77079999999999</v>
      </c>
      <c r="N20" s="4"/>
      <c r="O20" s="4"/>
      <c r="P20" s="16">
        <f>ATAN(((H22-H20)/(G22-G20)))*180/3.1415</f>
        <v>-8.0972930165940973</v>
      </c>
      <c r="Q20" s="16">
        <f>ATAN(((I22-I20)/(G22-G20)))*180/3.1415</f>
        <v>3.9426660429168023E-2</v>
      </c>
      <c r="R20" s="16">
        <f>ATAN(((I20-I21)/(H21-H20)))*180/3.1415</f>
        <v>6.6413330920329333E-2</v>
      </c>
      <c r="S20" s="4"/>
      <c r="T20" s="4"/>
      <c r="U20">
        <v>258.92200000000003</v>
      </c>
      <c r="V20" s="4">
        <f>U20*0.0254</f>
        <v>6.5766188000000003</v>
      </c>
      <c r="W20" s="3">
        <f>'Rel to Goni'!$D$70+HODO!V20-HODO!G20</f>
        <v>1.7977879999989455E-2</v>
      </c>
      <c r="X20">
        <v>-49.027999999999999</v>
      </c>
      <c r="Y20" s="4">
        <f>X20*0.0254</f>
        <v>-1.2453112</v>
      </c>
      <c r="Z20" s="3">
        <f>80.6+HODO!Y20-HODO!H20</f>
        <v>5.3098999998724139E-4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ht="15" x14ac:dyDescent="0.25">
      <c r="A21" s="26" t="s">
        <v>220</v>
      </c>
      <c r="B21" s="28">
        <v>0.88</v>
      </c>
      <c r="C21" s="28">
        <v>152.5</v>
      </c>
      <c r="D21" s="28">
        <v>-0.69</v>
      </c>
      <c r="E21" s="26"/>
      <c r="F21" s="26"/>
      <c r="G21" s="29">
        <v>305.69184792999999</v>
      </c>
      <c r="H21" s="29">
        <v>79.505560070000001</v>
      </c>
      <c r="I21" s="29">
        <v>104.77011885</v>
      </c>
      <c r="J21" s="26"/>
      <c r="K21" s="26"/>
      <c r="L21" s="26"/>
      <c r="M21" s="26"/>
      <c r="N21" s="4"/>
      <c r="O21" s="4"/>
      <c r="P21" s="4"/>
      <c r="Q21" s="4"/>
      <c r="R21" s="4"/>
      <c r="S21" s="4"/>
      <c r="T21" s="4"/>
    </row>
    <row r="22" spans="1:29" ht="15" x14ac:dyDescent="0.25">
      <c r="A22" s="26" t="s">
        <v>221</v>
      </c>
      <c r="B22" s="28">
        <v>997.33</v>
      </c>
      <c r="C22" s="28">
        <v>-1.32</v>
      </c>
      <c r="D22" s="28">
        <v>0.17</v>
      </c>
      <c r="E22" s="26"/>
      <c r="F22" s="26"/>
      <c r="G22" s="29">
        <v>306.65693699000002</v>
      </c>
      <c r="H22" s="29">
        <v>79.213717900000006</v>
      </c>
      <c r="I22" s="29">
        <v>104.7709736</v>
      </c>
      <c r="J22" s="26"/>
      <c r="K22" s="26"/>
      <c r="L22" s="26"/>
      <c r="M22" s="26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Goni'!$D$70+HODO!V22-HODO!G22</f>
        <v>1.7977410000014515E-2</v>
      </c>
      <c r="X22">
        <v>-54.524000000000001</v>
      </c>
      <c r="Y22" s="4">
        <f>X22*0.0254</f>
        <v>-1.3849096000000001</v>
      </c>
      <c r="Z22" s="3">
        <f>80.6+HODO!Y22-HODO!H22</f>
        <v>1.3724999999880083E-3</v>
      </c>
    </row>
    <row r="23" spans="1:29" ht="15" x14ac:dyDescent="0.25">
      <c r="A23" s="26" t="s">
        <v>222</v>
      </c>
      <c r="B23" s="28">
        <v>997.56</v>
      </c>
      <c r="C23" s="28">
        <v>151.68</v>
      </c>
      <c r="D23" s="28">
        <v>-0.01</v>
      </c>
      <c r="E23" s="26"/>
      <c r="F23" s="26"/>
      <c r="G23" s="29">
        <v>306.67858727999999</v>
      </c>
      <c r="H23" s="29">
        <v>79.365178020000002</v>
      </c>
      <c r="I23" s="29">
        <v>104.77079783000001</v>
      </c>
      <c r="J23" s="26"/>
      <c r="K23" s="26"/>
      <c r="L23" s="26"/>
      <c r="M23" s="26"/>
      <c r="N23" s="4"/>
      <c r="O23" s="4"/>
      <c r="P23" s="4"/>
      <c r="Q23" s="4"/>
      <c r="R23" s="4"/>
      <c r="S23" s="4"/>
      <c r="T23" s="4"/>
      <c r="U23" s="24"/>
    </row>
    <row r="24" spans="1:29" ht="15" x14ac:dyDescent="0.2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ht="15" x14ac:dyDescent="0.25">
      <c r="A25" s="26" t="s">
        <v>223</v>
      </c>
      <c r="B25" s="28">
        <v>-1.29</v>
      </c>
      <c r="C25" s="28">
        <v>0.02</v>
      </c>
      <c r="D25" s="28">
        <v>-0.55000000000000004</v>
      </c>
      <c r="E25" s="26"/>
      <c r="F25" s="26"/>
      <c r="G25" s="29">
        <v>306.65924812999998</v>
      </c>
      <c r="H25" s="29">
        <v>79.214755740000001</v>
      </c>
      <c r="I25" s="29">
        <v>104.77024795</v>
      </c>
      <c r="J25" s="26"/>
      <c r="K25" s="29">
        <v>306.66052000000002</v>
      </c>
      <c r="L25" s="29">
        <v>79.214560000000006</v>
      </c>
      <c r="M25" s="29">
        <v>104.77079999999999</v>
      </c>
      <c r="N25" s="4"/>
      <c r="O25" s="4"/>
      <c r="P25" s="16">
        <f>ATAN(((H27-H25)/(G27-G25)))*180/3.1415</f>
        <v>-8.0164809023229786</v>
      </c>
      <c r="Q25" s="16">
        <f>ATAN(((I27-I25)/(G27-G25)))*180/3.1415</f>
        <v>-2.705771214530469E-2</v>
      </c>
      <c r="R25" s="16">
        <f>ATAN(((I25-I26)/(H26-H25)))*180/3.1415</f>
        <v>-0.13892182645740128</v>
      </c>
      <c r="S25" s="4"/>
      <c r="T25" s="4"/>
      <c r="U25">
        <v>297.93400000000003</v>
      </c>
      <c r="V25" s="4">
        <f>U25*0.0254</f>
        <v>7.5675236000000004</v>
      </c>
      <c r="W25" s="3">
        <f>'Rel to Goni'!$D$70+HODO!V25-HODO!G25</f>
        <v>1.9425470000044243E-2</v>
      </c>
      <c r="X25">
        <v>-54.545000000000002</v>
      </c>
      <c r="Y25" s="4">
        <f>X25*0.0254</f>
        <v>-1.385443</v>
      </c>
      <c r="Z25" s="3">
        <f>80.6+HODO!Y25-HODO!H25</f>
        <v>-1.9874000000186243E-4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ht="15" x14ac:dyDescent="0.25">
      <c r="A26" s="26" t="s">
        <v>224</v>
      </c>
      <c r="B26" s="28">
        <v>-1.53</v>
      </c>
      <c r="C26" s="28">
        <v>153.47</v>
      </c>
      <c r="D26" s="28">
        <v>-0.18</v>
      </c>
      <c r="E26" s="26"/>
      <c r="F26" s="26"/>
      <c r="G26" s="29">
        <v>306.68049305</v>
      </c>
      <c r="H26" s="29">
        <v>79.366736919999994</v>
      </c>
      <c r="I26" s="29">
        <v>104.77061644</v>
      </c>
      <c r="J26" s="26"/>
      <c r="K26" s="26"/>
      <c r="L26" s="26"/>
      <c r="M26" s="26"/>
      <c r="N26" s="4"/>
      <c r="O26" s="4"/>
      <c r="P26" s="4"/>
      <c r="Q26" s="4"/>
      <c r="R26" s="4"/>
      <c r="S26" s="4"/>
      <c r="T26" s="4"/>
    </row>
    <row r="27" spans="1:29" ht="15" x14ac:dyDescent="0.25">
      <c r="A27" s="26" t="s">
        <v>225</v>
      </c>
      <c r="B27" s="28">
        <v>1051.5</v>
      </c>
      <c r="C27" s="28">
        <v>0.64</v>
      </c>
      <c r="D27" s="28">
        <v>-1.04</v>
      </c>
      <c r="E27" s="26"/>
      <c r="F27" s="26"/>
      <c r="G27" s="29">
        <v>307.70174358999998</v>
      </c>
      <c r="H27" s="29">
        <v>79.067941140000002</v>
      </c>
      <c r="I27" s="29">
        <v>104.76975565000001</v>
      </c>
      <c r="J27" s="26"/>
      <c r="K27" s="29"/>
      <c r="L27" s="26"/>
      <c r="M27" s="26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Goni'!$D$70+HODO!V27-HODO!G27</f>
        <v>1.7517210000050909E-2</v>
      </c>
      <c r="X27">
        <v>-60.338999999999999</v>
      </c>
      <c r="Y27" s="4">
        <f>X27*0.0254</f>
        <v>-1.5326105999999999</v>
      </c>
      <c r="Z27" s="3">
        <f>80.6+HODO!Y27-HODO!H27</f>
        <v>-5.5174000000590695E-4</v>
      </c>
    </row>
    <row r="28" spans="1:29" ht="15" x14ac:dyDescent="0.25">
      <c r="A28" s="26" t="s">
        <v>226</v>
      </c>
      <c r="B28" s="28">
        <v>1051.5899999999999</v>
      </c>
      <c r="C28" s="28">
        <v>154.09</v>
      </c>
      <c r="D28" s="28">
        <v>-0.68</v>
      </c>
      <c r="E28" s="26"/>
      <c r="F28" s="26"/>
      <c r="G28" s="29">
        <v>307.72332311000002</v>
      </c>
      <c r="H28" s="29">
        <v>79.219875200000004</v>
      </c>
      <c r="I28" s="29">
        <v>104.77012399</v>
      </c>
      <c r="J28" s="26"/>
      <c r="K28" s="29"/>
      <c r="L28" s="26"/>
      <c r="M28" s="26"/>
      <c r="N28" s="4"/>
      <c r="O28" s="4"/>
      <c r="P28" s="4"/>
      <c r="Q28" s="4"/>
      <c r="R28" s="4"/>
      <c r="S28" s="4"/>
      <c r="T28" s="4"/>
    </row>
    <row r="29" spans="1:29" ht="15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4"/>
      <c r="O29" s="4"/>
      <c r="P29" s="4"/>
      <c r="Q29" s="4"/>
      <c r="R29" s="4"/>
      <c r="S29" s="4"/>
      <c r="T29" s="4"/>
    </row>
    <row r="30" spans="1:29" ht="15" x14ac:dyDescent="0.25">
      <c r="A30" s="26" t="s">
        <v>227</v>
      </c>
      <c r="B30" s="28">
        <v>-0.08</v>
      </c>
      <c r="C30" s="28">
        <v>0.9</v>
      </c>
      <c r="D30" s="28">
        <v>-1</v>
      </c>
      <c r="E30" s="26"/>
      <c r="F30" s="26"/>
      <c r="G30" s="29">
        <v>307.70428380999999</v>
      </c>
      <c r="H30" s="29">
        <v>79.067831780000006</v>
      </c>
      <c r="I30" s="29">
        <v>104.76980234</v>
      </c>
      <c r="J30" s="26"/>
      <c r="K30" s="29">
        <v>307.70424000000003</v>
      </c>
      <c r="L30" s="29">
        <v>79.066929999999999</v>
      </c>
      <c r="M30" s="29">
        <v>104.77079999999999</v>
      </c>
      <c r="N30" s="4"/>
      <c r="O30" s="4"/>
      <c r="P30" s="16">
        <f>ATAN(((H32-H30)/(G32-G30)))*180/3.1415</f>
        <v>-8.1219318911421308</v>
      </c>
      <c r="Q30" s="16">
        <f>ATAN(((I32-I30)/(G32-G30)))*180/3.1415</f>
        <v>-8.8322313335489136E-3</v>
      </c>
      <c r="R30" s="16">
        <f>ATAN(((I30-I31)/(H31-H30)))*180/3.1415</f>
        <v>-0.21263713474690324</v>
      </c>
      <c r="S30" s="4"/>
      <c r="T30" s="4"/>
      <c r="U30">
        <v>339.02499999999998</v>
      </c>
      <c r="V30" s="4">
        <f>U30*0.0254</f>
        <v>8.6112349999999989</v>
      </c>
      <c r="W30" s="3">
        <f>'Rel to Goni'!$D$70+HODO!V30-HODO!G30</f>
        <v>1.8101190000038514E-2</v>
      </c>
      <c r="X30">
        <v>-60.356999999999999</v>
      </c>
      <c r="Y30" s="4">
        <f>X30*0.0254</f>
        <v>-1.5330678</v>
      </c>
      <c r="Z30" s="3">
        <f>80.6+HODO!Y30-HODO!H30</f>
        <v>-8.995800000093368E-4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ht="15" x14ac:dyDescent="0.25">
      <c r="A31" s="26" t="s">
        <v>228</v>
      </c>
      <c r="B31" s="28">
        <v>-0.56999999999999995</v>
      </c>
      <c r="C31" s="28">
        <v>154.41999999999999</v>
      </c>
      <c r="D31" s="28">
        <v>-0.43</v>
      </c>
      <c r="E31" s="26"/>
      <c r="F31" s="26"/>
      <c r="G31" s="29">
        <v>307.72530218000003</v>
      </c>
      <c r="H31" s="29">
        <v>79.219912320000006</v>
      </c>
      <c r="I31" s="29">
        <v>104.77036673000001</v>
      </c>
      <c r="J31" s="26"/>
      <c r="K31" s="29"/>
      <c r="L31" s="26"/>
      <c r="M31" s="26"/>
      <c r="N31" s="4"/>
      <c r="O31" s="4"/>
      <c r="P31" s="4"/>
      <c r="Q31" s="4"/>
      <c r="R31" s="4"/>
      <c r="S31" s="4"/>
      <c r="T31" s="4"/>
    </row>
    <row r="32" spans="1:29" x14ac:dyDescent="0.3">
      <c r="A32" s="26" t="s">
        <v>229</v>
      </c>
      <c r="B32" s="28">
        <v>1042.83</v>
      </c>
      <c r="C32" s="28">
        <v>-0.41</v>
      </c>
      <c r="D32" s="28">
        <v>-1.1599999999999999</v>
      </c>
      <c r="E32" s="26"/>
      <c r="F32" s="26"/>
      <c r="G32" s="29">
        <v>308.73674003000002</v>
      </c>
      <c r="H32" s="29">
        <v>78.920492670000002</v>
      </c>
      <c r="I32" s="29">
        <v>104.76964319</v>
      </c>
      <c r="J32" s="26"/>
      <c r="K32" s="29"/>
      <c r="L32" s="26"/>
      <c r="M32" s="26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Goni'!$D$70+HODO!V32-HODO!G32</f>
        <v>1.6783369999984643E-2</v>
      </c>
      <c r="X32">
        <v>-66.097999999999999</v>
      </c>
      <c r="Y32" s="4">
        <f>X32*0.0254</f>
        <v>-1.6788892</v>
      </c>
      <c r="Z32" s="3">
        <f>80.6+HODO!Y32-HODO!H32</f>
        <v>6.1812999999233398E-4</v>
      </c>
    </row>
    <row r="33" spans="1:29" x14ac:dyDescent="0.3">
      <c r="A33" s="26" t="s">
        <v>230</v>
      </c>
      <c r="B33" s="30" t="s">
        <v>255</v>
      </c>
      <c r="C33" s="28">
        <v>153.12</v>
      </c>
      <c r="D33" s="28">
        <v>-0.59</v>
      </c>
      <c r="E33" s="26"/>
      <c r="F33" s="26"/>
      <c r="G33" s="27" t="s">
        <v>256</v>
      </c>
      <c r="H33" s="29">
        <v>79.072327250000001</v>
      </c>
      <c r="I33" s="29">
        <v>104.77020731</v>
      </c>
      <c r="J33" s="26"/>
      <c r="K33" s="29"/>
      <c r="L33" s="26"/>
      <c r="M33" s="26"/>
      <c r="N33" s="4"/>
      <c r="O33" s="4"/>
      <c r="P33" s="4"/>
      <c r="Q33" s="4"/>
      <c r="R33" s="4"/>
      <c r="S33" s="4"/>
      <c r="T33" s="4"/>
    </row>
    <row r="34" spans="1:29" x14ac:dyDescent="0.3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3">
      <c r="A35" s="4" t="s">
        <v>231</v>
      </c>
      <c r="B35" s="23">
        <v>0.64</v>
      </c>
      <c r="C35" s="23">
        <v>1.43</v>
      </c>
      <c r="D35" s="23">
        <v>-1.61</v>
      </c>
      <c r="E35" s="4"/>
      <c r="F35" s="4"/>
      <c r="G35" s="3">
        <v>308.89994000000002</v>
      </c>
      <c r="H35" s="3">
        <v>78.899289999999993</v>
      </c>
      <c r="I35" s="3">
        <v>104.76918999999999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-8.0937395766408056</v>
      </c>
      <c r="Q35" s="16">
        <f>ATAN(((I37-I35)/(G37-G35)))*180/3.1415</f>
        <v>3.3280790462276548E-2</v>
      </c>
      <c r="R35" s="16">
        <f>ATAN(((I35-I36)/(H36-H35)))*180/3.1415</f>
        <v>-0.26761994223792479</v>
      </c>
      <c r="S35" s="4"/>
      <c r="T35" s="4"/>
      <c r="U35">
        <v>386.05700000000002</v>
      </c>
      <c r="V35" s="4">
        <f>U35*0.0254</f>
        <v>9.8058478000000004</v>
      </c>
      <c r="W35" s="3">
        <f>'Rel to Goni'!$D$70+HODO!V35-HODO!G35</f>
        <v>1.7057799999975032E-2</v>
      </c>
      <c r="X35">
        <v>-67.009</v>
      </c>
      <c r="Y35" s="4">
        <f>X35*0.0254</f>
        <v>-1.7020286</v>
      </c>
      <c r="Z35" s="3">
        <f>80.6+HODO!Y35-HODO!H35</f>
        <v>-1.3186000000047216E-3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3">
      <c r="A36" s="4" t="s">
        <v>232</v>
      </c>
      <c r="B36" s="23">
        <v>0.76</v>
      </c>
      <c r="C36" s="23">
        <v>154.96</v>
      </c>
      <c r="D36" s="23">
        <v>-0.9</v>
      </c>
      <c r="E36" s="4"/>
      <c r="F36" s="4"/>
      <c r="G36" s="3">
        <v>308.92155000000002</v>
      </c>
      <c r="H36" s="3">
        <v>79.051299999999998</v>
      </c>
      <c r="I36" s="3">
        <v>104.76990000000001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3">
      <c r="A37" s="4" t="s">
        <v>233</v>
      </c>
      <c r="B37" s="23">
        <v>1200.53</v>
      </c>
      <c r="C37" s="23">
        <v>0.51</v>
      </c>
      <c r="D37" s="23">
        <v>-0.92</v>
      </c>
      <c r="E37" s="4"/>
      <c r="F37" s="4"/>
      <c r="G37" s="3">
        <v>310.08787000000001</v>
      </c>
      <c r="H37" s="3">
        <v>78.730360000000005</v>
      </c>
      <c r="I37" s="3">
        <v>104.76988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Goni'!$D$70+HODO!V37-HODO!G37</f>
        <v>1.7466800000022431E-2</v>
      </c>
      <c r="X37">
        <v>-73.625</v>
      </c>
      <c r="Y37" s="4">
        <f>X37*0.0254</f>
        <v>-1.8700749999999999</v>
      </c>
      <c r="Z37" s="3">
        <f>80.6+HODO!Y37-HODO!H37</f>
        <v>-4.3500000001017725E-4</v>
      </c>
    </row>
    <row r="38" spans="1:29" x14ac:dyDescent="0.3">
      <c r="A38" s="4" t="s">
        <v>234</v>
      </c>
      <c r="B38" s="23">
        <v>1200.44</v>
      </c>
      <c r="C38" s="23">
        <v>154.05000000000001</v>
      </c>
      <c r="D38" s="23">
        <v>-0.2</v>
      </c>
      <c r="E38" s="4"/>
      <c r="F38" s="4"/>
      <c r="G38" s="3">
        <v>310.10928000000001</v>
      </c>
      <c r="H38" s="3">
        <v>78.882400000000004</v>
      </c>
      <c r="I38" s="3">
        <v>104.7706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3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3">
      <c r="A40" s="4" t="s">
        <v>235</v>
      </c>
      <c r="B40" s="23">
        <v>-0.75</v>
      </c>
      <c r="C40" s="23">
        <v>0</v>
      </c>
      <c r="D40" s="23">
        <v>-0.63</v>
      </c>
      <c r="E40" s="4"/>
      <c r="F40" s="4"/>
      <c r="G40" s="3">
        <v>310.14301</v>
      </c>
      <c r="H40" s="3">
        <v>78.722020000000001</v>
      </c>
      <c r="I40" s="3">
        <v>104.77017000000001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-8.0610361783406557</v>
      </c>
      <c r="Q40" s="16">
        <f>ATAN(((I42-I40)/(G42-G40)))*180/3.1415</f>
        <v>-1.043013430950851E-2</v>
      </c>
      <c r="R40" s="16">
        <f>ATAN(((I40-I41)/(H41-H40)))*180/3.1415</f>
        <v>-3.7950370389948297E-3</v>
      </c>
      <c r="S40" s="4"/>
      <c r="T40" s="4"/>
      <c r="U40">
        <v>435.06900000000002</v>
      </c>
      <c r="V40" s="4">
        <f>U40*0.0254</f>
        <v>11.050752599999999</v>
      </c>
      <c r="W40" s="3">
        <f>'Rel to Goni'!$D$70+HODO!V40-HODO!G40</f>
        <v>1.8892600000015136E-2</v>
      </c>
      <c r="X40">
        <v>-73.94</v>
      </c>
      <c r="Y40" s="4">
        <f>X40*0.0254</f>
        <v>-1.8780759999999999</v>
      </c>
      <c r="Z40" s="3">
        <f>80.6+HODO!Y40-HODO!H40</f>
        <v>-9.599999999920783E-5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3">
      <c r="A41" s="4" t="s">
        <v>236</v>
      </c>
      <c r="B41" s="23">
        <v>-0.45</v>
      </c>
      <c r="C41" s="23">
        <v>152.52000000000001</v>
      </c>
      <c r="D41" s="23">
        <v>-0.62</v>
      </c>
      <c r="E41" s="4"/>
      <c r="F41" s="4"/>
      <c r="G41" s="3">
        <v>310.16466000000003</v>
      </c>
      <c r="H41" s="3">
        <v>78.873000000000005</v>
      </c>
      <c r="I41" s="3">
        <v>104.77018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3">
      <c r="A42" s="4" t="s">
        <v>237</v>
      </c>
      <c r="B42" s="23">
        <v>1219.8699999999999</v>
      </c>
      <c r="C42" s="23">
        <v>-0.24</v>
      </c>
      <c r="D42" s="23">
        <v>-0.85</v>
      </c>
      <c r="E42" s="4"/>
      <c r="F42" s="4"/>
      <c r="G42" s="3">
        <v>311.35156999999998</v>
      </c>
      <c r="H42" s="3">
        <v>78.55086</v>
      </c>
      <c r="I42" s="3">
        <v>104.76994999999999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Goni'!$D$70+HODO!V42-HODO!G42</f>
        <v>1.7518400000028578E-2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x14ac:dyDescent="0.3">
      <c r="A43" s="4" t="s">
        <v>238</v>
      </c>
      <c r="B43" s="23">
        <v>1219.7</v>
      </c>
      <c r="C43" s="23">
        <v>152.84</v>
      </c>
      <c r="D43" s="23">
        <v>-0.85</v>
      </c>
      <c r="E43" s="4"/>
      <c r="F43" s="4"/>
      <c r="G43" s="3">
        <v>311.37283000000002</v>
      </c>
      <c r="H43" s="3">
        <v>78.702449999999999</v>
      </c>
      <c r="I43" s="3">
        <v>104.76994999999999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3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3">
      <c r="A45" s="4" t="s">
        <v>239</v>
      </c>
      <c r="B45" s="23">
        <v>-0.19</v>
      </c>
      <c r="C45" s="23">
        <v>-0.14000000000000001</v>
      </c>
      <c r="D45" s="23">
        <v>-0.7</v>
      </c>
      <c r="E45" s="4"/>
      <c r="F45" s="4"/>
      <c r="G45" s="3">
        <v>311.56452000000002</v>
      </c>
      <c r="H45" s="3">
        <v>78.525919999999999</v>
      </c>
      <c r="I45" s="3">
        <v>104.7701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-8.0437756982622037</v>
      </c>
      <c r="Q45" s="16">
        <f>ATAN(((I47-I45)/(G47-G45)))*180/3.1415</f>
        <v>-7.1505639660920436E-3</v>
      </c>
      <c r="R45" s="16">
        <f>ATAN(((I45-I46)/(H46-H45)))*180/3.1415</f>
        <v>2.6512576472228145E-2</v>
      </c>
      <c r="S45" s="4"/>
      <c r="T45" s="4"/>
      <c r="U45">
        <v>491.01299999999998</v>
      </c>
      <c r="V45" s="4">
        <f>U45*0.0254</f>
        <v>12.4717302</v>
      </c>
      <c r="W45" s="3">
        <f>'Rel to Goni'!$D$70+HODO!V45-HODO!G45</f>
        <v>1.8360200000017812E-2</v>
      </c>
      <c r="X45">
        <v>-81.652000000000001</v>
      </c>
      <c r="Y45" s="4">
        <f>X45*0.0254</f>
        <v>-2.0739608</v>
      </c>
      <c r="Z45" s="3">
        <f>80.6+HODO!Y45-HODO!H45</f>
        <v>1.1920000000031905E-4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3">
      <c r="A46" s="4" t="s">
        <v>240</v>
      </c>
      <c r="B46" s="23">
        <v>-0.23</v>
      </c>
      <c r="C46" s="23">
        <v>152.63</v>
      </c>
      <c r="D46" s="23">
        <v>-0.77</v>
      </c>
      <c r="E46" s="4"/>
      <c r="F46" s="4"/>
      <c r="G46" s="3">
        <v>311.58587</v>
      </c>
      <c r="H46" s="3">
        <v>78.677199999999999</v>
      </c>
      <c r="I46" s="3">
        <v>104.77003000000001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3">
      <c r="A47" s="4" t="s">
        <v>241</v>
      </c>
      <c r="B47" s="23">
        <v>890</v>
      </c>
      <c r="C47" s="23">
        <v>-0.04</v>
      </c>
      <c r="D47" s="23">
        <v>-0.81</v>
      </c>
      <c r="E47" s="4"/>
      <c r="F47" s="4"/>
      <c r="G47" s="3">
        <v>312.44594999999998</v>
      </c>
      <c r="H47" s="3">
        <v>78.401359999999997</v>
      </c>
      <c r="I47" s="3">
        <v>104.76999000000001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Goni'!$D$70+HODO!V47-HODO!G47</f>
        <v>1.7167200000017147E-2</v>
      </c>
      <c r="X47">
        <v>-86.754000000000005</v>
      </c>
      <c r="Y47" s="4">
        <f>X47*0.0254</f>
        <v>-2.2035515999999999</v>
      </c>
      <c r="Z47" s="3">
        <f>80.6+HODO!Y47-HODO!H47</f>
        <v>-4.9115999999997939E-3</v>
      </c>
    </row>
    <row r="48" spans="1:29" x14ac:dyDescent="0.3">
      <c r="A48" s="4" t="s">
        <v>242</v>
      </c>
      <c r="B48" s="23">
        <v>890.27</v>
      </c>
      <c r="C48" s="23">
        <v>151.91999999999999</v>
      </c>
      <c r="D48" s="23">
        <v>-0.87</v>
      </c>
      <c r="E48" s="4"/>
      <c r="F48" s="4"/>
      <c r="G48" s="3">
        <v>312.46749999999997</v>
      </c>
      <c r="H48" s="3">
        <v>78.551789999999997</v>
      </c>
      <c r="I48" s="3">
        <v>104.76993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" x14ac:dyDescent="0.3">
      <c r="A50" t="s">
        <v>258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topLeftCell="A40" workbookViewId="0">
      <selection activeCell="A74" sqref="A74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260</v>
      </c>
    </row>
    <row r="2" spans="1:16" x14ac:dyDescent="0.3">
      <c r="A2" s="43" t="s">
        <v>67</v>
      </c>
      <c r="B2" s="43"/>
      <c r="C2" s="43"/>
      <c r="D2" s="43"/>
    </row>
    <row r="3" spans="1:16" x14ac:dyDescent="0.3">
      <c r="A3" s="43"/>
      <c r="B3" s="43"/>
      <c r="C3" s="43"/>
      <c r="D3" s="43"/>
    </row>
    <row r="4" spans="1:16" x14ac:dyDescent="0.3">
      <c r="A4" s="43"/>
      <c r="B4" s="43"/>
      <c r="C4" s="43"/>
      <c r="D4" s="43"/>
    </row>
    <row r="5" spans="1:16" x14ac:dyDescent="0.3">
      <c r="A5" s="44"/>
      <c r="B5" s="44"/>
      <c r="C5" s="44"/>
      <c r="D5" s="44"/>
    </row>
    <row r="7" spans="1:16" ht="15" x14ac:dyDescent="0.25">
      <c r="A7" s="4" t="s">
        <v>175</v>
      </c>
    </row>
    <row r="8" spans="1:16" ht="15" x14ac:dyDescent="0.25">
      <c r="A8" s="4" t="s">
        <v>176</v>
      </c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45" t="s">
        <v>48</v>
      </c>
      <c r="M10" s="45"/>
      <c r="N10" s="45"/>
      <c r="O10" s="45"/>
      <c r="P10" s="45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Acc'!D12-$D$70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Acc'!D13-$D$70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Acc'!D14-$D$70</f>
        <v>-2.4900000000002365E-2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Acc'!D15-$D$70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Acc'!D16-$D$70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Acc'!D17-$D$70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Acc'!D18-$D$70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Acc'!D19-$D$70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Acc'!D20-$D$70</f>
        <v>3.988330000000019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Acc'!D21-$D$70</f>
        <v>5.2775800000000004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Acc'!D22-$D$70</f>
        <v>6.5586409200000162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Acc'!D23-$D$70</f>
        <v>7.5480981299999712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Acc'!D24-$D$70</f>
        <v>8.5931338099999834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Acc'!D25-$D$70</f>
        <v>9.7887900000000059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Acc'!D26-$D$70</f>
        <v>11.031859999999995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Acc'!D27-$D$70</f>
        <v>12.453370000000007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Acc'!D28-$D$70</f>
        <v>7.4126099999999724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Acc'!D29-$D$70</f>
        <v>75.158849999999973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Acc'!D30-$D$70</f>
        <v>75.374329999999986</v>
      </c>
      <c r="E30" s="16">
        <f>'Rel to Acc'!E30-80.6</f>
        <v>-4.9999999987448973E-5</v>
      </c>
      <c r="F30" s="16">
        <f>'data from JD'!F30+'data from JD'!P30/1000</f>
        <v>-0.89004400002670281</v>
      </c>
      <c r="G30" s="16">
        <f>'Rel to Acc'!G30-104.7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Acc'!D31-$D$70</f>
        <v>81.261430000000018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Acc'!D32-$D$70</f>
        <v>77.672730000000001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Acc'!D33-$D$70</f>
        <v>82.028186000000005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162</v>
      </c>
      <c r="B34" s="15"/>
      <c r="C34" s="15"/>
      <c r="D34" s="16">
        <f>'Rel to Acc'!D34-$D$70</f>
        <v>83.951399999999978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Acc'!D35-$D$70</f>
        <v>86.119579999999985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38" customFormat="1" ht="15" x14ac:dyDescent="0.25">
      <c r="A36" s="37" t="s">
        <v>57</v>
      </c>
      <c r="B36" s="37" t="s">
        <v>21</v>
      </c>
      <c r="C36" s="37"/>
      <c r="D36" s="39">
        <f>'Rel to Acc'!D36-$D$70</f>
        <v>87.656180000000006</v>
      </c>
      <c r="E36" s="39">
        <f>'Rel to Acc'!E36-80.6</f>
        <v>-9.9999999989108801E-5</v>
      </c>
      <c r="F36" s="39">
        <f>'data from JD'!F36+'data from JD'!P36/1000</f>
        <v>0.17991300000029103</v>
      </c>
      <c r="G36" s="39">
        <f>'Rel to Acc'!G36-104.7</f>
        <v>-4.3999999999755346E-4</v>
      </c>
      <c r="H36" s="39">
        <f>'data from JD'!L36+'data from JD'!R36</f>
        <v>-1.15E-3</v>
      </c>
      <c r="I36" s="40">
        <v>8.5900000000000004E-3</v>
      </c>
      <c r="J36" s="40">
        <v>5.6999999999999998E-4</v>
      </c>
      <c r="K36" s="37"/>
      <c r="L36" s="37"/>
      <c r="M36" s="37"/>
      <c r="N36" s="37"/>
      <c r="O36" s="37"/>
      <c r="P36" s="37"/>
    </row>
    <row r="37" spans="1:16" s="38" customFormat="1" ht="15" x14ac:dyDescent="0.25">
      <c r="A37" s="37" t="s">
        <v>58</v>
      </c>
      <c r="B37" s="37" t="s">
        <v>19</v>
      </c>
      <c r="C37" s="37"/>
      <c r="D37" s="39">
        <f>'Rel to Acc'!D37-$D$70</f>
        <v>90.58359999999999</v>
      </c>
      <c r="E37" s="39">
        <f>'Rel to Acc'!E37-80.6</f>
        <v>-0.23858999999998787</v>
      </c>
      <c r="F37" s="39">
        <f>'data from JD'!F37+'data from JD'!P37/1000</f>
        <v>0.18153199999524153</v>
      </c>
      <c r="G37" s="39">
        <f>'Rel to Acc'!G37-104.7</f>
        <v>1.0000000003174137E-5</v>
      </c>
      <c r="H37" s="39">
        <f>'data from JD'!L37+'data from JD'!R37</f>
        <v>-4.6595800000000001</v>
      </c>
      <c r="I37" s="40">
        <v>8.0500000000000002E-2</v>
      </c>
      <c r="J37" s="40">
        <v>-0.15642</v>
      </c>
      <c r="K37" s="37"/>
      <c r="L37" s="37"/>
      <c r="M37" s="37"/>
      <c r="N37" s="37"/>
      <c r="O37" s="37"/>
      <c r="P37" s="37"/>
    </row>
    <row r="38" spans="1:16" s="38" customFormat="1" ht="15" x14ac:dyDescent="0.25">
      <c r="A38" s="37" t="s">
        <v>59</v>
      </c>
      <c r="B38" s="37" t="s">
        <v>20</v>
      </c>
      <c r="C38" s="37"/>
      <c r="D38" s="39">
        <f>'Rel to Acc'!D38-$D$70</f>
        <v>90.583059999999989</v>
      </c>
      <c r="E38" s="39">
        <f>'Rel to Acc'!E38-80.6</f>
        <v>0.23852000000000828</v>
      </c>
      <c r="F38" s="39">
        <f>'data from JD'!F38+'data from JD'!P38/1000</f>
        <v>0.18081299999524153</v>
      </c>
      <c r="G38" s="39">
        <f>'Rel to Acc'!G38-104.7</f>
        <v>-2.0000000006348273E-5</v>
      </c>
      <c r="H38" s="39">
        <f>'data from JD'!L38+'data from JD'!R38</f>
        <v>4.5707700000000004</v>
      </c>
      <c r="I38" s="40">
        <v>-0.13464999999999999</v>
      </c>
      <c r="J38" s="40">
        <v>3.0939999999999999E-2</v>
      </c>
      <c r="K38" s="37"/>
      <c r="L38" s="37"/>
      <c r="M38" s="37"/>
      <c r="N38" s="37"/>
      <c r="O38" s="37"/>
      <c r="P38" s="37"/>
    </row>
    <row r="39" spans="1:16" s="38" customFormat="1" ht="15" x14ac:dyDescent="0.25">
      <c r="A39" s="37" t="s">
        <v>60</v>
      </c>
      <c r="B39" s="39" t="s">
        <v>86</v>
      </c>
      <c r="C39" s="37"/>
      <c r="D39" s="39">
        <f>'Rel to Acc'!D39-$D$70</f>
        <v>91.072349999999972</v>
      </c>
      <c r="E39" s="39">
        <f>'Rel to Acc'!E39-80.6</f>
        <v>-0.27482999999999436</v>
      </c>
      <c r="F39" s="39">
        <f>'data from JD'!F39+'data from JD'!P39/1000</f>
        <v>0.18167999999524154</v>
      </c>
      <c r="G39" s="39">
        <f>'Rel to Acc'!G39-104.7</f>
        <v>2.6699999999948432E-3</v>
      </c>
      <c r="H39" s="39">
        <f>'Rel to Acc'!H39</f>
        <v>-4.6928999999999998</v>
      </c>
      <c r="I39" s="40"/>
      <c r="J39" s="40"/>
      <c r="K39" s="37"/>
      <c r="L39" s="37"/>
      <c r="M39" s="37"/>
      <c r="N39" s="37"/>
      <c r="O39" s="37"/>
      <c r="P39" s="37"/>
    </row>
    <row r="40" spans="1:16" s="38" customFormat="1" ht="15" x14ac:dyDescent="0.25">
      <c r="A40" s="37" t="s">
        <v>61</v>
      </c>
      <c r="B40" s="39" t="s">
        <v>85</v>
      </c>
      <c r="C40" s="37"/>
      <c r="D40" s="39">
        <f>'Rel to Acc'!D40-$D$70</f>
        <v>91.072339999999997</v>
      </c>
      <c r="E40" s="39">
        <f>'Rel to Acc'!E40-80.6</f>
        <v>0.27509000000000583</v>
      </c>
      <c r="F40" s="39">
        <f>'data from JD'!F40+'data from JD'!P40/1000</f>
        <v>0.18207999999524152</v>
      </c>
      <c r="G40" s="39">
        <f>'Rel to Acc'!G40-104.7</f>
        <v>8.6999999999193278E-4</v>
      </c>
      <c r="H40" s="39">
        <f>'Rel to Acc'!H40</f>
        <v>4.7812999999999999</v>
      </c>
      <c r="I40" s="40"/>
      <c r="J40" s="40"/>
      <c r="K40" s="37"/>
      <c r="L40" s="37"/>
      <c r="M40" s="37"/>
      <c r="N40" s="37"/>
      <c r="O40" s="37"/>
      <c r="P40" s="37"/>
    </row>
    <row r="41" spans="1:16" ht="15" x14ac:dyDescent="0.25">
      <c r="A41" s="15" t="s">
        <v>62</v>
      </c>
      <c r="B41" s="15" t="s">
        <v>23</v>
      </c>
      <c r="C41" s="15"/>
      <c r="D41" s="16">
        <f>'Rel to Acc'!D41-$D$70</f>
        <v>100.91665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ht="15" x14ac:dyDescent="0.25">
      <c r="A42" s="15" t="s">
        <v>141</v>
      </c>
      <c r="B42" s="15"/>
      <c r="C42" s="15"/>
      <c r="D42" s="16">
        <f>'Rel to Acc'!D42-$D$70</f>
        <v>98.51864999999998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ht="15" x14ac:dyDescent="0.25">
      <c r="A43" s="15" t="s">
        <v>142</v>
      </c>
      <c r="B43" s="15"/>
      <c r="C43" s="15"/>
      <c r="D43" s="16">
        <f>'Rel to Acc'!D43-$D$70</f>
        <v>103.31464999999997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ht="15" x14ac:dyDescent="0.25">
      <c r="A44" s="15" t="s">
        <v>63</v>
      </c>
      <c r="B44" s="15" t="s">
        <v>45</v>
      </c>
      <c r="C44" s="15"/>
      <c r="D44" s="16">
        <f>'Rel to Acc'!D44-$D$70</f>
        <v>101.14535000000001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ht="15" x14ac:dyDescent="0.25">
      <c r="A45" s="37" t="s">
        <v>196</v>
      </c>
      <c r="B45" s="37"/>
      <c r="C45" s="37"/>
      <c r="D45" s="39">
        <f>'Rel to Acc'!D45-$D$70</f>
        <v>99.531190000000038</v>
      </c>
      <c r="E45" s="39">
        <f>'Rel to Acc'!E45-80.6</f>
        <v>-4.1088539020961434E-5</v>
      </c>
      <c r="F45" s="39">
        <f>'data from JD'!F43+'data from JD'!P43/1000</f>
        <v>0</v>
      </c>
      <c r="G45" s="39">
        <f>'Rel to Acc'!G45-104.7</f>
        <v>-3.4842540003410249E-5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ht="15" x14ac:dyDescent="0.25">
      <c r="A46" s="37" t="s">
        <v>195</v>
      </c>
      <c r="B46" s="37" t="s">
        <v>151</v>
      </c>
      <c r="C46" s="37"/>
      <c r="D46" s="39">
        <f>'Rel to Acc'!D46-$D$70</f>
        <v>99.678940000000011</v>
      </c>
      <c r="E46" s="39">
        <f>'Rel to Acc'!E46-80.6</f>
        <v>-2.9999999995311555E-5</v>
      </c>
      <c r="F46" s="39">
        <f>'data from JD'!F45+'data from JD'!P45/1000</f>
        <v>0.17992000000029104</v>
      </c>
      <c r="G46" s="39">
        <f>'Rel to Acc'!G46-104.7</f>
        <v>-3.9999999998485691E-5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ht="15" x14ac:dyDescent="0.25">
      <c r="A47" s="37" t="s">
        <v>197</v>
      </c>
      <c r="B47" s="37"/>
      <c r="C47" s="37"/>
      <c r="D47" s="39">
        <f>'Rel to Acc'!D47-$D$70</f>
        <v>99.826689999999985</v>
      </c>
      <c r="E47" s="39">
        <f>'Rel to Acc'!E47-80.6</f>
        <v>-1.8911460969661675E-5</v>
      </c>
      <c r="F47" s="39">
        <f>'data from JD'!F46+'data from JD'!P46/1000</f>
        <v>0</v>
      </c>
      <c r="G47" s="39">
        <f>'Rel to Acc'!G47-104.7</f>
        <v>-4.5157459993561133E-5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38" customFormat="1" ht="15" x14ac:dyDescent="0.25">
      <c r="A48" s="37" t="s">
        <v>152</v>
      </c>
      <c r="B48" s="37"/>
      <c r="C48" s="37"/>
      <c r="D48" s="39">
        <f>'Rel to Acc'!D48-$D$70</f>
        <v>99.873120000000029</v>
      </c>
      <c r="E48" s="39">
        <f>'Rel to Acc'!E48-80.6</f>
        <v>1.2822883416845343E-3</v>
      </c>
      <c r="F48" s="39">
        <f>'data from JD'!F48+'data from JD'!P48/1000</f>
        <v>0</v>
      </c>
      <c r="G48" s="39">
        <f>'Rel to Acc'!G48-104.7</f>
        <v>1.9994390951154628E-3</v>
      </c>
      <c r="H48" s="39"/>
      <c r="I48" s="40"/>
      <c r="J48" s="40"/>
      <c r="K48" s="37"/>
      <c r="L48" s="37"/>
      <c r="M48" s="37"/>
      <c r="N48" s="37"/>
      <c r="O48" s="37"/>
      <c r="P48" s="37"/>
    </row>
    <row r="49" spans="1:16" s="38" customFormat="1" ht="15" x14ac:dyDescent="0.25">
      <c r="A49" s="37" t="s">
        <v>80</v>
      </c>
      <c r="B49" s="37" t="s">
        <v>18</v>
      </c>
      <c r="C49" s="39" t="s">
        <v>46</v>
      </c>
      <c r="D49" s="39">
        <f>'Rel to Acc'!D49-$D$70</f>
        <v>99.326650000000029</v>
      </c>
      <c r="E49" s="39"/>
      <c r="F49" s="39">
        <f>'data from JD'!F49+'data from JD'!P49/1000</f>
        <v>1.23E-3</v>
      </c>
      <c r="G49" s="39"/>
      <c r="H49" s="39"/>
      <c r="I49" s="39">
        <f>ATAN(((G51-G49)/(D51-D49))*180/3.1415)</f>
        <v>9.938041627988406E-2</v>
      </c>
      <c r="J49" s="40">
        <v>-11.25</v>
      </c>
      <c r="K49" s="37"/>
      <c r="L49" s="37"/>
      <c r="M49" s="37"/>
      <c r="N49" s="37"/>
      <c r="O49" s="37"/>
      <c r="P49" s="37"/>
    </row>
    <row r="50" spans="1:16" s="38" customFormat="1" ht="15" x14ac:dyDescent="0.25">
      <c r="A50" s="37" t="s">
        <v>92</v>
      </c>
      <c r="B50" s="37"/>
      <c r="C50" s="39"/>
      <c r="D50" s="39">
        <f>'Rel to Acc'!D50-$D$70</f>
        <v>99.413950000000057</v>
      </c>
      <c r="E50" s="39">
        <f>'Rel to Acc'!E50-80.6</f>
        <v>-5.7834018349467442E-5</v>
      </c>
      <c r="F50" s="39">
        <f>'data from JD'!F50+'data from JD'!P50/1000</f>
        <v>1.23E-3</v>
      </c>
      <c r="G50" s="39">
        <f>'Rel to Acc'!G50-104.7</f>
        <v>-1.0417389607226824E-3</v>
      </c>
      <c r="H50" s="39"/>
      <c r="I50" s="40"/>
      <c r="J50" s="40"/>
      <c r="K50" s="37"/>
      <c r="L50" s="37"/>
      <c r="M50" s="37"/>
      <c r="N50" s="37"/>
      <c r="O50" s="37"/>
      <c r="P50" s="37"/>
    </row>
    <row r="51" spans="1:16" s="38" customFormat="1" ht="15" x14ac:dyDescent="0.25">
      <c r="A51" s="37" t="s">
        <v>93</v>
      </c>
      <c r="B51" s="37"/>
      <c r="C51" s="39"/>
      <c r="D51" s="39">
        <f>'Rel to Acc'!D51-$D$70</f>
        <v>99.999050000000011</v>
      </c>
      <c r="E51" s="39">
        <f>'Rel to Acc'!E51-80.6</f>
        <v>1.5933893641886243E-3</v>
      </c>
      <c r="F51" s="39">
        <f>'data from JD'!F51+'data from JD'!P51/1000</f>
        <v>-4.4000000000000002E-4</v>
      </c>
      <c r="G51" s="39">
        <f>'Rel to Acc'!G51-104.7</f>
        <v>1.1701085275603873E-3</v>
      </c>
      <c r="H51" s="39"/>
      <c r="I51" s="40"/>
      <c r="J51" s="40"/>
      <c r="K51" s="37"/>
      <c r="L51" s="37"/>
      <c r="M51" s="37"/>
      <c r="N51" s="37"/>
      <c r="O51" s="37"/>
      <c r="P51" s="37"/>
    </row>
    <row r="52" spans="1:16" ht="15" x14ac:dyDescent="0.25">
      <c r="A52" s="15" t="s">
        <v>111</v>
      </c>
      <c r="B52" s="15"/>
      <c r="C52" s="15"/>
      <c r="D52" s="16">
        <f>'Rel to Acc'!D52-$D$70</f>
        <v>100.84944000000002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ht="15" x14ac:dyDescent="0.25">
      <c r="A53" s="15" t="s">
        <v>112</v>
      </c>
      <c r="B53" s="15"/>
      <c r="C53" s="15"/>
      <c r="D53" s="16">
        <f>'Rel to Acc'!D53-$D$70</f>
        <v>101.43513999999999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ht="15" x14ac:dyDescent="0.25">
      <c r="A54" s="15" t="s">
        <v>113</v>
      </c>
      <c r="B54" s="15"/>
      <c r="C54" s="15"/>
      <c r="D54" s="16">
        <f>'Rel to Acc'!D54-$D$70</f>
        <v>102.02103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ht="15" x14ac:dyDescent="0.25">
      <c r="A55" s="15" t="s">
        <v>114</v>
      </c>
      <c r="B55" s="15"/>
      <c r="C55" s="15"/>
      <c r="D55" s="16">
        <f>'Rel to Acc'!D55-$D$70</f>
        <v>102.40778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ht="15" x14ac:dyDescent="0.25">
      <c r="A56" s="15" t="s">
        <v>64</v>
      </c>
      <c r="B56" s="15" t="s">
        <v>17</v>
      </c>
      <c r="C56" s="15"/>
      <c r="D56" s="16">
        <f>'Rel to Acc'!D56-$D$70</f>
        <v>99.953449999999975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ht="15" x14ac:dyDescent="0.25">
      <c r="A57" s="15" t="s">
        <v>148</v>
      </c>
      <c r="B57" s="15"/>
      <c r="C57" s="15"/>
      <c r="D57" s="16">
        <f>'Rel to Acc'!D57-$D$70</f>
        <v>99.203449999999975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ht="15" x14ac:dyDescent="0.25">
      <c r="A58" s="15" t="s">
        <v>149</v>
      </c>
      <c r="B58" s="15"/>
      <c r="C58" s="15"/>
      <c r="D58" s="16">
        <f>'Rel to Acc'!D58-$D$70</f>
        <v>100.70344999999998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ht="15" x14ac:dyDescent="0.25">
      <c r="A59" s="37" t="s">
        <v>65</v>
      </c>
      <c r="B59" s="37" t="s">
        <v>15</v>
      </c>
      <c r="C59" s="37"/>
      <c r="D59" s="39">
        <f>'Rel to Acc'!D59-$D$70</f>
        <v>105.27638000000002</v>
      </c>
      <c r="E59" s="39">
        <f>'Rel to Acc'!E59-80.6</f>
        <v>6.0100000000034015E-3</v>
      </c>
      <c r="F59" s="39">
        <f>'data from JD'!F57+'data from JD'!P57/1000</f>
        <v>0.17997900000029105</v>
      </c>
      <c r="G59" s="39">
        <f>'Rel to Acc'!G59-104.7</f>
        <v>3.0999999999892225E-4</v>
      </c>
      <c r="H59" s="39">
        <f>'Rel to Acc'!H59</f>
        <v>-4.8399999999999999E-2</v>
      </c>
      <c r="I59" s="39">
        <f>'Rel to Acc'!I59</f>
        <v>2.64E-2</v>
      </c>
      <c r="J59" s="39">
        <f>'Rel to Acc'!J59</f>
        <v>-1.8599999999999998E-2</v>
      </c>
      <c r="K59" s="37"/>
      <c r="L59" s="37"/>
      <c r="M59" s="37"/>
      <c r="N59" s="37"/>
      <c r="O59" s="37"/>
      <c r="P59" s="37"/>
    </row>
    <row r="60" spans="1:16" s="38" customFormat="1" ht="15" x14ac:dyDescent="0.25">
      <c r="A60" s="37" t="s">
        <v>66</v>
      </c>
      <c r="B60" s="37" t="s">
        <v>16</v>
      </c>
      <c r="C60" s="37"/>
      <c r="D60" s="39">
        <f>'Rel to Acc'!D60-$D$70</f>
        <v>105.08525000000003</v>
      </c>
      <c r="E60" s="39">
        <f>'Rel to Acc'!E60-80.6</f>
        <v>3.7999999999982492E-3</v>
      </c>
      <c r="F60" s="39">
        <f>'data from JD'!F58+'data from JD'!P58/1000</f>
        <v>0.18225100000029104</v>
      </c>
      <c r="G60" s="39">
        <f>'Rel to Acc'!G60-104.7</f>
        <v>2.582000000003859E-3</v>
      </c>
      <c r="H60" s="39">
        <f>'Rel to Acc'!H60</f>
        <v>6.7909999999999998E-2</v>
      </c>
      <c r="I60" s="39">
        <f>'Rel to Acc'!I60</f>
        <v>2.726E-2</v>
      </c>
      <c r="J60" s="39">
        <f>'Rel to Acc'!J60</f>
        <v>-0.185</v>
      </c>
      <c r="K60" s="37"/>
      <c r="L60" s="37"/>
      <c r="M60" s="37"/>
      <c r="N60" s="37"/>
      <c r="O60" s="37"/>
      <c r="P60" s="37"/>
    </row>
    <row r="61" spans="1:16" ht="15" x14ac:dyDescent="0.25">
      <c r="A61" s="25" t="s">
        <v>253</v>
      </c>
      <c r="B61" s="15"/>
      <c r="C61" s="15"/>
      <c r="D61" s="16" t="s">
        <v>46</v>
      </c>
      <c r="E61" s="16" t="s">
        <v>46</v>
      </c>
      <c r="F61" s="16">
        <f>'data from JD'!F59+'data from JD'!P59/1000</f>
        <v>0</v>
      </c>
      <c r="G61" s="16" t="s">
        <v>46</v>
      </c>
      <c r="H61" s="15" t="s">
        <v>264</v>
      </c>
      <c r="I61" s="15" t="s">
        <v>46</v>
      </c>
      <c r="J61" s="15" t="s">
        <v>46</v>
      </c>
      <c r="K61" s="15"/>
      <c r="L61" s="15"/>
      <c r="M61" s="15"/>
      <c r="N61" s="15"/>
      <c r="O61" s="15"/>
      <c r="P61" s="15"/>
    </row>
    <row r="62" spans="1:16" x14ac:dyDescent="0.3">
      <c r="A62" s="15" t="s">
        <v>259</v>
      </c>
      <c r="B62" s="15"/>
      <c r="D62" s="16">
        <f>'Rel to Acc'!D62-$D$70</f>
        <v>-299.11115000000001</v>
      </c>
      <c r="E62" s="16">
        <f>'Rel to Acc'!E62-80.6</f>
        <v>-80.599999999999994</v>
      </c>
      <c r="F62" s="16">
        <f>'data from JD'!F60+'data from JD'!P60/1000</f>
        <v>0</v>
      </c>
      <c r="G62" s="16">
        <f>'Rel to Acc'!G62-104.7</f>
        <v>-104.7</v>
      </c>
      <c r="H62" s="15">
        <f>'Rel to Acc'!H62</f>
        <v>0</v>
      </c>
      <c r="I62" s="15">
        <f>'Rel to Acc'!I62</f>
        <v>0</v>
      </c>
      <c r="J62" s="15">
        <f>'Rel to Acc'!J62</f>
        <v>0</v>
      </c>
    </row>
    <row r="63" spans="1:16" s="38" customFormat="1" x14ac:dyDescent="0.3">
      <c r="A63" s="37" t="s">
        <v>262</v>
      </c>
      <c r="B63" s="39" t="s">
        <v>263</v>
      </c>
      <c r="D63" s="39">
        <f>'Rel to Acc'!D63-$D$70</f>
        <v>115.29564999999997</v>
      </c>
      <c r="E63" s="39">
        <f>'Rel to Acc'!E63-80.6</f>
        <v>-1.8999999998925432E-4</v>
      </c>
      <c r="F63" s="39">
        <f>'data from JD'!F61+'data from JD'!P61/1000</f>
        <v>0</v>
      </c>
      <c r="G63" s="39">
        <f>'Rel to Acc'!G63-104.7</f>
        <v>3.2999999999105967E-4</v>
      </c>
      <c r="H63" s="37">
        <f>'Rel to Acc'!H63</f>
        <v>0.1168</v>
      </c>
      <c r="I63" s="37">
        <f>'Rel to Acc'!I63</f>
        <v>0.1065</v>
      </c>
      <c r="J63" s="37" t="str">
        <f>'Rel to Acc'!J63</f>
        <v xml:space="preserve"> </v>
      </c>
    </row>
    <row r="64" spans="1:16" s="33" customFormat="1" x14ac:dyDescent="0.3">
      <c r="A64" s="47" t="s">
        <v>268</v>
      </c>
      <c r="B64" s="48" t="s">
        <v>270</v>
      </c>
      <c r="D64" s="24"/>
      <c r="E64" s="24"/>
      <c r="F64" s="24"/>
      <c r="G64" s="24"/>
      <c r="H64" s="52"/>
      <c r="I64" s="52"/>
      <c r="J64" s="52"/>
    </row>
    <row r="65" spans="1:10" s="33" customFormat="1" x14ac:dyDescent="0.3">
      <c r="A65" s="47" t="s">
        <v>269</v>
      </c>
      <c r="B65" s="48" t="s">
        <v>271</v>
      </c>
      <c r="D65" s="24"/>
      <c r="E65" s="24"/>
      <c r="F65" s="24"/>
      <c r="G65" s="24"/>
      <c r="H65" s="52"/>
      <c r="I65" s="52"/>
      <c r="J65" s="52"/>
    </row>
    <row r="66" spans="1:10" s="33" customFormat="1" x14ac:dyDescent="0.3">
      <c r="A66" s="52"/>
      <c r="B66" s="24"/>
      <c r="D66" s="24"/>
      <c r="E66" s="24"/>
      <c r="F66" s="24"/>
      <c r="G66" s="24"/>
      <c r="H66" s="52"/>
      <c r="I66" s="52"/>
      <c r="J66" s="52"/>
    </row>
    <row r="67" spans="1:10" s="33" customFormat="1" x14ac:dyDescent="0.3">
      <c r="A67" s="52"/>
      <c r="B67" s="24"/>
      <c r="D67" s="24"/>
      <c r="E67" s="24"/>
      <c r="F67" s="24"/>
      <c r="G67" s="24"/>
      <c r="H67" s="52"/>
      <c r="I67" s="52"/>
      <c r="J67" s="52"/>
    </row>
    <row r="68" spans="1:10" ht="15.75" x14ac:dyDescent="0.25">
      <c r="A68" s="10" t="s">
        <v>81</v>
      </c>
      <c r="D68" s="4">
        <f>'Rel to Acc'!D42+0.508</f>
        <v>398.13779999999997</v>
      </c>
      <c r="E68" s="2">
        <v>80.599999999999994</v>
      </c>
      <c r="F68" s="2"/>
      <c r="G68" s="2">
        <v>104.7</v>
      </c>
    </row>
    <row r="69" spans="1:10" s="33" customFormat="1" ht="15.6" x14ac:dyDescent="0.3">
      <c r="A69" s="10"/>
      <c r="E69" s="2"/>
      <c r="F69" s="2"/>
      <c r="G69" s="2"/>
    </row>
    <row r="70" spans="1:10" s="54" customFormat="1" x14ac:dyDescent="0.3">
      <c r="B70" s="54" t="s">
        <v>274</v>
      </c>
      <c r="D70" s="54">
        <f>'Rel to Acc'!D15</f>
        <v>299.11115000000001</v>
      </c>
      <c r="E70" s="54" t="s">
        <v>46</v>
      </c>
      <c r="G70" s="54" t="s">
        <v>46</v>
      </c>
    </row>
    <row r="71" spans="1:10" s="38" customFormat="1" x14ac:dyDescent="0.3">
      <c r="A71" s="37" t="s">
        <v>265</v>
      </c>
    </row>
    <row r="72" spans="1:10" x14ac:dyDescent="0.3">
      <c r="A72" s="35" t="s">
        <v>261</v>
      </c>
    </row>
    <row r="73" spans="1:10" x14ac:dyDescent="0.3">
      <c r="A73" s="36" t="s">
        <v>266</v>
      </c>
    </row>
    <row r="74" spans="1:10" x14ac:dyDescent="0.3">
      <c r="A74" s="36" t="s">
        <v>276</v>
      </c>
    </row>
    <row r="75" spans="1:10" x14ac:dyDescent="0.3">
      <c r="A75" s="36" t="s">
        <v>267</v>
      </c>
    </row>
    <row r="76" spans="1:10" x14ac:dyDescent="0.3">
      <c r="A76" s="36" t="s">
        <v>272</v>
      </c>
    </row>
    <row r="77" spans="1:10" x14ac:dyDescent="0.3">
      <c r="A77" s="36" t="s">
        <v>273</v>
      </c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opLeftCell="A43" workbookViewId="0">
      <selection activeCell="A73" sqref="A73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260</v>
      </c>
    </row>
    <row r="2" spans="1:16" x14ac:dyDescent="0.3">
      <c r="A2" s="43" t="s">
        <v>89</v>
      </c>
      <c r="B2" s="43"/>
      <c r="C2" s="43"/>
      <c r="D2" s="43"/>
    </row>
    <row r="3" spans="1:16" x14ac:dyDescent="0.3">
      <c r="A3" s="43"/>
      <c r="B3" s="43"/>
      <c r="C3" s="43"/>
      <c r="D3" s="43"/>
    </row>
    <row r="4" spans="1:16" x14ac:dyDescent="0.3">
      <c r="A4" s="43"/>
      <c r="B4" s="43"/>
      <c r="C4" s="43"/>
      <c r="D4" s="43"/>
    </row>
    <row r="5" spans="1:16" x14ac:dyDescent="0.3">
      <c r="A5" s="44"/>
      <c r="B5" s="44"/>
      <c r="C5" s="44"/>
      <c r="D5" s="44"/>
    </row>
    <row r="6" spans="1:16" x14ac:dyDescent="0.3">
      <c r="A6" s="44"/>
      <c r="B6" s="44"/>
      <c r="C6" s="44"/>
      <c r="D6" s="44"/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45" t="s">
        <v>48</v>
      </c>
      <c r="M10" s="45"/>
      <c r="N10" s="45"/>
      <c r="O10" s="45"/>
      <c r="P10" s="45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Acc'!D12-'Rel to HD 0,0'!$D$68</f>
        <v>-114.62376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Acc'!D13-'Rel to HD 0,0'!$D$68</f>
        <v>-100.31875999999994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Acc'!D14-'Rel to HD 0,0'!$D$68</f>
        <v>-99.051549999999963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Acc'!D15-'Rel to HD 0,0'!$D$68</f>
        <v>-99.026649999999961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Acc'!D16-'Rel to HD 0,0'!$D$68</f>
        <v>-98.423669999999959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Acc'!D17-'Rel to HD 0,0'!$D$68</f>
        <v>-97.97288999999995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88</v>
      </c>
      <c r="B18" s="15" t="s">
        <v>2</v>
      </c>
      <c r="C18" s="15"/>
      <c r="D18" s="16">
        <f>'Rel to Acc'!D18-'Rel to HD 0,0'!$D$68</f>
        <v>-92.749419999999986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Acc'!D19-$D$68</f>
        <v>-95.851288786574344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Acc'!D20-'Rel to HD 0,0'!$D$68</f>
        <v>-95.038319999999942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Acc'!D21-'Rel to HD 0,0'!$D$68</f>
        <v>-93.749069999999961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Acc'!D22-'Rel to HD 0,0'!$D$68</f>
        <v>-92.468009079999945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Acc'!D23-'Rel to HD 0,0'!$D$68</f>
        <v>-91.47855186999999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Acc'!D24-'Rel to HD 0,0'!$D$68</f>
        <v>-90.433516189999978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Acc'!D25-'Rel to HD 0,0'!$D$68</f>
        <v>-89.237859999999955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Acc'!D26-'Rel to HD 0,0'!$D$68</f>
        <v>-87.994789999999966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Acc'!D27-'Rel to HD 0,0'!$D$68</f>
        <v>-86.573279999999954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Acc'!D28-'Rel to HD 0,0'!$D$68</f>
        <v>-91.614039999999989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Acc'!D29-'Rel to HD 0,0'!$D$68</f>
        <v>-23.867799999999988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Acc'!D30-'Rel to HD 0,0'!$D$68</f>
        <v>-23.652319999999975</v>
      </c>
      <c r="E30" s="16">
        <f>'Rel to Acc'!E30-80.6</f>
        <v>-4.9999999987448973E-5</v>
      </c>
      <c r="F30" s="16">
        <f>'data from JD'!F30+'data from JD'!P30/1000</f>
        <v>-0.89004400002670281</v>
      </c>
      <c r="G30" s="16">
        <f>'Rel to Acc'!G30-104.7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Acc'!D31-'Rel to HD 0,0'!$D$68</f>
        <v>-17.765219999999943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Acc'!D32-'Rel to HD 0,0'!$D$68</f>
        <v>-21.35391999999996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Acc'!D33-'Rel to HD 0,0'!$D$68</f>
        <v>-16.998463999999956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162</v>
      </c>
      <c r="B34" s="15"/>
      <c r="C34" s="15"/>
      <c r="D34" s="16">
        <f>'Rel to Acc'!D34-'Rel to HD 0,0'!$D$68</f>
        <v>-15.075249999999983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Acc'!D35-'Rel to HD 0,0'!$D$68</f>
        <v>-12.907069999999976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38" customFormat="1" ht="15" x14ac:dyDescent="0.25">
      <c r="A36" s="37" t="s">
        <v>57</v>
      </c>
      <c r="B36" s="37" t="s">
        <v>21</v>
      </c>
      <c r="C36" s="37"/>
      <c r="D36" s="39">
        <f>'Rel to Acc'!D36-'Rel to HD 0,0'!$D$68</f>
        <v>-11.370469999999955</v>
      </c>
      <c r="E36" s="39">
        <f>'Rel to Acc'!E36-80.6</f>
        <v>-9.9999999989108801E-5</v>
      </c>
      <c r="F36" s="39">
        <f>'data from JD'!F36+'data from JD'!P36/1000</f>
        <v>0.17991300000029103</v>
      </c>
      <c r="G36" s="39">
        <f>'Rel to Acc'!G36-104.7</f>
        <v>-4.3999999999755346E-4</v>
      </c>
      <c r="H36" s="39">
        <f>'data from JD'!L36+'data from JD'!R36</f>
        <v>-1.15E-3</v>
      </c>
      <c r="I36" s="40">
        <v>8.5900000000000004E-3</v>
      </c>
      <c r="J36" s="40">
        <v>5.6999999999999998E-4</v>
      </c>
      <c r="K36" s="37"/>
      <c r="L36" s="37"/>
      <c r="M36" s="37"/>
      <c r="N36" s="37"/>
      <c r="O36" s="37"/>
      <c r="P36" s="37"/>
    </row>
    <row r="37" spans="1:16" s="38" customFormat="1" ht="15" x14ac:dyDescent="0.25">
      <c r="A37" s="37" t="s">
        <v>58</v>
      </c>
      <c r="B37" s="37" t="s">
        <v>19</v>
      </c>
      <c r="C37" s="37"/>
      <c r="D37" s="39">
        <f>'Rel to Acc'!D37-'Rel to HD 0,0'!$D$68</f>
        <v>-8.4430499999999711</v>
      </c>
      <c r="E37" s="39">
        <f>'Rel to Acc'!E37-80.6</f>
        <v>-0.23858999999998787</v>
      </c>
      <c r="F37" s="39">
        <f>'data from JD'!F37+'data from JD'!P37/1000</f>
        <v>0.18153199999524153</v>
      </c>
      <c r="G37" s="39">
        <f>'Rel to Acc'!G37-104.7</f>
        <v>1.0000000003174137E-5</v>
      </c>
      <c r="H37" s="39">
        <f>'data from JD'!L37+'data from JD'!R37</f>
        <v>-4.6595800000000001</v>
      </c>
      <c r="I37" s="40">
        <v>8.0500000000000002E-2</v>
      </c>
      <c r="J37" s="40">
        <v>-0.15642</v>
      </c>
      <c r="K37" s="37"/>
      <c r="L37" s="37"/>
      <c r="M37" s="37"/>
      <c r="N37" s="37"/>
      <c r="O37" s="37"/>
      <c r="P37" s="37"/>
    </row>
    <row r="38" spans="1:16" s="38" customFormat="1" ht="15" x14ac:dyDescent="0.25">
      <c r="A38" s="37" t="s">
        <v>59</v>
      </c>
      <c r="B38" s="37" t="s">
        <v>20</v>
      </c>
      <c r="C38" s="37"/>
      <c r="D38" s="39">
        <f>'Rel to Acc'!D38-'Rel to HD 0,0'!$D$68</f>
        <v>-8.443589999999972</v>
      </c>
      <c r="E38" s="39">
        <f>'Rel to Acc'!E38-80.6</f>
        <v>0.23852000000000828</v>
      </c>
      <c r="F38" s="39">
        <f>'data from JD'!F38+'data from JD'!P38/1000</f>
        <v>0.18081299999524153</v>
      </c>
      <c r="G38" s="39">
        <f>'Rel to Acc'!G38-104.7</f>
        <v>-2.0000000006348273E-5</v>
      </c>
      <c r="H38" s="39">
        <f>'data from JD'!L38+'data from JD'!R38</f>
        <v>4.5707700000000004</v>
      </c>
      <c r="I38" s="40">
        <v>-0.13464999999999999</v>
      </c>
      <c r="J38" s="40">
        <v>3.0939999999999999E-2</v>
      </c>
      <c r="K38" s="37"/>
      <c r="L38" s="37"/>
      <c r="M38" s="37"/>
      <c r="N38" s="37"/>
      <c r="O38" s="37"/>
      <c r="P38" s="37"/>
    </row>
    <row r="39" spans="1:16" s="38" customFormat="1" ht="15" x14ac:dyDescent="0.25">
      <c r="A39" s="37" t="s">
        <v>60</v>
      </c>
      <c r="B39" s="39" t="s">
        <v>86</v>
      </c>
      <c r="C39" s="37"/>
      <c r="D39" s="39">
        <f>'Rel to Acc'!D39-'Rel to HD 0,0'!$D$68</f>
        <v>-7.9542999999999893</v>
      </c>
      <c r="E39" s="39">
        <f>'Rel to Acc'!E39-80.6</f>
        <v>-0.27482999999999436</v>
      </c>
      <c r="F39" s="39">
        <f>'data from JD'!F39+'data from JD'!P39/1000</f>
        <v>0.18167999999524154</v>
      </c>
      <c r="G39" s="39">
        <f>'Rel to Acc'!G39-104.7</f>
        <v>2.6699999999948432E-3</v>
      </c>
      <c r="H39" s="39">
        <f>'Rel to Acc'!H39</f>
        <v>-4.6928999999999998</v>
      </c>
      <c r="I39" s="40"/>
      <c r="J39" s="40"/>
      <c r="K39" s="37"/>
      <c r="L39" s="37"/>
      <c r="M39" s="37"/>
      <c r="N39" s="37"/>
      <c r="O39" s="37"/>
      <c r="P39" s="37"/>
    </row>
    <row r="40" spans="1:16" s="38" customFormat="1" ht="15" x14ac:dyDescent="0.25">
      <c r="A40" s="37" t="s">
        <v>61</v>
      </c>
      <c r="B40" s="39" t="s">
        <v>85</v>
      </c>
      <c r="C40" s="37"/>
      <c r="D40" s="39">
        <f>'Rel to Acc'!D40-'Rel to HD 0,0'!$D$68</f>
        <v>-7.954309999999964</v>
      </c>
      <c r="E40" s="39">
        <f>'Rel to Acc'!E40-80.6</f>
        <v>0.27509000000000583</v>
      </c>
      <c r="F40" s="39">
        <f>'data from JD'!F40+'data from JD'!P40/1000</f>
        <v>0.18207999999524152</v>
      </c>
      <c r="G40" s="39">
        <f>'Rel to Acc'!G40-104.7</f>
        <v>8.6999999999193278E-4</v>
      </c>
      <c r="H40" s="39">
        <f>'Rel to Acc'!H40</f>
        <v>4.7812999999999999</v>
      </c>
      <c r="I40" s="40"/>
      <c r="J40" s="40"/>
      <c r="K40" s="37"/>
      <c r="L40" s="37"/>
      <c r="M40" s="37"/>
      <c r="N40" s="37"/>
      <c r="O40" s="37"/>
      <c r="P40" s="37"/>
    </row>
    <row r="41" spans="1:16" x14ac:dyDescent="0.3">
      <c r="A41" s="15" t="s">
        <v>62</v>
      </c>
      <c r="B41" s="15" t="s">
        <v>23</v>
      </c>
      <c r="C41" s="15"/>
      <c r="D41" s="16">
        <f>'Rel to Acc'!D41-'Rel to HD 0,0'!$D$68</f>
        <v>1.8900000000000432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3">
      <c r="A42" s="15" t="s">
        <v>141</v>
      </c>
      <c r="B42" s="15"/>
      <c r="C42" s="15"/>
      <c r="D42" s="16">
        <f>'Rel to Acc'!D42-'Rel to HD 0,0'!$D$68</f>
        <v>-0.50799999999998136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3">
      <c r="A43" s="15" t="s">
        <v>142</v>
      </c>
      <c r="B43" s="15"/>
      <c r="C43" s="15"/>
      <c r="D43" s="16">
        <f>'Rel to Acc'!D43-'Rel to HD 0,0'!$D$68</f>
        <v>4.2880000000000109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3">
      <c r="A44" s="15" t="s">
        <v>63</v>
      </c>
      <c r="B44" s="15" t="s">
        <v>45</v>
      </c>
      <c r="C44" s="15"/>
      <c r="D44" s="16">
        <f>'Rel to Acc'!D44-'Rel to HD 0,0'!$D$68</f>
        <v>2.1187000000000467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x14ac:dyDescent="0.3">
      <c r="A45" s="37" t="s">
        <v>196</v>
      </c>
      <c r="B45" s="37"/>
      <c r="C45" s="37"/>
      <c r="D45" s="39">
        <f>'Rel to Acc'!D45-'Rel to HD 0,0'!$D$68</f>
        <v>0.50454000000007682</v>
      </c>
      <c r="E45" s="39">
        <f>'Rel to Acc'!E45-80.6</f>
        <v>-4.1088539020961434E-5</v>
      </c>
      <c r="F45" s="39">
        <f>'data from JD'!F43+'data from JD'!P43/1000</f>
        <v>0</v>
      </c>
      <c r="G45" s="39">
        <f>'Rel to Acc'!G45-104.7</f>
        <v>-3.4842540003410249E-5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x14ac:dyDescent="0.3">
      <c r="A46" s="37" t="s">
        <v>195</v>
      </c>
      <c r="B46" s="37" t="s">
        <v>151</v>
      </c>
      <c r="C46" s="37"/>
      <c r="D46" s="39">
        <f>'Rel to Acc'!D46-'Rel to HD 0,0'!$D$68</f>
        <v>0.65229000000005044</v>
      </c>
      <c r="E46" s="39">
        <f>'Rel to Acc'!E46-80.6</f>
        <v>-2.9999999995311555E-5</v>
      </c>
      <c r="F46" s="39">
        <f>'data from JD'!F45+'data from JD'!P45/1000</f>
        <v>0.17992000000029104</v>
      </c>
      <c r="G46" s="39">
        <f>'Rel to Acc'!G46-104.7</f>
        <v>-3.9999999998485691E-5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x14ac:dyDescent="0.3">
      <c r="A47" s="37" t="s">
        <v>197</v>
      </c>
      <c r="B47" s="37"/>
      <c r="C47" s="37"/>
      <c r="D47" s="39">
        <f>'Rel to Acc'!D47-'Rel to HD 0,0'!$D$68</f>
        <v>0.80004000000002407</v>
      </c>
      <c r="E47" s="39">
        <f>'Rel to Acc'!E47-80.6</f>
        <v>-1.8911460969661675E-5</v>
      </c>
      <c r="F47" s="39">
        <f>'data from JD'!F46+'data from JD'!P46/1000</f>
        <v>0</v>
      </c>
      <c r="G47" s="39">
        <f>'Rel to Acc'!G47-104.7</f>
        <v>-4.5157459993561133E-5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38" customFormat="1" x14ac:dyDescent="0.3">
      <c r="A48" s="37" t="s">
        <v>152</v>
      </c>
      <c r="B48" s="37"/>
      <c r="C48" s="37"/>
      <c r="D48" s="39">
        <f>'Rel to Acc'!D48-'Rel to HD 0,0'!$D$68</f>
        <v>0.84647000000006756</v>
      </c>
      <c r="E48" s="39">
        <f>'Rel to Acc'!E48-80.6</f>
        <v>1.2822883416845343E-3</v>
      </c>
      <c r="F48" s="39">
        <f>'data from JD'!F48+'data from JD'!P48/1000</f>
        <v>0</v>
      </c>
      <c r="G48" s="39">
        <f>'Rel to Acc'!G48-104.7</f>
        <v>1.9994390951154628E-3</v>
      </c>
      <c r="H48" s="39"/>
      <c r="I48" s="40"/>
      <c r="J48" s="40"/>
      <c r="K48" s="37"/>
      <c r="L48" s="37"/>
      <c r="M48" s="37"/>
      <c r="N48" s="37"/>
      <c r="O48" s="37"/>
      <c r="P48" s="37"/>
    </row>
    <row r="49" spans="1:16" s="38" customFormat="1" x14ac:dyDescent="0.3">
      <c r="A49" s="37" t="s">
        <v>80</v>
      </c>
      <c r="B49" s="37" t="s">
        <v>18</v>
      </c>
      <c r="C49" s="39" t="s">
        <v>46</v>
      </c>
      <c r="D49" s="39">
        <f>'Rel to Acc'!D49-'Rel to HD 0,0'!$D$68</f>
        <v>0.30000000000006821</v>
      </c>
      <c r="E49" s="39"/>
      <c r="F49" s="39">
        <f>'data from JD'!F49+'data from JD'!P49/1000</f>
        <v>1.23E-3</v>
      </c>
      <c r="G49" s="39"/>
      <c r="H49" s="39"/>
      <c r="I49" s="39">
        <f>ATAN(((G51-G49)/(D51-D49))*180/3.1415)</f>
        <v>9.938041627988406E-2</v>
      </c>
      <c r="J49" s="40">
        <v>-11.25</v>
      </c>
      <c r="K49" s="37"/>
      <c r="L49" s="37"/>
      <c r="M49" s="37"/>
      <c r="N49" s="37"/>
      <c r="O49" s="37"/>
      <c r="P49" s="37"/>
    </row>
    <row r="50" spans="1:16" s="38" customFormat="1" x14ac:dyDescent="0.3">
      <c r="A50" s="37" t="s">
        <v>92</v>
      </c>
      <c r="B50" s="37"/>
      <c r="C50" s="39"/>
      <c r="D50" s="39">
        <f>'Rel to Acc'!D50-'Rel to HD 0,0'!$D$68</f>
        <v>0.38730000000009568</v>
      </c>
      <c r="E50" s="39">
        <f>'Rel to Acc'!E50-80.6</f>
        <v>-5.7834018349467442E-5</v>
      </c>
      <c r="F50" s="39">
        <f>'data from JD'!F50+'data from JD'!P50/1000</f>
        <v>1.23E-3</v>
      </c>
      <c r="G50" s="39">
        <f>'Rel to Acc'!G50-104.7</f>
        <v>-1.0417389607226824E-3</v>
      </c>
      <c r="H50" s="39"/>
      <c r="I50" s="39"/>
      <c r="J50" s="40"/>
      <c r="K50" s="37"/>
      <c r="L50" s="37"/>
      <c r="M50" s="37"/>
      <c r="N50" s="37"/>
      <c r="O50" s="37"/>
      <c r="P50" s="37"/>
    </row>
    <row r="51" spans="1:16" s="38" customFormat="1" x14ac:dyDescent="0.3">
      <c r="A51" s="37" t="s">
        <v>93</v>
      </c>
      <c r="B51" s="37"/>
      <c r="C51" s="39"/>
      <c r="D51" s="39">
        <f>'Rel to Acc'!D51-'Rel to HD 0,0'!$D$68</f>
        <v>0.97240000000005011</v>
      </c>
      <c r="E51" s="39">
        <f>'Rel to Acc'!E51-80.6</f>
        <v>1.5933893641886243E-3</v>
      </c>
      <c r="F51" s="39">
        <f>'data from JD'!F51+'data from JD'!P51/1000</f>
        <v>-4.4000000000000002E-4</v>
      </c>
      <c r="G51" s="39">
        <f>'Rel to Acc'!G51-104.7</f>
        <v>1.1701085275603873E-3</v>
      </c>
      <c r="H51" s="39"/>
      <c r="I51" s="39"/>
      <c r="J51" s="40"/>
      <c r="K51" s="37"/>
      <c r="L51" s="37"/>
      <c r="M51" s="37"/>
      <c r="N51" s="37"/>
      <c r="O51" s="37"/>
      <c r="P51" s="37"/>
    </row>
    <row r="52" spans="1:16" x14ac:dyDescent="0.3">
      <c r="A52" s="15" t="s">
        <v>111</v>
      </c>
      <c r="B52" s="15"/>
      <c r="C52" s="15"/>
      <c r="D52" s="16">
        <f>'Rel to Acc'!D52-'Rel to HD 0,0'!$D$68</f>
        <v>1.8227900000000545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2.7000000005727998E-4</v>
      </c>
      <c r="O52" s="15"/>
      <c r="P52" s="15"/>
    </row>
    <row r="53" spans="1:16" x14ac:dyDescent="0.3">
      <c r="A53" s="15" t="s">
        <v>112</v>
      </c>
      <c r="B53" s="15"/>
      <c r="C53" s="15"/>
      <c r="D53" s="16">
        <f>'Rel to Acc'!D53-'Rel to HD 0,0'!$D$68</f>
        <v>2.4084900000000289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2.7000000000043656E-4</v>
      </c>
      <c r="O53" s="15"/>
      <c r="P53" s="15"/>
    </row>
    <row r="54" spans="1:16" x14ac:dyDescent="0.3">
      <c r="A54" s="15" t="s">
        <v>113</v>
      </c>
      <c r="B54" s="15"/>
      <c r="C54" s="15"/>
      <c r="D54" s="16">
        <f>'Rel to Acc'!D54-'Rel to HD 0,0'!$D$68</f>
        <v>2.9943800000000351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2.7000000005727998E-4</v>
      </c>
      <c r="O54" s="15"/>
      <c r="P54" s="15"/>
    </row>
    <row r="55" spans="1:16" x14ac:dyDescent="0.3">
      <c r="A55" s="15" t="s">
        <v>114</v>
      </c>
      <c r="B55" s="15"/>
      <c r="C55" s="15"/>
      <c r="D55" s="16">
        <f>'Rel to Acc'!D55-'Rel to HD 0,0'!$D$68</f>
        <v>3.3811300000000415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2.7000000005727998E-4</v>
      </c>
      <c r="O55" s="15"/>
      <c r="P55" s="15"/>
    </row>
    <row r="56" spans="1:16" x14ac:dyDescent="0.3">
      <c r="A56" s="15" t="s">
        <v>64</v>
      </c>
      <c r="B56" s="15" t="s">
        <v>17</v>
      </c>
      <c r="C56" s="15"/>
      <c r="D56" s="16">
        <f>'Rel to Acc'!D56-'Rel to HD 0,0'!$D$68</f>
        <v>0.92680000000001428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3">
      <c r="A57" s="15" t="s">
        <v>148</v>
      </c>
      <c r="B57" s="15"/>
      <c r="C57" s="15"/>
      <c r="D57" s="16">
        <f>'Rel to Acc'!D57-'Rel to HD 0,0'!$D$68</f>
        <v>0.17680000000001428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3">
      <c r="A58" s="15" t="s">
        <v>149</v>
      </c>
      <c r="B58" s="15"/>
      <c r="C58" s="15"/>
      <c r="D58" s="16">
        <f>'Rel to Acc'!D58-'Rel to HD 0,0'!$D$68</f>
        <v>1.6768000000000143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x14ac:dyDescent="0.3">
      <c r="A59" s="37" t="s">
        <v>65</v>
      </c>
      <c r="B59" s="37" t="s">
        <v>15</v>
      </c>
      <c r="C59" s="37"/>
      <c r="D59" s="39">
        <f>'Rel to Acc'!D59-'Rel to HD 0,0'!$D$68</f>
        <v>6.2497300000000564</v>
      </c>
      <c r="E59" s="39">
        <f>'Rel to Acc'!E59-80.6</f>
        <v>6.0100000000034015E-3</v>
      </c>
      <c r="F59" s="39">
        <f>'data from JD'!F57+'data from JD'!P57/1000</f>
        <v>0.17997900000029105</v>
      </c>
      <c r="G59" s="39">
        <f>'Rel to Acc'!G59-104.7</f>
        <v>3.0999999999892225E-4</v>
      </c>
      <c r="H59" s="39">
        <f>'data from JD'!L57+'data from JD'!R57</f>
        <v>-7.0190000000000002E-2</v>
      </c>
      <c r="I59" s="40">
        <v>4.1829999999999999E-2</v>
      </c>
      <c r="J59" s="40">
        <v>-1.49E-2</v>
      </c>
      <c r="K59" s="37"/>
      <c r="L59" s="37"/>
      <c r="M59" s="37"/>
      <c r="N59" s="37"/>
      <c r="O59" s="37"/>
      <c r="P59" s="37"/>
    </row>
    <row r="60" spans="1:16" s="38" customFormat="1" x14ac:dyDescent="0.3">
      <c r="A60" s="37" t="s">
        <v>66</v>
      </c>
      <c r="B60" s="37" t="s">
        <v>16</v>
      </c>
      <c r="C60" s="37"/>
      <c r="D60" s="39">
        <f>'Rel to Acc'!D60-'Rel to HD 0,0'!$D$68</f>
        <v>6.0586000000000695</v>
      </c>
      <c r="E60" s="39">
        <f>'Rel to Acc'!E60-80.6</f>
        <v>3.7999999999982492E-3</v>
      </c>
      <c r="F60" s="39">
        <f>'data from JD'!F58+'data from JD'!P58/1000</f>
        <v>0.18225100000029104</v>
      </c>
      <c r="G60" s="39">
        <f>'Rel to Acc'!G60-104.7</f>
        <v>2.582000000003859E-3</v>
      </c>
      <c r="H60" s="39">
        <f>'Rel to Acc'!H60</f>
        <v>6.7909999999999998E-2</v>
      </c>
      <c r="I60" s="39">
        <f>'Rel to Acc'!I60</f>
        <v>2.726E-2</v>
      </c>
      <c r="J60" s="39">
        <f>'Rel to Acc'!J60</f>
        <v>-0.185</v>
      </c>
      <c r="K60" s="37"/>
      <c r="L60" s="37"/>
      <c r="M60" s="37"/>
      <c r="N60" s="37"/>
      <c r="O60" s="37"/>
      <c r="P60" s="37"/>
    </row>
    <row r="61" spans="1:16" x14ac:dyDescent="0.3">
      <c r="A61" s="25" t="s">
        <v>253</v>
      </c>
      <c r="B61" s="15"/>
      <c r="C61" s="15"/>
      <c r="D61" s="16">
        <v>0</v>
      </c>
      <c r="E61" s="16">
        <v>0</v>
      </c>
      <c r="F61" s="16">
        <f>'data from JD'!F59+'data from JD'!P59/1000</f>
        <v>0</v>
      </c>
      <c r="G61" s="16">
        <v>0</v>
      </c>
      <c r="H61" s="15">
        <f>'Rel to Acc'!H61</f>
        <v>0</v>
      </c>
      <c r="I61" s="15">
        <f>'Rel to Acc'!I61</f>
        <v>0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2" spans="1:16" x14ac:dyDescent="0.3">
      <c r="A62" s="15" t="s">
        <v>259</v>
      </c>
      <c r="B62" s="15"/>
      <c r="D62" s="16">
        <f>'Rel to Acc'!D62-'Rel to HD 0,0'!$D$68</f>
        <v>-398.13779999999997</v>
      </c>
      <c r="E62" s="16">
        <f>'Rel to Acc'!E62-80.6</f>
        <v>-80.599999999999994</v>
      </c>
      <c r="G62" s="16">
        <f>'Rel to Acc'!G62-104.7</f>
        <v>-104.7</v>
      </c>
    </row>
    <row r="63" spans="1:16" s="38" customFormat="1" x14ac:dyDescent="0.3">
      <c r="A63" s="37" t="s">
        <v>262</v>
      </c>
      <c r="B63" s="39" t="s">
        <v>263</v>
      </c>
      <c r="D63" s="39">
        <f>'Rel to Acc'!D63-'Rel to HD 0,0'!$D$68</f>
        <v>16.269000000000005</v>
      </c>
      <c r="E63" s="39">
        <f>'Rel to Acc'!E63-80.6</f>
        <v>-1.8999999998925432E-4</v>
      </c>
      <c r="G63" s="39">
        <f>'Rel to Acc'!G63-104.7</f>
        <v>3.2999999999105967E-4</v>
      </c>
      <c r="H63" s="37">
        <f>'Rel to Acc'!H63</f>
        <v>0.1168</v>
      </c>
      <c r="I63" s="37">
        <f>'Rel to Acc'!I63</f>
        <v>0.1065</v>
      </c>
      <c r="J63" s="37" t="str">
        <f>'Rel to Acc'!J63</f>
        <v xml:space="preserve"> </v>
      </c>
    </row>
    <row r="64" spans="1:16" s="33" customFormat="1" x14ac:dyDescent="0.3">
      <c r="A64" s="47" t="s">
        <v>268</v>
      </c>
      <c r="B64" s="48" t="s">
        <v>270</v>
      </c>
      <c r="D64" s="24"/>
      <c r="E64" s="24"/>
      <c r="G64" s="24"/>
      <c r="H64" s="52"/>
      <c r="I64" s="52"/>
      <c r="J64" s="52"/>
    </row>
    <row r="65" spans="1:10" s="33" customFormat="1" x14ac:dyDescent="0.3">
      <c r="A65" s="47" t="s">
        <v>269</v>
      </c>
      <c r="B65" s="48" t="s">
        <v>271</v>
      </c>
      <c r="D65" s="24"/>
      <c r="E65" s="24"/>
      <c r="G65" s="24"/>
      <c r="H65" s="52"/>
      <c r="I65" s="52"/>
      <c r="J65" s="52"/>
    </row>
    <row r="66" spans="1:10" s="33" customFormat="1" x14ac:dyDescent="0.3">
      <c r="A66" s="52"/>
      <c r="B66" s="24"/>
      <c r="D66" s="24"/>
      <c r="E66" s="24"/>
      <c r="G66" s="24"/>
      <c r="H66" s="52"/>
      <c r="I66" s="52"/>
      <c r="J66" s="52"/>
    </row>
    <row r="67" spans="1:10" s="33" customFormat="1" x14ac:dyDescent="0.3">
      <c r="A67" s="52"/>
      <c r="B67" s="24"/>
      <c r="D67" s="24"/>
      <c r="E67" s="24"/>
      <c r="G67" s="24"/>
      <c r="H67" s="52"/>
      <c r="I67" s="52"/>
      <c r="J67" s="52"/>
    </row>
    <row r="68" spans="1:10" ht="15.6" x14ac:dyDescent="0.3">
      <c r="A68" s="10" t="s">
        <v>177</v>
      </c>
      <c r="D68" s="4">
        <f>'Rel to Acc'!D68</f>
        <v>398.13779999999997</v>
      </c>
      <c r="E68" s="4">
        <v>80.599999999999994</v>
      </c>
      <c r="G68" s="4">
        <v>104.7</v>
      </c>
    </row>
    <row r="69" spans="1:10" s="33" customFormat="1" ht="15.6" x14ac:dyDescent="0.3">
      <c r="A69" s="10"/>
    </row>
    <row r="70" spans="1:10" s="38" customFormat="1" x14ac:dyDescent="0.3">
      <c r="A70" s="37" t="s">
        <v>265</v>
      </c>
    </row>
    <row r="71" spans="1:10" x14ac:dyDescent="0.3">
      <c r="A71" s="35" t="s">
        <v>261</v>
      </c>
    </row>
    <row r="72" spans="1:10" x14ac:dyDescent="0.3">
      <c r="A72" s="36" t="s">
        <v>266</v>
      </c>
    </row>
    <row r="73" spans="1:10" x14ac:dyDescent="0.3">
      <c r="A73" s="36" t="s">
        <v>276</v>
      </c>
    </row>
    <row r="74" spans="1:10" x14ac:dyDescent="0.3">
      <c r="A74" s="36" t="s">
        <v>267</v>
      </c>
    </row>
    <row r="75" spans="1:10" x14ac:dyDescent="0.3">
      <c r="A75" s="36" t="s">
        <v>272</v>
      </c>
    </row>
    <row r="76" spans="1:10" x14ac:dyDescent="0.3">
      <c r="A76" s="36" t="s">
        <v>273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workbookViewId="0">
      <selection activeCell="D59" sqref="D59"/>
    </sheetView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customHeight="1" x14ac:dyDescent="0.3">
      <c r="A1" s="33" t="s">
        <v>260</v>
      </c>
    </row>
    <row r="2" spans="1:16" x14ac:dyDescent="0.3">
      <c r="A2" s="43" t="s">
        <v>67</v>
      </c>
      <c r="B2" s="43"/>
      <c r="C2" s="43"/>
      <c r="D2" s="43"/>
    </row>
    <row r="3" spans="1:16" x14ac:dyDescent="0.3">
      <c r="A3" s="43"/>
      <c r="B3" s="43"/>
      <c r="C3" s="43"/>
      <c r="D3" s="43"/>
    </row>
    <row r="4" spans="1:16" x14ac:dyDescent="0.3">
      <c r="A4" s="43"/>
      <c r="B4" s="43"/>
      <c r="C4" s="43"/>
      <c r="D4" s="43"/>
    </row>
    <row r="5" spans="1:16" x14ac:dyDescent="0.3">
      <c r="A5" s="44"/>
      <c r="B5" s="44"/>
      <c r="C5" s="44"/>
      <c r="D5" s="44"/>
    </row>
    <row r="10" spans="1:16" ht="15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45" t="s">
        <v>48</v>
      </c>
      <c r="M10" s="45"/>
      <c r="N10" s="45"/>
      <c r="O10" s="45"/>
      <c r="P10" s="45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Acc'!D12-$D$69</f>
        <v>-116.51376000000005</v>
      </c>
      <c r="E12" s="16">
        <f>'Rel to Acc'!E12-E$69</f>
        <v>2.0999999999560259E-4</v>
      </c>
      <c r="F12" s="16">
        <f>'data from JD'!F12+'data from JD'!P12/1000</f>
        <v>1.84E-4</v>
      </c>
      <c r="G12" s="16">
        <f>'Rel to Acc'!G12-G$69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Acc'!D13-$D$69</f>
        <v>-102.20875999999998</v>
      </c>
      <c r="E13" s="16">
        <f>'Rel to Acc'!E13-E$69</f>
        <v>3.2000000000209639E-4</v>
      </c>
      <c r="F13" s="16">
        <f>'data from JD'!F13+'data from JD'!P13/1000</f>
        <v>-8.9999999999999985E-6</v>
      </c>
      <c r="G13" s="16">
        <f>'Rel to Acc'!G13-G$69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Acc'!D14-$D$69</f>
        <v>-100.94155000000001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Acc'!D15-$D$69</f>
        <v>-100.91665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Acc'!D16-$D$69</f>
        <v>-100.31367</v>
      </c>
      <c r="E16" s="16">
        <f>'Rel to Acc'!E16-E$69</f>
        <v>5.6000000000722139E-4</v>
      </c>
      <c r="F16" s="16">
        <f>'data from JD'!F16+'data from JD'!P16/1000</f>
        <v>6.3399519999660399</v>
      </c>
      <c r="G16" s="16">
        <f>'Rel to Acc'!G16-G$69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Acc'!D17-$D$69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Acc'!D18-$D$69</f>
        <v>-94.63942000000003</v>
      </c>
      <c r="E18" s="16">
        <f>'Rel to Acc'!E18-E$69</f>
        <v>-0.2973700000000008</v>
      </c>
      <c r="F18" s="16">
        <f>'data from JD'!F18+'data from JD'!P18/1000</f>
        <v>-0.57007399998197383</v>
      </c>
      <c r="G18" s="16">
        <f>'Rel to Acc'!G18-G$69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Acc'!D19-$D$69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Acc'!D20-$D$69</f>
        <v>-96.928319999999985</v>
      </c>
      <c r="E20" s="16">
        <f>'Rel to Acc'!E20-E$69</f>
        <v>-0.88175999999999988</v>
      </c>
      <c r="F20" s="16">
        <f>'data from JD'!F20+'data from JD'!P20/1000</f>
        <v>-2.7500000000000002E-4</v>
      </c>
      <c r="G20" s="16">
        <f>'Rel to Acc'!G20-G$69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Acc'!D21-$D$69</f>
        <v>-95.639070000000004</v>
      </c>
      <c r="E21" s="16">
        <f>'Rel to Acc'!E21-E$69</f>
        <v>-1.062979999999996</v>
      </c>
      <c r="F21" s="16">
        <f>'data from JD'!F21+'data from JD'!P21/1000</f>
        <v>-1.75E-4</v>
      </c>
      <c r="G21" s="16">
        <f>'Rel to Acc'!G21-G$69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Acc'!D22-$D$69</f>
        <v>-94.358009079999988</v>
      </c>
      <c r="E22" s="16">
        <f>'Rel to Acc'!E22-E$69</f>
        <v>-1.2455421899999948</v>
      </c>
      <c r="F22" s="16">
        <f>'data from JD'!F22+'data from JD'!P22/1000</f>
        <v>0</v>
      </c>
      <c r="G22" s="16">
        <f>'Rel to Acc'!G22-G$69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Acc'!D23-$D$69</f>
        <v>-93.368551870000033</v>
      </c>
      <c r="E23" s="16">
        <f>'Rel to Acc'!E23-E$69</f>
        <v>-1.3849442599999975</v>
      </c>
      <c r="F23" s="16">
        <f>'data from JD'!F23+'data from JD'!P23/1000</f>
        <v>7.4999999999999993E-5</v>
      </c>
      <c r="G23" s="16">
        <f>'Rel to Acc'!G23-G$69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Acc'!D24-$D$69</f>
        <v>-92.323516190000021</v>
      </c>
      <c r="E24" s="16">
        <f>'Rel to Acc'!E24-E$69</f>
        <v>-1.5318682199999927</v>
      </c>
      <c r="F24" s="16">
        <f>'data from JD'!F24+'data from JD'!P24/1000</f>
        <v>-2.2499999999999999E-4</v>
      </c>
      <c r="G24" s="16">
        <f>'Rel to Acc'!G24-G$69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Acc'!D25-$D$69</f>
        <v>-91.127859999999998</v>
      </c>
      <c r="E25" s="16">
        <f>'Rel to Acc'!E25-E$69</f>
        <v>-1.7004100000000051</v>
      </c>
      <c r="F25" s="16">
        <f>'data from JD'!F25+'data from JD'!P25/1000</f>
        <v>-5.0000000000000001E-4</v>
      </c>
      <c r="G25" s="16">
        <f>'Rel to Acc'!G25-G$69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Acc'!D26-$D$69</f>
        <v>-89.88479000000001</v>
      </c>
      <c r="E26" s="16">
        <f>'Rel to Acc'!E26-E$69</f>
        <v>-1.877679999999998</v>
      </c>
      <c r="F26" s="16">
        <f>'data from JD'!F26+'data from JD'!P26/1000</f>
        <v>4.4999999999999999E-4</v>
      </c>
      <c r="G26" s="16">
        <f>'Rel to Acc'!G26-G$69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Acc'!D27-$D$69</f>
        <v>-88.463279999999997</v>
      </c>
      <c r="E27" s="16">
        <f>'Rel to Acc'!E27-E$69</f>
        <v>-2.0737799999999993</v>
      </c>
      <c r="F27" s="16">
        <f>'data from JD'!F27+'data from JD'!P27/1000</f>
        <v>1.25E-4</v>
      </c>
      <c r="G27" s="16">
        <f>'Rel to Acc'!G27-G$69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Acc'!D28-$D$69</f>
        <v>-93.504040000000032</v>
      </c>
      <c r="E28" s="16">
        <f>'Rel to Acc'!E28-E$69</f>
        <v>-1.1663599999999974</v>
      </c>
      <c r="F28" s="16">
        <f>'data from JD'!F28+'data from JD'!P28/1000</f>
        <v>-0.91003700003305099</v>
      </c>
      <c r="G28" s="16">
        <f>'Rel to Acc'!G28-G$69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Acc'!D29-$D$69</f>
        <v>-25.757800000000032</v>
      </c>
      <c r="E29" s="16">
        <f>'Rel to Acc'!E29-E$69</f>
        <v>1.0149999999953252E-3</v>
      </c>
      <c r="F29" s="16">
        <f>'data from JD'!F29+'data from JD'!P29/1000</f>
        <v>4.7599999999999997E-4</v>
      </c>
      <c r="G29" s="16">
        <f>'Rel to Acc'!G29-G$69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Acc'!D30-$D$69</f>
        <v>-25.542320000000018</v>
      </c>
      <c r="E30" s="16">
        <f>'Rel to Acc'!E30-E$69</f>
        <v>2.5000000000829914E-4</v>
      </c>
      <c r="F30" s="16">
        <f>'data from JD'!F30+'data from JD'!P30/1000</f>
        <v>-0.89004400002670281</v>
      </c>
      <c r="G30" s="16">
        <f>'Rel to Acc'!G30-G$69</f>
        <v>1.9999999992137418E-5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Acc'!D31-$D$69</f>
        <v>-19.655219999999986</v>
      </c>
      <c r="E31" s="16">
        <f>'Rel to Acc'!E31-E$69</f>
        <v>6.6999999999950433E-4</v>
      </c>
      <c r="F31" s="16">
        <f>'data from JD'!F31+'data from JD'!P31/1000</f>
        <v>-0.88995200002670272</v>
      </c>
      <c r="G31" s="16">
        <f>'Rel to Acc'!G31-G$69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3">
      <c r="A32" s="15" t="s">
        <v>54</v>
      </c>
      <c r="B32" s="15" t="s">
        <v>27</v>
      </c>
      <c r="C32" s="15"/>
      <c r="D32" s="16">
        <f>'Rel to Acc'!D32-$D$69</f>
        <v>-23.243920000000003</v>
      </c>
      <c r="E32" s="16">
        <f>'Rel to Acc'!E32-E$69</f>
        <v>6.5000000000736691E-4</v>
      </c>
      <c r="F32" s="16">
        <f>'data from JD'!F32+'data from JD'!P32/1000</f>
        <v>-8.9999999999999985E-6</v>
      </c>
      <c r="G32" s="16">
        <f>'Rel to Acc'!G32-G$69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3">
      <c r="A33" s="15" t="s">
        <v>55</v>
      </c>
      <c r="B33" s="15" t="s">
        <v>28</v>
      </c>
      <c r="C33" s="15"/>
      <c r="D33" s="16">
        <f>'Rel to Acc'!D33-$D$69</f>
        <v>-18.888463999999999</v>
      </c>
      <c r="E33" s="16">
        <f>'Rel to Acc'!E33-E$69</f>
        <v>3.0999999999892225E-4</v>
      </c>
      <c r="F33" s="16">
        <f>'data from JD'!F33+'data from JD'!P33/1000</f>
        <v>3.1999999999999999E-5</v>
      </c>
      <c r="G33" s="16">
        <f>'Rel to Acc'!G33-G$69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3">
      <c r="A34" s="15" t="s">
        <v>162</v>
      </c>
      <c r="B34" s="15"/>
      <c r="C34" s="15"/>
      <c r="D34" s="16">
        <f>'Rel to Acc'!D34-$D$69</f>
        <v>-16.965250000000026</v>
      </c>
      <c r="E34" s="16">
        <f>'Rel to Acc'!E34-E$69</f>
        <v>3.0999999999892225E-4</v>
      </c>
      <c r="F34" s="16">
        <f>'data from JD'!F35+'data from JD'!P35/1000</f>
        <v>-0.12002400003808963</v>
      </c>
      <c r="G34" s="16">
        <f>'Rel to Acc'!G34-G$69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3">
      <c r="A35" s="15" t="s">
        <v>56</v>
      </c>
      <c r="B35" s="15" t="s">
        <v>22</v>
      </c>
      <c r="C35" s="15"/>
      <c r="D35" s="16">
        <f>'Rel to Acc'!D35-$D$69</f>
        <v>-14.797070000000019</v>
      </c>
      <c r="E35" s="16">
        <f>'Rel to Acc'!E35-E$69</f>
        <v>3.399999999942338E-4</v>
      </c>
      <c r="F35" s="16">
        <f>'data from JD'!F36+'data from JD'!P36/1000</f>
        <v>0.17991300000029103</v>
      </c>
      <c r="G35" s="16">
        <f>'Rel to Acc'!G35-G$69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38" customFormat="1" x14ac:dyDescent="0.3">
      <c r="A36" s="37" t="s">
        <v>57</v>
      </c>
      <c r="B36" s="37" t="s">
        <v>21</v>
      </c>
      <c r="C36" s="37"/>
      <c r="D36" s="39">
        <f>'Rel to Acc'!D36-$D$69</f>
        <v>-13.260469999999998</v>
      </c>
      <c r="E36" s="39">
        <f>'Rel to Acc'!E36-E$69</f>
        <v>2.0000000000663931E-4</v>
      </c>
      <c r="F36" s="39">
        <f>'data from JD'!F37+'data from JD'!P37/1000</f>
        <v>0.18153199999524153</v>
      </c>
      <c r="G36" s="39">
        <f>'Rel to Acc'!G36-G$69</f>
        <v>-4.3999999999755346E-4</v>
      </c>
      <c r="H36" s="39">
        <f>'data from JD'!L36+'data from JD'!R36</f>
        <v>-1.15E-3</v>
      </c>
      <c r="I36" s="40">
        <v>8.5900000000000004E-3</v>
      </c>
      <c r="J36" s="40">
        <v>5.6999999999999998E-4</v>
      </c>
      <c r="K36" s="37"/>
      <c r="L36" s="37"/>
      <c r="M36" s="37"/>
      <c r="N36" s="37"/>
      <c r="O36" s="37"/>
      <c r="P36" s="37"/>
    </row>
    <row r="37" spans="1:16" s="38" customFormat="1" x14ac:dyDescent="0.3">
      <c r="A37" s="37" t="s">
        <v>58</v>
      </c>
      <c r="B37" s="37" t="s">
        <v>19</v>
      </c>
      <c r="C37" s="37"/>
      <c r="D37" s="39">
        <f>'Rel to Acc'!D37-$D$69</f>
        <v>-10.333050000000014</v>
      </c>
      <c r="E37" s="39">
        <f>'Rel to Acc'!E37-E$69</f>
        <v>-0.23828999999999212</v>
      </c>
      <c r="F37" s="39">
        <f>'data from JD'!F38+'data from JD'!P38/1000</f>
        <v>0.18081299999524153</v>
      </c>
      <c r="G37" s="39">
        <f>'Rel to Acc'!G37-G$69</f>
        <v>1.0000000003174137E-5</v>
      </c>
      <c r="H37" s="39">
        <f>'data from JD'!L37+'data from JD'!R37</f>
        <v>-4.6595800000000001</v>
      </c>
      <c r="I37" s="40">
        <v>8.0500000000000002E-2</v>
      </c>
      <c r="J37" s="40">
        <v>-0.15642</v>
      </c>
      <c r="K37" s="37"/>
      <c r="L37" s="37"/>
      <c r="M37" s="37"/>
      <c r="N37" s="37"/>
      <c r="O37" s="37"/>
      <c r="P37" s="37"/>
    </row>
    <row r="38" spans="1:16" s="38" customFormat="1" x14ac:dyDescent="0.3">
      <c r="A38" s="37" t="s">
        <v>59</v>
      </c>
      <c r="B38" s="37" t="s">
        <v>20</v>
      </c>
      <c r="C38" s="37"/>
      <c r="D38" s="39">
        <f>'Rel to Acc'!D38-$D$69</f>
        <v>-10.333590000000015</v>
      </c>
      <c r="E38" s="39">
        <f>'Rel to Acc'!E38-E$69</f>
        <v>0.23882000000000403</v>
      </c>
      <c r="F38" s="39">
        <f>'data from JD'!F39+'data from JD'!P39/1000</f>
        <v>0.18167999999524154</v>
      </c>
      <c r="G38" s="39">
        <f>'Rel to Acc'!G38-G$69</f>
        <v>-2.0000000006348273E-5</v>
      </c>
      <c r="H38" s="39">
        <f>'data from JD'!L38+'data from JD'!R38</f>
        <v>4.5707700000000004</v>
      </c>
      <c r="I38" s="40">
        <v>-0.13464999999999999</v>
      </c>
      <c r="J38" s="40">
        <v>3.0939999999999999E-2</v>
      </c>
      <c r="K38" s="37"/>
      <c r="L38" s="37"/>
      <c r="M38" s="37"/>
      <c r="N38" s="37"/>
      <c r="O38" s="37"/>
      <c r="P38" s="37"/>
    </row>
    <row r="39" spans="1:16" s="38" customFormat="1" x14ac:dyDescent="0.3">
      <c r="A39" s="37" t="s">
        <v>60</v>
      </c>
      <c r="B39" s="39" t="s">
        <v>86</v>
      </c>
      <c r="C39" s="37"/>
      <c r="D39" s="39">
        <f>'Rel to Acc'!D39-$D$69</f>
        <v>-9.8443000000000325</v>
      </c>
      <c r="E39" s="39">
        <f>'Rel to Acc'!E39-E$69</f>
        <v>-0.27452999999999861</v>
      </c>
      <c r="F39" s="39">
        <f>'data from JD'!F40+'data from JD'!P40/1000</f>
        <v>0.18207999999524152</v>
      </c>
      <c r="G39" s="39">
        <f>'Rel to Acc'!G39-G$69</f>
        <v>2.6699999999948432E-3</v>
      </c>
      <c r="H39" s="39">
        <f>'Rel to Acc'!H39</f>
        <v>-4.6928999999999998</v>
      </c>
      <c r="I39" s="40"/>
      <c r="J39" s="40"/>
      <c r="K39" s="37"/>
      <c r="L39" s="37"/>
      <c r="M39" s="37"/>
      <c r="N39" s="37"/>
      <c r="O39" s="37"/>
      <c r="P39" s="37"/>
    </row>
    <row r="40" spans="1:16" s="38" customFormat="1" x14ac:dyDescent="0.3">
      <c r="A40" s="37" t="s">
        <v>61</v>
      </c>
      <c r="B40" s="39" t="s">
        <v>85</v>
      </c>
      <c r="C40" s="37"/>
      <c r="D40" s="39">
        <f>'Rel to Acc'!D40-$D$69</f>
        <v>-9.8443100000000072</v>
      </c>
      <c r="E40" s="39">
        <f>'Rel to Acc'!E40-E$69</f>
        <v>0.27539000000000158</v>
      </c>
      <c r="F40" s="39">
        <f>'data from JD'!F41+'data from JD'!P41/1000</f>
        <v>6.0598799999340072</v>
      </c>
      <c r="G40" s="39">
        <f>'Rel to Acc'!G40-G$69</f>
        <v>8.6999999999193278E-4</v>
      </c>
      <c r="H40" s="39">
        <f>'Rel to Acc'!H40</f>
        <v>4.7812999999999999</v>
      </c>
      <c r="I40" s="40"/>
      <c r="J40" s="40"/>
      <c r="K40" s="37"/>
      <c r="L40" s="37"/>
      <c r="M40" s="37"/>
      <c r="N40" s="37"/>
      <c r="O40" s="37"/>
      <c r="P40" s="37"/>
    </row>
    <row r="41" spans="1:16" x14ac:dyDescent="0.3">
      <c r="A41" s="15" t="s">
        <v>62</v>
      </c>
      <c r="B41" s="15" t="s">
        <v>23</v>
      </c>
      <c r="C41" s="15"/>
      <c r="D41" s="16">
        <f>'Rel to Acc'!D41-$D$69</f>
        <v>0</v>
      </c>
      <c r="E41" s="16">
        <f>'Rel to Acc'!E41-E$69</f>
        <v>0</v>
      </c>
      <c r="F41" s="16">
        <f>'data from JD'!F42+'data from JD'!P42/1000</f>
        <v>6.1090199999782993</v>
      </c>
      <c r="G41" s="16">
        <f>'Rel to Acc'!G41-G$69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3">
      <c r="A42" s="15" t="s">
        <v>141</v>
      </c>
      <c r="B42" s="15"/>
      <c r="C42" s="15"/>
      <c r="D42" s="16">
        <f>'Rel to Acc'!D42-$D$69</f>
        <v>-2.3980000000000246</v>
      </c>
      <c r="E42" s="16">
        <f>'Rel to Acc'!E42-E$69</f>
        <v>-1.0797755096376704E-3</v>
      </c>
      <c r="F42" s="16">
        <f>'data from JD'!F45+'data from JD'!P45/1000</f>
        <v>0.17992000000029104</v>
      </c>
      <c r="G42" s="16">
        <f>'Rel to Acc'!G42-G$69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3">
      <c r="A43" s="15" t="s">
        <v>142</v>
      </c>
      <c r="B43" s="15"/>
      <c r="C43" s="15"/>
      <c r="D43" s="16">
        <f>'Rel to Acc'!D43-$D$69</f>
        <v>2.3979999999999677</v>
      </c>
      <c r="E43" s="16">
        <f>'Rel to Acc'!E43-E$69</f>
        <v>1.0797755096376704E-3</v>
      </c>
      <c r="F43" s="16">
        <f>'data from JD'!F48+'data from JD'!P48/1000</f>
        <v>0</v>
      </c>
      <c r="G43" s="16">
        <f>'Rel to Acc'!G43-G$69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3">
      <c r="A44" s="15" t="s">
        <v>63</v>
      </c>
      <c r="B44" s="15" t="s">
        <v>45</v>
      </c>
      <c r="C44" s="15"/>
      <c r="D44" s="16">
        <f>'Rel to Acc'!D44-$D$69</f>
        <v>0.22870000000000346</v>
      </c>
      <c r="E44" s="16">
        <f>'Rel to Acc'!E44-E$69</f>
        <v>1.3299999999958345E-3</v>
      </c>
      <c r="F44" s="16">
        <f>'data from JD'!F49+'data from JD'!P49/1000</f>
        <v>1.23E-3</v>
      </c>
      <c r="G44" s="16">
        <f>'Rel to Acc'!G44-G$69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8" customFormat="1" x14ac:dyDescent="0.3">
      <c r="A45" s="37" t="s">
        <v>196</v>
      </c>
      <c r="B45" s="37"/>
      <c r="C45" s="37"/>
      <c r="D45" s="39">
        <f>'Rel to Acc'!D45-$D$69</f>
        <v>-1.3854599999999664</v>
      </c>
      <c r="E45" s="39">
        <f>'Rel to Acc'!E45-E$69</f>
        <v>2.5891146097478668E-4</v>
      </c>
      <c r="F45" s="39">
        <f>'data from JD'!F50+'data from JD'!P50/1000</f>
        <v>1.23E-3</v>
      </c>
      <c r="G45" s="39">
        <f>'Rel to Acc'!G45-G$69</f>
        <v>-3.4842540003410249E-5</v>
      </c>
      <c r="H45" s="39"/>
      <c r="I45" s="40"/>
      <c r="J45" s="40"/>
      <c r="K45" s="37"/>
      <c r="L45" s="37"/>
      <c r="M45" s="37"/>
      <c r="N45" s="37"/>
      <c r="O45" s="37"/>
      <c r="P45" s="37"/>
    </row>
    <row r="46" spans="1:16" s="38" customFormat="1" x14ac:dyDescent="0.3">
      <c r="A46" s="37" t="s">
        <v>195</v>
      </c>
      <c r="B46" s="37" t="s">
        <v>151</v>
      </c>
      <c r="C46" s="37"/>
      <c r="D46" s="39">
        <f>'Rel to Acc'!D46-$D$69</f>
        <v>-1.2377099999999928</v>
      </c>
      <c r="E46" s="39">
        <f>'Rel to Acc'!E46-E$69</f>
        <v>2.7000000000043656E-4</v>
      </c>
      <c r="F46" s="39">
        <f>'data from JD'!F50+'data from JD'!P50/1000</f>
        <v>1.23E-3</v>
      </c>
      <c r="G46" s="39">
        <f>'Rel to Acc'!G46-G$69</f>
        <v>-3.9999999998485691E-5</v>
      </c>
      <c r="H46" s="39"/>
      <c r="I46" s="40"/>
      <c r="J46" s="40" t="s">
        <v>46</v>
      </c>
      <c r="K46" s="37"/>
      <c r="L46" s="37"/>
      <c r="M46" s="37"/>
      <c r="N46" s="37"/>
      <c r="O46" s="37"/>
      <c r="P46" s="37"/>
    </row>
    <row r="47" spans="1:16" s="38" customFormat="1" x14ac:dyDescent="0.3">
      <c r="A47" s="37" t="s">
        <v>197</v>
      </c>
      <c r="B47" s="37"/>
      <c r="C47" s="37"/>
      <c r="D47" s="39">
        <f>'Rel to Acc'!D47-$D$69</f>
        <v>-1.0899600000000191</v>
      </c>
      <c r="E47" s="39">
        <f>'Rel to Acc'!E47-E$69</f>
        <v>2.8108853902608644E-4</v>
      </c>
      <c r="F47" s="39">
        <f>'data from JD'!F52+'data from JD'!P52/1000</f>
        <v>9.3203290000024381</v>
      </c>
      <c r="G47" s="39">
        <f>'Rel to Acc'!G47-G$69</f>
        <v>-4.5157459993561133E-5</v>
      </c>
      <c r="H47" s="39"/>
      <c r="I47" s="40"/>
      <c r="J47" s="40"/>
      <c r="K47" s="37"/>
      <c r="L47" s="37"/>
      <c r="M47" s="37"/>
      <c r="N47" s="37"/>
      <c r="O47" s="37"/>
      <c r="P47" s="37"/>
    </row>
    <row r="48" spans="1:16" s="38" customFormat="1" x14ac:dyDescent="0.3">
      <c r="A48" s="37" t="s">
        <v>152</v>
      </c>
      <c r="B48" s="37"/>
      <c r="C48" s="37"/>
      <c r="D48" s="39">
        <f>'Rel to Acc'!D48-$D$69</f>
        <v>-1.0435299999999756</v>
      </c>
      <c r="E48" s="39">
        <f>'Rel to Acc'!E48-E$69</f>
        <v>1.5822883416802824E-3</v>
      </c>
      <c r="F48" s="39">
        <f>'data from JD'!F51+'data from JD'!P51/1000</f>
        <v>-4.4000000000000002E-4</v>
      </c>
      <c r="G48" s="39">
        <f>'Rel to Acc'!G48-G$69</f>
        <v>1.9994390951154628E-3</v>
      </c>
      <c r="H48" s="39"/>
      <c r="I48" s="40"/>
      <c r="J48" s="40"/>
      <c r="K48" s="37"/>
      <c r="L48" s="37"/>
      <c r="M48" s="37"/>
      <c r="N48" s="37"/>
      <c r="O48" s="37"/>
      <c r="P48" s="37"/>
    </row>
    <row r="49" spans="1:16" s="38" customFormat="1" x14ac:dyDescent="0.3">
      <c r="A49" s="37" t="s">
        <v>80</v>
      </c>
      <c r="B49" s="37" t="s">
        <v>18</v>
      </c>
      <c r="C49" s="39" t="s">
        <v>46</v>
      </c>
      <c r="D49" s="39">
        <f>'Rel to Acc'!D49-$D$69</f>
        <v>-1.589999999999975</v>
      </c>
      <c r="E49" s="39"/>
      <c r="F49" s="39">
        <f>'data from JD'!F52+'data from JD'!P52/1000</f>
        <v>9.3203290000024381</v>
      </c>
      <c r="G49" s="39"/>
      <c r="H49" s="39"/>
      <c r="I49" s="39"/>
      <c r="J49" s="40"/>
      <c r="K49" s="37"/>
      <c r="L49" s="37"/>
      <c r="M49" s="37"/>
      <c r="N49" s="37"/>
      <c r="O49" s="37"/>
      <c r="P49" s="37"/>
    </row>
    <row r="50" spans="1:16" s="38" customFormat="1" x14ac:dyDescent="0.3">
      <c r="A50" s="37" t="s">
        <v>92</v>
      </c>
      <c r="B50" s="37"/>
      <c r="C50" s="39"/>
      <c r="D50" s="39">
        <f>'Rel to Acc'!D50-$D$69</f>
        <v>-1.5026999999999475</v>
      </c>
      <c r="E50" s="39">
        <f>'Rel to Acc'!E50-E$69</f>
        <v>2.4216598164628067E-4</v>
      </c>
      <c r="F50" s="39">
        <f>'data from JD'!F53+'data from JD'!P53/1000</f>
        <v>-5.8E-5</v>
      </c>
      <c r="G50" s="39">
        <f>'Rel to Acc'!G50-G$69</f>
        <v>-1.0417389607226824E-3</v>
      </c>
      <c r="H50" s="39"/>
      <c r="I50" s="40"/>
      <c r="J50" s="40"/>
      <c r="K50" s="37"/>
      <c r="L50" s="37"/>
      <c r="M50" s="37"/>
      <c r="N50" s="37"/>
      <c r="O50" s="37"/>
      <c r="P50" s="37"/>
    </row>
    <row r="51" spans="1:16" s="38" customFormat="1" x14ac:dyDescent="0.3">
      <c r="A51" s="37" t="s">
        <v>93</v>
      </c>
      <c r="B51" s="37"/>
      <c r="C51" s="39"/>
      <c r="D51" s="39">
        <f>'Rel to Acc'!D51-$D$69</f>
        <v>-0.91759999999999309</v>
      </c>
      <c r="E51" s="39">
        <f>'Rel to Acc'!E51-E$69</f>
        <v>1.8933893641843724E-3</v>
      </c>
      <c r="F51" s="39">
        <f>'data from JD'!F54+'data from JD'!P54/1000</f>
        <v>-3.2499999999999999E-4</v>
      </c>
      <c r="G51" s="39">
        <f>'Rel to Acc'!G51-G$69</f>
        <v>1.1701085275603873E-3</v>
      </c>
      <c r="H51" s="39"/>
      <c r="I51" s="40"/>
      <c r="J51" s="40"/>
      <c r="K51" s="37"/>
      <c r="L51" s="37"/>
      <c r="M51" s="37"/>
      <c r="N51" s="37"/>
      <c r="O51" s="37"/>
      <c r="P51" s="37"/>
    </row>
    <row r="52" spans="1:16" x14ac:dyDescent="0.3">
      <c r="A52" s="15" t="s">
        <v>111</v>
      </c>
      <c r="B52" s="15"/>
      <c r="C52" s="15"/>
      <c r="D52" s="16">
        <f>'Rel to Acc'!D52-$D$69</f>
        <v>-6.7209999999988668E-2</v>
      </c>
      <c r="E52" s="16">
        <f>'Rel to Acc'!E52-E$69</f>
        <v>-6.0000000000570708E-4</v>
      </c>
      <c r="F52" s="16">
        <f>'data from JD'!F55+'data from JD'!P55/1000</f>
        <v>8.450230999925239</v>
      </c>
      <c r="G52" s="16">
        <f>'Rel to Acc'!G52-G$69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3">
      <c r="A53" s="15" t="s">
        <v>112</v>
      </c>
      <c r="B53" s="15"/>
      <c r="C53" s="15"/>
      <c r="D53" s="16">
        <f>'Rel to Acc'!D53-$D$69</f>
        <v>0.51848999999998568</v>
      </c>
      <c r="E53" s="16">
        <f>'Rel to Acc'!E53-E$69</f>
        <v>-3.9000000001010449E-4</v>
      </c>
      <c r="F53" s="16">
        <f>'data from JD'!F56+'data from JD'!P56/1000</f>
        <v>6.4096799999598364</v>
      </c>
      <c r="G53" s="16">
        <f>'Rel to Acc'!G53-G$69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3">
      <c r="A54" s="15" t="s">
        <v>113</v>
      </c>
      <c r="B54" s="15"/>
      <c r="C54" s="15"/>
      <c r="D54" s="16">
        <f>'Rel to Acc'!D54-$D$69</f>
        <v>1.1043799999999919</v>
      </c>
      <c r="E54" s="16">
        <f>'Rel to Acc'!E54-E$69</f>
        <v>3.0999999999892225E-4</v>
      </c>
      <c r="F54" s="16">
        <f>'data from JD'!F57+'data from JD'!P57/1000</f>
        <v>0.17997900000029105</v>
      </c>
      <c r="G54" s="16">
        <f>'Rel to Acc'!G54-G$69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3">
      <c r="A55" s="15" t="s">
        <v>114</v>
      </c>
      <c r="B55" s="15"/>
      <c r="C55" s="15"/>
      <c r="D55" s="16">
        <f>'Rel to Acc'!D55-$D$69</f>
        <v>1.4911299999999983</v>
      </c>
      <c r="E55" s="16">
        <f>'Rel to Acc'!E55-E$69</f>
        <v>4.7999999999603915E-4</v>
      </c>
      <c r="F55" s="16">
        <f>'data from JD'!F58+'data from JD'!P58/1000</f>
        <v>0.18225100000029104</v>
      </c>
      <c r="G55" s="16">
        <f>'Rel to Acc'!G55-G$69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3">
      <c r="A56" s="15" t="s">
        <v>64</v>
      </c>
      <c r="B56" s="15" t="s">
        <v>17</v>
      </c>
      <c r="C56" s="15"/>
      <c r="D56" s="16">
        <f>'Rel to Acc'!D56-$D$69</f>
        <v>-0.96320000000002892</v>
      </c>
      <c r="E56" s="16">
        <f>'Rel to Acc'!E56-E$69</f>
        <v>2.9999999999574811E-4</v>
      </c>
      <c r="F56" s="16">
        <f>'data from JD'!F59+'data from JD'!P59/1000</f>
        <v>0</v>
      </c>
      <c r="G56" s="16">
        <f>'Rel to Acc'!G56-G$69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3">
      <c r="A57" s="15" t="s">
        <v>148</v>
      </c>
      <c r="B57" s="15"/>
      <c r="C57" s="15"/>
      <c r="D57" s="16">
        <f>'Rel to Acc'!D57-$D$69</f>
        <v>-1.7132000000000289</v>
      </c>
      <c r="E57" s="16">
        <f>'Rel to Acc'!E57-E$69</f>
        <v>1.9528333264418052E-4</v>
      </c>
      <c r="F57" s="16">
        <f>'data from JD'!F60+'data from JD'!P60/1000</f>
        <v>0</v>
      </c>
      <c r="G57" s="16">
        <f>'Rel to Acc'!G57-G$69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3">
      <c r="A58" s="15" t="s">
        <v>149</v>
      </c>
      <c r="B58" s="15"/>
      <c r="C58" s="15"/>
      <c r="D58" s="16">
        <f>'Rel to Acc'!D58-$D$69</f>
        <v>-0.21320000000002892</v>
      </c>
      <c r="E58" s="16">
        <f>'Rel to Acc'!E58-E$69</f>
        <v>4.0471666734731571E-4</v>
      </c>
      <c r="F58" s="16">
        <f>'data from JD'!F61+'data from JD'!P61/1000</f>
        <v>0</v>
      </c>
      <c r="G58" s="16">
        <f>'Rel to Acc'!G58-G$69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x14ac:dyDescent="0.3">
      <c r="A59" s="37" t="s">
        <v>65</v>
      </c>
      <c r="B59" s="37" t="s">
        <v>15</v>
      </c>
      <c r="C59" s="37"/>
      <c r="D59" s="39">
        <f>'Rel to Acc'!D59-$D$69</f>
        <v>4.3597300000000132</v>
      </c>
      <c r="E59" s="39">
        <f>'Rel to Acc'!E59-E$69</f>
        <v>6.3099999999991496E-3</v>
      </c>
      <c r="F59" s="39">
        <f>'data from JD'!F62+'data from JD'!P62/1000</f>
        <v>0</v>
      </c>
      <c r="G59" s="39">
        <f>'Rel to Acc'!G59-G$69</f>
        <v>3.0999999999892225E-4</v>
      </c>
      <c r="H59" s="39">
        <f>'data from JD'!L57+'data from JD'!R57</f>
        <v>-7.0190000000000002E-2</v>
      </c>
      <c r="I59" s="40">
        <v>4.1829999999999999E-2</v>
      </c>
      <c r="J59" s="40">
        <v>-1.49E-2</v>
      </c>
      <c r="K59" s="37"/>
      <c r="L59" s="37"/>
      <c r="M59" s="37"/>
      <c r="N59" s="37"/>
      <c r="O59" s="37"/>
      <c r="P59" s="37"/>
    </row>
    <row r="60" spans="1:16" s="38" customFormat="1" x14ac:dyDescent="0.3">
      <c r="A60" s="37" t="s">
        <v>66</v>
      </c>
      <c r="B60" s="37" t="s">
        <v>16</v>
      </c>
      <c r="C60" s="37"/>
      <c r="D60" s="39">
        <f>'Rel to Acc'!D60-$D$69</f>
        <v>4.1686000000000263</v>
      </c>
      <c r="E60" s="39">
        <f>'Rel to Acc'!E60-$E$69</f>
        <v>4.0999999999939973E-3</v>
      </c>
      <c r="F60" s="39">
        <f>'data from JD'!F63+'data from JD'!P63/1000</f>
        <v>0</v>
      </c>
      <c r="G60" s="39">
        <f>'Rel to Acc'!G60-$G$69</f>
        <v>2.582000000003859E-3</v>
      </c>
      <c r="H60" s="39">
        <f>'Rel to Acc'!H60</f>
        <v>6.7909999999999998E-2</v>
      </c>
      <c r="I60" s="39">
        <f>'Rel to Acc'!I60</f>
        <v>2.726E-2</v>
      </c>
      <c r="J60" s="39">
        <f>'Rel to Acc'!J60</f>
        <v>-0.185</v>
      </c>
      <c r="K60" s="37"/>
      <c r="L60" s="37"/>
      <c r="M60" s="37"/>
      <c r="N60" s="37"/>
      <c r="O60" s="37"/>
      <c r="P60" s="37"/>
    </row>
    <row r="61" spans="1:16" x14ac:dyDescent="0.3">
      <c r="A61" s="25" t="s">
        <v>253</v>
      </c>
      <c r="B61" s="15"/>
      <c r="C61" s="15"/>
      <c r="D61" s="16">
        <v>0</v>
      </c>
      <c r="E61" s="16">
        <v>0</v>
      </c>
      <c r="F61" s="16">
        <f>'data from JD'!F64+'data from JD'!P64/1000</f>
        <v>0</v>
      </c>
      <c r="G61" s="16">
        <v>0</v>
      </c>
      <c r="H61" s="15">
        <f>'Rel to Acc'!H61</f>
        <v>0</v>
      </c>
      <c r="I61" s="15">
        <f>'Rel to Acc'!I61</f>
        <v>0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2" spans="1:16" x14ac:dyDescent="0.3">
      <c r="A62" s="15" t="s">
        <v>259</v>
      </c>
      <c r="B62" s="15"/>
      <c r="D62" s="16">
        <f>'Rel to Acc'!D62-$D$69</f>
        <v>-400.02780000000001</v>
      </c>
      <c r="E62" s="16">
        <f>'Rel to Acc'!E62-$E$69</f>
        <v>-80.599699999999999</v>
      </c>
      <c r="F62" s="16">
        <f>'data from JD'!F65+'data from JD'!P65/1000</f>
        <v>0</v>
      </c>
      <c r="G62" s="16">
        <f>'Rel to Acc'!G62-$G$69</f>
        <v>-104.7</v>
      </c>
    </row>
    <row r="63" spans="1:16" s="38" customFormat="1" x14ac:dyDescent="0.3">
      <c r="A63" s="37" t="s">
        <v>262</v>
      </c>
      <c r="B63" s="39" t="s">
        <v>263</v>
      </c>
      <c r="D63" s="39">
        <f>'Rel to Acc'!D63-$D$69</f>
        <v>14.378999999999962</v>
      </c>
      <c r="E63" s="39">
        <f>'Rel to Acc'!E63-$E$69</f>
        <v>1.1000000000649379E-4</v>
      </c>
      <c r="F63" s="39">
        <f>'data from JD'!F66+'data from JD'!P66/1000</f>
        <v>0</v>
      </c>
      <c r="G63" s="39">
        <f>'Rel to Acc'!G63-$G$69</f>
        <v>3.2999999999105967E-4</v>
      </c>
      <c r="H63" s="37">
        <f>'Rel to Acc'!H63</f>
        <v>0.1168</v>
      </c>
      <c r="I63" s="37">
        <f>'Rel to Acc'!I63</f>
        <v>0.1065</v>
      </c>
      <c r="J63" s="37" t="str">
        <f>'Rel to Acc'!J63</f>
        <v xml:space="preserve"> </v>
      </c>
    </row>
    <row r="64" spans="1:16" s="33" customFormat="1" x14ac:dyDescent="0.3">
      <c r="A64" s="47" t="s">
        <v>268</v>
      </c>
      <c r="B64" s="48" t="s">
        <v>270</v>
      </c>
      <c r="D64" s="24"/>
      <c r="E64" s="24"/>
      <c r="F64" s="24"/>
      <c r="G64" s="24"/>
      <c r="H64" s="52"/>
      <c r="I64" s="52"/>
      <c r="J64" s="52"/>
    </row>
    <row r="65" spans="1:10" s="33" customFormat="1" x14ac:dyDescent="0.3">
      <c r="A65" s="47" t="s">
        <v>269</v>
      </c>
      <c r="B65" s="48" t="s">
        <v>271</v>
      </c>
      <c r="D65" s="24"/>
      <c r="E65" s="24"/>
      <c r="F65" s="24"/>
      <c r="G65" s="24"/>
      <c r="H65" s="52"/>
      <c r="I65" s="52"/>
      <c r="J65" s="52"/>
    </row>
    <row r="66" spans="1:10" s="33" customFormat="1" x14ac:dyDescent="0.3">
      <c r="A66" s="52"/>
      <c r="B66" s="24"/>
      <c r="D66" s="24"/>
      <c r="E66" s="24"/>
      <c r="F66" s="24"/>
      <c r="G66" s="24"/>
      <c r="H66" s="52"/>
      <c r="I66" s="52"/>
      <c r="J66" s="52"/>
    </row>
    <row r="67" spans="1:10" s="33" customFormat="1" x14ac:dyDescent="0.3">
      <c r="A67" s="52"/>
      <c r="B67" s="24"/>
      <c r="D67" s="24"/>
      <c r="E67" s="24"/>
      <c r="F67" s="24"/>
      <c r="G67" s="24"/>
      <c r="H67" s="52"/>
      <c r="I67" s="52"/>
      <c r="J67" s="52"/>
    </row>
    <row r="68" spans="1:10" ht="15.6" x14ac:dyDescent="0.3">
      <c r="A68" s="10" t="s">
        <v>81</v>
      </c>
      <c r="D68" s="4">
        <f>'Rel to Acc'!D68</f>
        <v>398.13779999999997</v>
      </c>
      <c r="E68" s="4">
        <v>80.599999999999994</v>
      </c>
      <c r="G68" s="4">
        <v>104.7</v>
      </c>
    </row>
    <row r="69" spans="1:10" x14ac:dyDescent="0.3">
      <c r="B69" s="4" t="s">
        <v>87</v>
      </c>
      <c r="D69" s="4">
        <f>'Rel to Acc'!D41</f>
        <v>400.02780000000001</v>
      </c>
      <c r="E69" s="4">
        <f>'Rel to Acc'!E41</f>
        <v>80.599699999999999</v>
      </c>
      <c r="F69" s="4">
        <f>'Rel to Acc'!F41</f>
        <v>6.0598799999340072</v>
      </c>
      <c r="G69" s="4">
        <f>'Rel to Acc'!G41</f>
        <v>104.7</v>
      </c>
    </row>
    <row r="70" spans="1:10" s="38" customFormat="1" x14ac:dyDescent="0.3">
      <c r="A70" s="37" t="s">
        <v>265</v>
      </c>
    </row>
    <row r="71" spans="1:10" x14ac:dyDescent="0.3">
      <c r="A71" s="35" t="s">
        <v>261</v>
      </c>
    </row>
    <row r="72" spans="1:10" x14ac:dyDescent="0.3">
      <c r="A72" s="36" t="s">
        <v>266</v>
      </c>
      <c r="B72" s="55" t="s">
        <v>153</v>
      </c>
      <c r="C72" s="55"/>
      <c r="D72" s="55"/>
      <c r="E72" s="56">
        <f>D43-D42</f>
        <v>4.7959999999999923</v>
      </c>
    </row>
    <row r="73" spans="1:10" x14ac:dyDescent="0.3">
      <c r="A73" s="36" t="s">
        <v>276</v>
      </c>
    </row>
    <row r="74" spans="1:10" x14ac:dyDescent="0.3">
      <c r="A74" s="36" t="s">
        <v>267</v>
      </c>
    </row>
    <row r="75" spans="1:10" x14ac:dyDescent="0.3">
      <c r="A75" s="36" t="s">
        <v>272</v>
      </c>
    </row>
    <row r="76" spans="1:10" x14ac:dyDescent="0.3">
      <c r="A76" s="36" t="s">
        <v>273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2" workbookViewId="0">
      <selection activeCell="D30" sqref="D30"/>
    </sheetView>
  </sheetViews>
  <sheetFormatPr defaultRowHeight="14.4" x14ac:dyDescent="0.3"/>
  <cols>
    <col min="1" max="1" width="38" customWidth="1"/>
    <col min="2" max="2" width="12.5546875" customWidth="1"/>
    <col min="3" max="3" width="2" customWidth="1"/>
    <col min="4" max="4" width="10.6640625" bestFit="1" customWidth="1"/>
    <col min="5" max="5" width="10.33203125" style="4" customWidth="1"/>
    <col min="6" max="6" width="12.109375" style="4" customWidth="1"/>
    <col min="7" max="7" width="13.88671875" bestFit="1" customWidth="1"/>
    <col min="8" max="8" width="11.88671875" style="4" hidden="1" customWidth="1"/>
    <col min="9" max="10" width="11.88671875" style="4" customWidth="1"/>
    <col min="11" max="11" width="11.109375" customWidth="1"/>
    <col min="13" max="13" width="3.44140625" customWidth="1"/>
    <col min="16" max="16" width="13" customWidth="1"/>
    <col min="17" max="17" width="3.88671875" customWidth="1"/>
    <col min="21" max="21" width="2.109375" customWidth="1"/>
  </cols>
  <sheetData>
    <row r="1" spans="1:26" s="4" customFormat="1" ht="15" x14ac:dyDescent="0.25">
      <c r="A1" s="4" t="s">
        <v>190</v>
      </c>
    </row>
    <row r="2" spans="1:26" s="4" customFormat="1" x14ac:dyDescent="0.3">
      <c r="A2" s="43" t="s">
        <v>67</v>
      </c>
      <c r="B2" s="43"/>
      <c r="C2" s="43"/>
      <c r="D2" s="43"/>
      <c r="E2" s="8"/>
      <c r="F2" s="8"/>
    </row>
    <row r="3" spans="1:26" s="4" customFormat="1" x14ac:dyDescent="0.3">
      <c r="A3" s="43"/>
      <c r="B3" s="43"/>
      <c r="C3" s="43"/>
      <c r="D3" s="43"/>
      <c r="E3" s="8"/>
      <c r="F3" s="8"/>
    </row>
    <row r="4" spans="1:26" s="4" customFormat="1" x14ac:dyDescent="0.3">
      <c r="A4" s="43"/>
      <c r="B4" s="43"/>
      <c r="C4" s="43"/>
      <c r="D4" s="43"/>
      <c r="E4" s="8"/>
      <c r="F4" s="8"/>
      <c r="K4" s="4">
        <f>SIN(-0.0852*3.1416/180)</f>
        <v>-1.4870234519721423E-3</v>
      </c>
    </row>
    <row r="5" spans="1:26" s="4" customFormat="1" x14ac:dyDescent="0.3">
      <c r="A5" s="44"/>
      <c r="B5" s="44"/>
      <c r="C5" s="44"/>
      <c r="D5" s="44"/>
      <c r="E5" s="9"/>
      <c r="F5" s="9"/>
    </row>
    <row r="6" spans="1:26" s="4" customFormat="1" ht="15" x14ac:dyDescent="0.25"/>
    <row r="7" spans="1:26" s="4" customFormat="1" ht="15" x14ac:dyDescent="0.25"/>
    <row r="8" spans="1:26" s="4" customFormat="1" ht="15" x14ac:dyDescent="0.25">
      <c r="I8" s="4">
        <v>398.43376000000001</v>
      </c>
    </row>
    <row r="10" spans="1:26" ht="15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46" t="s">
        <v>36</v>
      </c>
      <c r="S10" s="46"/>
      <c r="T10" s="46"/>
      <c r="U10" s="6"/>
      <c r="V10" s="46" t="s">
        <v>48</v>
      </c>
      <c r="W10" s="46"/>
      <c r="X10" s="46"/>
      <c r="Y10" s="46"/>
      <c r="Z10" s="46"/>
    </row>
    <row r="11" spans="1:26" ht="15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ht="15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ht="15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ht="15" x14ac:dyDescent="0.25">
      <c r="A14" t="s">
        <v>156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ht="15" x14ac:dyDescent="0.25">
      <c r="A15" s="4" t="s">
        <v>157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ht="15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ht="15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ht="15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ht="15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ht="15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ht="15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ht="15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ht="15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ht="15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ht="15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ht="15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ht="15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ht="15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ht="15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ht="15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ht="15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ht="15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ht="15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ht="15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ht="15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ht="15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ht="15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3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3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3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3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3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3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3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3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3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3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3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3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3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3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3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6" x14ac:dyDescent="0.3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3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3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3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3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3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3">
      <c r="V59">
        <f>AVERAGE(V52:V55)</f>
        <v>144.51999999999998</v>
      </c>
      <c r="W59" t="s">
        <v>133</v>
      </c>
    </row>
    <row r="60" spans="1:23" ht="15.6" x14ac:dyDescent="0.3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x14ac:dyDescent="0.3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3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3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3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3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3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3">
      <c r="A67" s="15" t="s">
        <v>172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3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3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3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3">
      <c r="S72" s="4"/>
    </row>
    <row r="73" spans="1:19" x14ac:dyDescent="0.3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3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3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3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3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3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3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3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3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3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3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3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3">
      <c r="S85" s="4"/>
    </row>
    <row r="86" spans="2:19" x14ac:dyDescent="0.3">
      <c r="S86" s="4"/>
    </row>
    <row r="87" spans="2:19" x14ac:dyDescent="0.3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3">
      <c r="S88" s="4"/>
    </row>
    <row r="89" spans="2:19" x14ac:dyDescent="0.3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5"/>
  <sheetViews>
    <sheetView topLeftCell="A37" zoomScale="200" zoomScaleNormal="200" workbookViewId="0">
      <selection activeCell="A44" sqref="A44"/>
    </sheetView>
  </sheetViews>
  <sheetFormatPr defaultRowHeight="14.4" x14ac:dyDescent="0.3"/>
  <sheetData>
    <row r="2" spans="1:7" x14ac:dyDescent="0.3">
      <c r="A2" s="43" t="s">
        <v>89</v>
      </c>
      <c r="B2" s="43"/>
      <c r="C2" s="43"/>
      <c r="D2" s="43"/>
      <c r="E2" s="44"/>
      <c r="F2" s="44"/>
      <c r="G2" s="44"/>
    </row>
    <row r="3" spans="1:7" x14ac:dyDescent="0.3">
      <c r="A3" s="43"/>
      <c r="B3" s="43"/>
      <c r="C3" s="43"/>
      <c r="D3" s="43"/>
      <c r="E3" s="44"/>
      <c r="F3" s="44"/>
      <c r="G3" s="44"/>
    </row>
    <row r="4" spans="1:7" x14ac:dyDescent="0.3">
      <c r="A4" s="43"/>
      <c r="B4" s="43"/>
      <c r="C4" s="43"/>
      <c r="D4" s="43"/>
      <c r="E4" s="44"/>
      <c r="F4" s="44"/>
      <c r="G4" s="44"/>
    </row>
    <row r="5" spans="1:7" x14ac:dyDescent="0.3">
      <c r="A5" s="44"/>
      <c r="B5" s="44"/>
      <c r="C5" s="44"/>
      <c r="D5" s="44"/>
      <c r="E5" s="44"/>
      <c r="F5" s="44"/>
      <c r="G5" s="44"/>
    </row>
    <row r="6" spans="1:7" x14ac:dyDescent="0.3">
      <c r="A6" s="44"/>
      <c r="B6" s="44"/>
      <c r="C6" s="44"/>
      <c r="D6" s="44"/>
      <c r="E6" s="44"/>
      <c r="F6" s="44"/>
      <c r="G6" s="44"/>
    </row>
    <row r="7" spans="1:7" x14ac:dyDescent="0.3">
      <c r="A7" s="44"/>
      <c r="B7" s="44"/>
      <c r="C7" s="44"/>
      <c r="D7" s="44"/>
      <c r="E7" s="44"/>
      <c r="F7" s="44"/>
      <c r="G7" s="44"/>
    </row>
    <row r="9" spans="1:7" ht="15" x14ac:dyDescent="0.25">
      <c r="A9" s="6" t="s">
        <v>146</v>
      </c>
    </row>
    <row r="11" spans="1:7" ht="15" x14ac:dyDescent="0.25">
      <c r="A11" s="4" t="s">
        <v>192</v>
      </c>
    </row>
    <row r="12" spans="1:7" s="4" customFormat="1" ht="15" x14ac:dyDescent="0.25">
      <c r="A12" s="4" t="s">
        <v>193</v>
      </c>
    </row>
    <row r="13" spans="1:7" ht="15" x14ac:dyDescent="0.25">
      <c r="A13" s="4" t="s">
        <v>94</v>
      </c>
    </row>
    <row r="14" spans="1:7" s="4" customFormat="1" ht="15" x14ac:dyDescent="0.25">
      <c r="A14" s="4" t="s">
        <v>167</v>
      </c>
    </row>
    <row r="15" spans="1:7" ht="15" x14ac:dyDescent="0.25">
      <c r="A15" s="4" t="s">
        <v>95</v>
      </c>
    </row>
    <row r="16" spans="1:7" s="4" customFormat="1" ht="15" x14ac:dyDescent="0.25">
      <c r="A16" s="4" t="s">
        <v>165</v>
      </c>
    </row>
    <row r="17" spans="1:1" ht="15" x14ac:dyDescent="0.25">
      <c r="A17" s="4" t="s">
        <v>96</v>
      </c>
    </row>
    <row r="18" spans="1:1" ht="15" x14ac:dyDescent="0.25">
      <c r="A18" s="4" t="s">
        <v>102</v>
      </c>
    </row>
    <row r="19" spans="1:1" ht="15" x14ac:dyDescent="0.25">
      <c r="A19" s="4" t="s">
        <v>97</v>
      </c>
    </row>
    <row r="20" spans="1:1" x14ac:dyDescent="0.3">
      <c r="A20" s="4" t="s">
        <v>98</v>
      </c>
    </row>
    <row r="21" spans="1:1" x14ac:dyDescent="0.3">
      <c r="A21" s="4" t="s">
        <v>99</v>
      </c>
    </row>
    <row r="22" spans="1:1" s="4" customFormat="1" x14ac:dyDescent="0.3">
      <c r="A22" s="4" t="s">
        <v>194</v>
      </c>
    </row>
    <row r="23" spans="1:1" x14ac:dyDescent="0.3">
      <c r="A23" s="4" t="s">
        <v>100</v>
      </c>
    </row>
    <row r="24" spans="1:1" x14ac:dyDescent="0.3">
      <c r="A24" s="4" t="s">
        <v>101</v>
      </c>
    </row>
    <row r="25" spans="1:1" x14ac:dyDescent="0.3">
      <c r="A25" s="4" t="s">
        <v>168</v>
      </c>
    </row>
    <row r="26" spans="1:1" x14ac:dyDescent="0.3">
      <c r="A26" s="4" t="s">
        <v>169</v>
      </c>
    </row>
    <row r="27" spans="1:1" x14ac:dyDescent="0.3">
      <c r="A27" s="4" t="s">
        <v>170</v>
      </c>
    </row>
    <row r="28" spans="1:1" x14ac:dyDescent="0.3">
      <c r="A28" s="4" t="s">
        <v>171</v>
      </c>
    </row>
    <row r="29" spans="1:1" x14ac:dyDescent="0.3">
      <c r="A29" s="4" t="s">
        <v>103</v>
      </c>
    </row>
    <row r="30" spans="1:1" x14ac:dyDescent="0.3">
      <c r="A30" s="4" t="s">
        <v>143</v>
      </c>
    </row>
    <row r="31" spans="1:1" x14ac:dyDescent="0.3">
      <c r="A31" s="4" t="s">
        <v>110</v>
      </c>
    </row>
    <row r="32" spans="1:1" x14ac:dyDescent="0.3">
      <c r="A32" s="4" t="s">
        <v>154</v>
      </c>
    </row>
    <row r="33" spans="1:1" x14ac:dyDescent="0.3">
      <c r="A33" s="4" t="s">
        <v>104</v>
      </c>
    </row>
    <row r="34" spans="1:1" x14ac:dyDescent="0.3">
      <c r="A34" s="4" t="s">
        <v>105</v>
      </c>
    </row>
    <row r="35" spans="1:1" x14ac:dyDescent="0.3">
      <c r="A35" s="4" t="s">
        <v>106</v>
      </c>
    </row>
    <row r="36" spans="1:1" s="4" customFormat="1" x14ac:dyDescent="0.3">
      <c r="A36" s="4" t="s">
        <v>136</v>
      </c>
    </row>
    <row r="37" spans="1:1" s="4" customFormat="1" x14ac:dyDescent="0.3">
      <c r="A37" s="4" t="s">
        <v>137</v>
      </c>
    </row>
    <row r="38" spans="1:1" s="4" customFormat="1" x14ac:dyDescent="0.3">
      <c r="A38" s="4" t="s">
        <v>138</v>
      </c>
    </row>
    <row r="39" spans="1:1" s="4" customFormat="1" x14ac:dyDescent="0.3">
      <c r="A39" s="4" t="s">
        <v>139</v>
      </c>
    </row>
    <row r="40" spans="1:1" x14ac:dyDescent="0.3">
      <c r="A40" s="4" t="s">
        <v>107</v>
      </c>
    </row>
    <row r="41" spans="1:1" x14ac:dyDescent="0.3">
      <c r="A41" s="4" t="s">
        <v>108</v>
      </c>
    </row>
    <row r="42" spans="1:1" x14ac:dyDescent="0.3">
      <c r="A42" s="4" t="s">
        <v>109</v>
      </c>
    </row>
    <row r="43" spans="1:1" x14ac:dyDescent="0.3">
      <c r="A43" s="4" t="s">
        <v>173</v>
      </c>
    </row>
    <row r="44" spans="1:1" x14ac:dyDescent="0.3">
      <c r="A44" t="s">
        <v>275</v>
      </c>
    </row>
    <row r="45" spans="1:1" x14ac:dyDescent="0.3">
      <c r="A45" t="s">
        <v>174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365760</xdr:colOff>
                <xdr:row>0</xdr:row>
                <xdr:rowOff>38100</xdr:rowOff>
              </from>
              <to>
                <xdr:col>22</xdr:col>
                <xdr:colOff>594360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4.4" x14ac:dyDescent="0.3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A3" sqref="A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4" r:id="rId4">
          <objectPr defaultSiz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30</xdr:col>
                <xdr:colOff>365760</xdr:colOff>
                <xdr:row>68</xdr:row>
                <xdr:rowOff>0</xdr:rowOff>
              </to>
            </anchor>
          </objectPr>
        </oleObject>
      </mc:Choice>
      <mc:Fallback>
        <oleObject progId="Acrobat Document" shapeId="30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2016-02-24T20:15:06Z</cp:lastPrinted>
  <dcterms:created xsi:type="dcterms:W3CDTF">2014-09-29T13:22:13Z</dcterms:created>
  <dcterms:modified xsi:type="dcterms:W3CDTF">2018-10-25T14:44:22Z</dcterms:modified>
</cp:coreProperties>
</file>