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548" windowWidth="19152" windowHeight="10128" tabRatio="638"/>
  </bookViews>
  <sheets>
    <sheet name="Rel to Acc" sheetId="4" r:id="rId1"/>
    <sheet name="Rel to Goni" sheetId="5" r:id="rId2"/>
    <sheet name="Rel to HD 0,0" sheetId="6" r:id="rId3"/>
    <sheet name="Rel to measured sol center" sheetId="7" r:id="rId4"/>
    <sheet name="data from JD" sheetId="1" r:id="rId5"/>
    <sheet name="Reference frames" sheetId="2" r:id="rId6"/>
    <sheet name="FDC Packages" sheetId="3" r:id="rId7"/>
    <sheet name="Goni Foils-Diamonds" sheetId="8" r:id="rId8"/>
    <sheet name="Polarimeter" sheetId="9" r:id="rId9"/>
    <sheet name="Target location" sheetId="10" r:id="rId10"/>
    <sheet name="HODO" sheetId="11" r:id="rId11"/>
  </sheets>
  <calcPr calcId="145621"/>
</workbook>
</file>

<file path=xl/calcChain.xml><?xml version="1.0" encoding="utf-8"?>
<calcChain xmlns="http://schemas.openxmlformats.org/spreadsheetml/2006/main">
  <c r="I66" i="6" l="1"/>
  <c r="H66" i="6"/>
  <c r="J66" i="6"/>
  <c r="J65" i="6"/>
  <c r="J64" i="6"/>
  <c r="J66" i="7"/>
  <c r="I66" i="7"/>
  <c r="H66" i="7"/>
  <c r="G66" i="7"/>
  <c r="F66" i="7"/>
  <c r="E66" i="7"/>
  <c r="D66" i="7"/>
  <c r="J65" i="7"/>
  <c r="I65" i="7"/>
  <c r="H65" i="7"/>
  <c r="G65" i="7"/>
  <c r="F65" i="7"/>
  <c r="E65" i="7"/>
  <c r="D65" i="7"/>
  <c r="J64" i="7"/>
  <c r="I64" i="7"/>
  <c r="H64" i="7"/>
  <c r="G64" i="7"/>
  <c r="F64" i="7"/>
  <c r="E64" i="7"/>
  <c r="D64" i="7"/>
  <c r="J66" i="5"/>
  <c r="I66" i="5"/>
  <c r="H66" i="5"/>
  <c r="G66" i="5"/>
  <c r="F66" i="5"/>
  <c r="E66" i="5"/>
  <c r="D66" i="5"/>
  <c r="J65" i="5"/>
  <c r="I65" i="5"/>
  <c r="H65" i="5"/>
  <c r="G65" i="5"/>
  <c r="F65" i="5"/>
  <c r="E65" i="5"/>
  <c r="D65" i="5"/>
  <c r="J64" i="5"/>
  <c r="I64" i="5"/>
  <c r="H64" i="5"/>
  <c r="G64" i="5"/>
  <c r="F64" i="5"/>
  <c r="E64" i="5"/>
  <c r="D64" i="5"/>
  <c r="L67" i="6"/>
  <c r="M72" i="4"/>
  <c r="G66" i="6"/>
  <c r="E66" i="6"/>
  <c r="M65" i="6"/>
  <c r="L72" i="4"/>
  <c r="D66" i="6"/>
  <c r="J72" i="4"/>
  <c r="N49" i="4"/>
  <c r="N50" i="4"/>
  <c r="I65" i="6" l="1"/>
  <c r="H65" i="6"/>
  <c r="G65" i="6"/>
  <c r="E65" i="6"/>
  <c r="D65" i="6"/>
  <c r="I64" i="6"/>
  <c r="H64" i="6"/>
  <c r="G64" i="6"/>
  <c r="E64" i="6"/>
  <c r="D64" i="6"/>
  <c r="J61" i="7" l="1"/>
  <c r="I61" i="7"/>
  <c r="H61" i="7"/>
  <c r="G61" i="7"/>
  <c r="F61" i="7"/>
  <c r="E61" i="7"/>
  <c r="D61" i="7"/>
  <c r="J61" i="6"/>
  <c r="I61" i="6"/>
  <c r="H61" i="6"/>
  <c r="G61" i="6"/>
  <c r="F61" i="6"/>
  <c r="E61" i="6"/>
  <c r="D61" i="6"/>
  <c r="J61" i="5"/>
  <c r="I61" i="5"/>
  <c r="H61" i="5"/>
  <c r="G61" i="5"/>
  <c r="F61" i="5"/>
  <c r="E61" i="5"/>
  <c r="D61" i="5"/>
  <c r="I48" i="4" l="1"/>
  <c r="H48" i="4"/>
  <c r="D48" i="4"/>
  <c r="J60" i="4"/>
  <c r="I60" i="4"/>
  <c r="H60" i="4"/>
  <c r="G60" i="4"/>
  <c r="E60" i="4"/>
  <c r="D60" i="4"/>
  <c r="F60" i="4"/>
  <c r="I50" i="4" l="1"/>
  <c r="H50" i="4"/>
  <c r="D49" i="4" l="1"/>
  <c r="M47" i="4" s="1"/>
  <c r="D47" i="4"/>
  <c r="N47" i="4" s="1"/>
  <c r="D40" i="4"/>
  <c r="F47" i="7" l="1"/>
  <c r="F45" i="7"/>
  <c r="F47" i="6"/>
  <c r="F45" i="6"/>
  <c r="F47" i="5"/>
  <c r="F45" i="5"/>
  <c r="J63" i="7" l="1"/>
  <c r="I63" i="7"/>
  <c r="H63" i="7"/>
  <c r="J63" i="6"/>
  <c r="I63" i="6"/>
  <c r="H63" i="6"/>
  <c r="F63" i="7"/>
  <c r="F62" i="7"/>
  <c r="J60" i="7"/>
  <c r="I60" i="7"/>
  <c r="H60" i="7"/>
  <c r="G63" i="6" l="1"/>
  <c r="G62" i="6"/>
  <c r="E63" i="6"/>
  <c r="E62" i="6"/>
  <c r="D50" i="4" l="1"/>
  <c r="D51" i="4"/>
  <c r="J60" i="6"/>
  <c r="I60" i="6"/>
  <c r="H60" i="6"/>
  <c r="G60" i="6"/>
  <c r="E60" i="6"/>
  <c r="J63" i="5"/>
  <c r="I63" i="5"/>
  <c r="H63" i="5"/>
  <c r="G63" i="5"/>
  <c r="F63" i="5"/>
  <c r="E63" i="5"/>
  <c r="J62" i="5"/>
  <c r="I62" i="5"/>
  <c r="H62" i="5"/>
  <c r="G62" i="5"/>
  <c r="F62" i="5"/>
  <c r="E62" i="5"/>
  <c r="J59" i="5"/>
  <c r="I59" i="5"/>
  <c r="H59" i="5"/>
  <c r="J60" i="5"/>
  <c r="I60" i="5"/>
  <c r="H60" i="5"/>
  <c r="G60" i="5"/>
  <c r="E60" i="5"/>
  <c r="F60" i="5"/>
  <c r="D15" i="4"/>
  <c r="E50" i="4" l="1"/>
  <c r="G50" i="4"/>
  <c r="G51" i="4"/>
  <c r="E51" i="4"/>
  <c r="F38" i="7"/>
  <c r="F30" i="7"/>
  <c r="G38" i="6"/>
  <c r="G37" i="6"/>
  <c r="E38" i="6"/>
  <c r="G30" i="6"/>
  <c r="E30" i="6"/>
  <c r="G38" i="5"/>
  <c r="G37" i="5"/>
  <c r="E38" i="5"/>
  <c r="G30" i="5"/>
  <c r="E30" i="5"/>
  <c r="G47" i="4"/>
  <c r="E47" i="4"/>
  <c r="G48" i="4"/>
  <c r="E48" i="4"/>
  <c r="E47" i="6" l="1"/>
  <c r="E47" i="5"/>
  <c r="G47" i="6"/>
  <c r="G47" i="5"/>
  <c r="J28" i="7"/>
  <c r="I28" i="7"/>
  <c r="H28" i="7"/>
  <c r="J28" i="6"/>
  <c r="I28" i="6"/>
  <c r="H28" i="6"/>
  <c r="J28" i="5"/>
  <c r="I28" i="5"/>
  <c r="H28" i="5"/>
  <c r="D45" i="4"/>
  <c r="J27" i="4"/>
  <c r="J27" i="7" s="1"/>
  <c r="J26" i="4"/>
  <c r="J26" i="6" s="1"/>
  <c r="J25" i="4"/>
  <c r="J25" i="7" s="1"/>
  <c r="J21" i="4"/>
  <c r="J21" i="6" s="1"/>
  <c r="J20" i="4"/>
  <c r="J20" i="7" s="1"/>
  <c r="I27" i="4"/>
  <c r="I27" i="6" s="1"/>
  <c r="I26" i="4"/>
  <c r="I26" i="7" s="1"/>
  <c r="I25" i="4"/>
  <c r="I25" i="6" s="1"/>
  <c r="I21" i="4"/>
  <c r="I21" i="7" s="1"/>
  <c r="I20" i="4"/>
  <c r="I20" i="6" s="1"/>
  <c r="H27" i="4"/>
  <c r="H27" i="7" s="1"/>
  <c r="H26" i="4"/>
  <c r="H26" i="6" s="1"/>
  <c r="H25" i="4"/>
  <c r="H25" i="7" s="1"/>
  <c r="H21" i="4"/>
  <c r="H21" i="6" s="1"/>
  <c r="H20" i="4"/>
  <c r="H20" i="7" s="1"/>
  <c r="G27" i="4"/>
  <c r="G26" i="4"/>
  <c r="G25" i="4"/>
  <c r="AC35" i="11" s="1"/>
  <c r="G24" i="4"/>
  <c r="G23" i="4"/>
  <c r="AC25" i="11" s="1"/>
  <c r="G22" i="4"/>
  <c r="AC20" i="11" s="1"/>
  <c r="G21" i="4"/>
  <c r="AC15" i="11" s="1"/>
  <c r="G20" i="4"/>
  <c r="AC10" i="11" s="1"/>
  <c r="E27" i="4"/>
  <c r="AB45" i="11" s="1"/>
  <c r="E26" i="4"/>
  <c r="AB40" i="11" s="1"/>
  <c r="E25" i="4"/>
  <c r="AB35" i="11" s="1"/>
  <c r="E24" i="4"/>
  <c r="AB30" i="11" s="1"/>
  <c r="E23" i="4"/>
  <c r="AB25" i="11" s="1"/>
  <c r="E22" i="4"/>
  <c r="E21" i="4"/>
  <c r="E20" i="4"/>
  <c r="D27" i="4"/>
  <c r="AA45" i="11" s="1"/>
  <c r="D26" i="4"/>
  <c r="AA40" i="11" s="1"/>
  <c r="D25" i="4"/>
  <c r="D24" i="4"/>
  <c r="D23" i="4"/>
  <c r="AA25" i="11" s="1"/>
  <c r="D22" i="4"/>
  <c r="AA20" i="11" s="1"/>
  <c r="D21" i="4"/>
  <c r="AA15" i="11" s="1"/>
  <c r="D20" i="4"/>
  <c r="AA10" i="11" s="1"/>
  <c r="U7" i="11"/>
  <c r="P10" i="11"/>
  <c r="AC45" i="11"/>
  <c r="AC40" i="11"/>
  <c r="AA35" i="11"/>
  <c r="AC30" i="11"/>
  <c r="AA30" i="11"/>
  <c r="AB20" i="11"/>
  <c r="AB15" i="11"/>
  <c r="AB10" i="11"/>
  <c r="Y47" i="11"/>
  <c r="Z47" i="11" s="1"/>
  <c r="Z45" i="11"/>
  <c r="Y45" i="11"/>
  <c r="Z42" i="11"/>
  <c r="Y42" i="11"/>
  <c r="Z40" i="11"/>
  <c r="Y40" i="11"/>
  <c r="Y37" i="11"/>
  <c r="Z37" i="11" s="1"/>
  <c r="Z35" i="11"/>
  <c r="Y35" i="11"/>
  <c r="Z32" i="11"/>
  <c r="Y32" i="11"/>
  <c r="Y30" i="11"/>
  <c r="Z30" i="11" s="1"/>
  <c r="Y27" i="11"/>
  <c r="Z27" i="11" s="1"/>
  <c r="Y25" i="11"/>
  <c r="Z25" i="11" s="1"/>
  <c r="Z22" i="11"/>
  <c r="Y22" i="11"/>
  <c r="Z20" i="11"/>
  <c r="Y20" i="11"/>
  <c r="Z17" i="11"/>
  <c r="Y17" i="11"/>
  <c r="Z15" i="11"/>
  <c r="Y15" i="11"/>
  <c r="Z12" i="11"/>
  <c r="Y12" i="11"/>
  <c r="Z10" i="11"/>
  <c r="Y10" i="11"/>
  <c r="V47" i="11"/>
  <c r="V45" i="11"/>
  <c r="V42" i="11"/>
  <c r="V40" i="11"/>
  <c r="V37" i="11"/>
  <c r="V35" i="11"/>
  <c r="V32" i="11"/>
  <c r="V30" i="11"/>
  <c r="V27" i="11"/>
  <c r="V25" i="11"/>
  <c r="V22" i="11"/>
  <c r="V20" i="11"/>
  <c r="V17" i="11"/>
  <c r="V15" i="11"/>
  <c r="V12" i="11"/>
  <c r="V10" i="11"/>
  <c r="R45" i="11"/>
  <c r="Q45" i="11"/>
  <c r="P45" i="11"/>
  <c r="R40" i="11"/>
  <c r="Q40" i="11"/>
  <c r="P40" i="11"/>
  <c r="R35" i="11"/>
  <c r="Q35" i="11"/>
  <c r="P35" i="11"/>
  <c r="R30" i="11"/>
  <c r="J24" i="4" s="1"/>
  <c r="Q30" i="11"/>
  <c r="I24" i="4" s="1"/>
  <c r="P30" i="11"/>
  <c r="H24" i="4" s="1"/>
  <c r="R25" i="11"/>
  <c r="J23" i="4" s="1"/>
  <c r="Q25" i="11"/>
  <c r="I23" i="4" s="1"/>
  <c r="P25" i="11"/>
  <c r="H23" i="4" s="1"/>
  <c r="R20" i="11"/>
  <c r="J22" i="4" s="1"/>
  <c r="Q20" i="11"/>
  <c r="I22" i="4" s="1"/>
  <c r="P20" i="11"/>
  <c r="H22" i="4" s="1"/>
  <c r="R15" i="11"/>
  <c r="Q15" i="11"/>
  <c r="P15" i="11"/>
  <c r="Q10" i="11"/>
  <c r="R10" i="11"/>
  <c r="J20" i="5" l="1"/>
  <c r="H25" i="5"/>
  <c r="I26" i="5"/>
  <c r="J27" i="5"/>
  <c r="J20" i="6"/>
  <c r="J25" i="6"/>
  <c r="J27" i="6"/>
  <c r="H20" i="5"/>
  <c r="I21" i="5"/>
  <c r="J25" i="5"/>
  <c r="H27" i="5"/>
  <c r="I21" i="6"/>
  <c r="I26" i="6"/>
  <c r="H20" i="6"/>
  <c r="H25" i="6"/>
  <c r="H27" i="6"/>
  <c r="I20" i="7"/>
  <c r="H21" i="7"/>
  <c r="J21" i="7"/>
  <c r="I25" i="7"/>
  <c r="H26" i="7"/>
  <c r="J26" i="7"/>
  <c r="I27" i="7"/>
  <c r="I20" i="5"/>
  <c r="H21" i="5"/>
  <c r="J21" i="5"/>
  <c r="I25" i="5"/>
  <c r="H26" i="5"/>
  <c r="J26" i="5"/>
  <c r="I27" i="5"/>
  <c r="G45" i="4"/>
  <c r="E45" i="4"/>
  <c r="J22" i="5"/>
  <c r="J22" i="7"/>
  <c r="J22" i="6"/>
  <c r="H24" i="5"/>
  <c r="H24" i="7"/>
  <c r="H24" i="6"/>
  <c r="I22" i="7"/>
  <c r="I22" i="6"/>
  <c r="I22" i="5"/>
  <c r="H23" i="7"/>
  <c r="H23" i="6"/>
  <c r="H23" i="5"/>
  <c r="J23" i="7"/>
  <c r="J23" i="6"/>
  <c r="J23" i="5"/>
  <c r="I24" i="7"/>
  <c r="I24" i="6"/>
  <c r="I24" i="5"/>
  <c r="H22" i="5"/>
  <c r="H22" i="7"/>
  <c r="H22" i="6"/>
  <c r="I23" i="5"/>
  <c r="I23" i="7"/>
  <c r="I23" i="6"/>
  <c r="J24" i="5"/>
  <c r="J24" i="7"/>
  <c r="J24" i="6"/>
  <c r="L47" i="4"/>
  <c r="E45" i="6" l="1"/>
  <c r="E45" i="5"/>
  <c r="G45" i="6"/>
  <c r="G45" i="5"/>
  <c r="G58" i="4"/>
  <c r="G57" i="4"/>
  <c r="E58" i="4"/>
  <c r="E57" i="4"/>
  <c r="D42" i="4"/>
  <c r="U43" i="4"/>
  <c r="U42" i="4"/>
  <c r="T42" i="4"/>
  <c r="T41" i="4"/>
  <c r="Q42" i="4" l="1"/>
  <c r="D43" i="4"/>
  <c r="G42" i="4"/>
  <c r="E42" i="4"/>
  <c r="E43" i="4"/>
  <c r="E44" i="4"/>
  <c r="F56" i="4"/>
  <c r="D56" i="4"/>
  <c r="D58" i="4" s="1"/>
  <c r="G55" i="4"/>
  <c r="E55" i="4"/>
  <c r="G54" i="4"/>
  <c r="E54" i="4"/>
  <c r="G53" i="4"/>
  <c r="E53" i="4"/>
  <c r="G52" i="4"/>
  <c r="E52" i="4"/>
  <c r="D52" i="4"/>
  <c r="D53" i="4" s="1"/>
  <c r="D54" i="4" s="1"/>
  <c r="D55" i="4" s="1"/>
  <c r="F51" i="4"/>
  <c r="F50" i="4"/>
  <c r="F49" i="4"/>
  <c r="F46" i="4"/>
  <c r="H44" i="4"/>
  <c r="G44" i="4"/>
  <c r="F44" i="4"/>
  <c r="D44" i="4"/>
  <c r="F41" i="4"/>
  <c r="G43" i="4" l="1"/>
  <c r="T43" i="4"/>
  <c r="Q43" i="4"/>
  <c r="D57" i="4"/>
  <c r="Q58" i="4" l="1"/>
  <c r="Q57" i="4"/>
  <c r="Q55" i="4"/>
  <c r="Q54" i="4"/>
  <c r="Q53" i="4"/>
  <c r="H49" i="10" l="1"/>
  <c r="H48" i="10"/>
  <c r="H47" i="10"/>
  <c r="H46" i="10"/>
  <c r="H45" i="10"/>
  <c r="E49" i="10"/>
  <c r="C49" i="10"/>
  <c r="C45" i="10"/>
  <c r="D68" i="4"/>
  <c r="D68" i="7" s="1"/>
  <c r="D68" i="6" l="1"/>
  <c r="D68" i="5"/>
  <c r="D63" i="6" l="1"/>
  <c r="D62" i="6"/>
  <c r="D60" i="6"/>
  <c r="D38" i="6"/>
  <c r="D30" i="6"/>
  <c r="D19" i="6"/>
  <c r="D45" i="6"/>
  <c r="D47" i="6"/>
  <c r="D17" i="6"/>
  <c r="D19" i="4"/>
  <c r="G69" i="7"/>
  <c r="G57" i="7" s="1"/>
  <c r="F60" i="7"/>
  <c r="E69" i="7"/>
  <c r="E28" i="7" s="1"/>
  <c r="F59" i="7"/>
  <c r="F58" i="7"/>
  <c r="F57" i="7"/>
  <c r="F56" i="7"/>
  <c r="F55" i="7"/>
  <c r="F54" i="7"/>
  <c r="F53" i="7"/>
  <c r="F52" i="7"/>
  <c r="F51" i="7"/>
  <c r="F50" i="7"/>
  <c r="F49" i="7"/>
  <c r="F48" i="7"/>
  <c r="F46" i="7"/>
  <c r="F44" i="7"/>
  <c r="F43" i="7"/>
  <c r="F42" i="7"/>
  <c r="F41" i="7"/>
  <c r="F40" i="7"/>
  <c r="F39" i="7"/>
  <c r="F37" i="7"/>
  <c r="F36" i="7"/>
  <c r="G35" i="4"/>
  <c r="F35" i="7"/>
  <c r="E35" i="4"/>
  <c r="G34" i="7"/>
  <c r="F34" i="7"/>
  <c r="G33" i="4"/>
  <c r="G33" i="7" s="1"/>
  <c r="F33" i="7"/>
  <c r="E33" i="4"/>
  <c r="E33" i="5" s="1"/>
  <c r="F32" i="7"/>
  <c r="G31" i="7"/>
  <c r="F31" i="7"/>
  <c r="G29" i="4"/>
  <c r="G29" i="6" s="1"/>
  <c r="F29" i="7"/>
  <c r="E29" i="4"/>
  <c r="E29" i="5" s="1"/>
  <c r="F28" i="7"/>
  <c r="F27" i="7"/>
  <c r="F26" i="7"/>
  <c r="F25" i="7"/>
  <c r="F24" i="7"/>
  <c r="F23" i="7"/>
  <c r="F22" i="7"/>
  <c r="F21" i="7"/>
  <c r="F20" i="7"/>
  <c r="F18" i="7"/>
  <c r="F16" i="7"/>
  <c r="G13" i="4"/>
  <c r="G13" i="7" s="1"/>
  <c r="F13" i="7"/>
  <c r="E13" i="4"/>
  <c r="E13" i="5" s="1"/>
  <c r="G12" i="4"/>
  <c r="E12" i="4"/>
  <c r="E12" i="5" s="1"/>
  <c r="F12" i="7"/>
  <c r="F69" i="7"/>
  <c r="D69" i="7"/>
  <c r="G34" i="6"/>
  <c r="F34" i="6"/>
  <c r="E34" i="6"/>
  <c r="D34" i="6"/>
  <c r="G34" i="5"/>
  <c r="F34" i="5"/>
  <c r="E34" i="5"/>
  <c r="H40" i="7"/>
  <c r="H39" i="7"/>
  <c r="H40" i="6"/>
  <c r="H39" i="6"/>
  <c r="H40" i="5"/>
  <c r="H39" i="5"/>
  <c r="J56" i="6"/>
  <c r="J56" i="5"/>
  <c r="G48" i="6"/>
  <c r="F48" i="6"/>
  <c r="E48" i="6"/>
  <c r="D48" i="6"/>
  <c r="B46" i="10" s="1"/>
  <c r="G48" i="5"/>
  <c r="F48" i="5"/>
  <c r="E48" i="5"/>
  <c r="G58" i="6"/>
  <c r="E58" i="6"/>
  <c r="D58" i="6"/>
  <c r="G57" i="6"/>
  <c r="E57" i="6"/>
  <c r="D57" i="6"/>
  <c r="G58" i="5"/>
  <c r="E58" i="5"/>
  <c r="G57" i="5"/>
  <c r="E57" i="5"/>
  <c r="G43" i="6"/>
  <c r="E43" i="6"/>
  <c r="D43" i="6"/>
  <c r="G42" i="6"/>
  <c r="E42" i="6"/>
  <c r="D42" i="6"/>
  <c r="G43" i="5"/>
  <c r="E43" i="5"/>
  <c r="G42" i="5"/>
  <c r="E42" i="5"/>
  <c r="N50" i="1"/>
  <c r="J18" i="1"/>
  <c r="I18" i="1"/>
  <c r="E18" i="1"/>
  <c r="E52" i="1"/>
  <c r="F52" i="1"/>
  <c r="G55" i="6"/>
  <c r="E54" i="5"/>
  <c r="D52" i="6"/>
  <c r="N52" i="6" s="1"/>
  <c r="V59" i="1"/>
  <c r="V61" i="1"/>
  <c r="E55" i="1"/>
  <c r="F55" i="1"/>
  <c r="F13" i="3"/>
  <c r="F11" i="3"/>
  <c r="F9" i="3"/>
  <c r="F6" i="3"/>
  <c r="D53" i="6"/>
  <c r="N53" i="6" s="1"/>
  <c r="G52" i="6"/>
  <c r="F52" i="6"/>
  <c r="G53" i="5"/>
  <c r="F52" i="5"/>
  <c r="E54" i="6"/>
  <c r="G55" i="5"/>
  <c r="G53" i="6"/>
  <c r="D55" i="6"/>
  <c r="N55" i="6" s="1"/>
  <c r="E53" i="5"/>
  <c r="E55" i="5"/>
  <c r="G54" i="5"/>
  <c r="E53" i="6"/>
  <c r="D54" i="6"/>
  <c r="N54" i="6" s="1"/>
  <c r="G54" i="6"/>
  <c r="E55" i="6"/>
  <c r="G52" i="5"/>
  <c r="E52" i="5"/>
  <c r="E52" i="6"/>
  <c r="E37" i="1"/>
  <c r="D51" i="1"/>
  <c r="D50" i="1"/>
  <c r="K4" i="1"/>
  <c r="H59" i="7"/>
  <c r="H44" i="7"/>
  <c r="H38" i="7"/>
  <c r="H37" i="7"/>
  <c r="H36" i="7"/>
  <c r="H35" i="7"/>
  <c r="H33" i="7"/>
  <c r="H32" i="7"/>
  <c r="H31" i="7"/>
  <c r="H30" i="7"/>
  <c r="H29" i="7"/>
  <c r="H18" i="7"/>
  <c r="H16" i="7"/>
  <c r="H13" i="7"/>
  <c r="H12" i="7"/>
  <c r="H59" i="6"/>
  <c r="H44" i="6"/>
  <c r="H38" i="6"/>
  <c r="H37" i="6"/>
  <c r="H36" i="6"/>
  <c r="H35" i="6"/>
  <c r="H33" i="6"/>
  <c r="F33" i="6"/>
  <c r="H32" i="6"/>
  <c r="F32" i="6"/>
  <c r="H31" i="6"/>
  <c r="H30" i="6"/>
  <c r="H29" i="6"/>
  <c r="F29" i="6"/>
  <c r="F27" i="6"/>
  <c r="F26" i="6"/>
  <c r="F25" i="6"/>
  <c r="F24" i="6"/>
  <c r="F23" i="6"/>
  <c r="F22" i="6"/>
  <c r="F21" i="6"/>
  <c r="F20" i="6"/>
  <c r="H18" i="6"/>
  <c r="H16" i="6"/>
  <c r="H13" i="6"/>
  <c r="F13" i="6"/>
  <c r="H12" i="6"/>
  <c r="F12" i="6"/>
  <c r="H44" i="5"/>
  <c r="H38" i="5"/>
  <c r="H37" i="5"/>
  <c r="H36" i="5"/>
  <c r="H35" i="5"/>
  <c r="H33" i="5"/>
  <c r="F33" i="5"/>
  <c r="H32" i="5"/>
  <c r="F32" i="5"/>
  <c r="H31" i="5"/>
  <c r="H30" i="5"/>
  <c r="H29" i="5"/>
  <c r="F29" i="5"/>
  <c r="F27" i="5"/>
  <c r="F26" i="5"/>
  <c r="F25" i="5"/>
  <c r="F24" i="5"/>
  <c r="F23" i="5"/>
  <c r="F22" i="5"/>
  <c r="F21" i="5"/>
  <c r="F20" i="5"/>
  <c r="H18" i="5"/>
  <c r="H16" i="5"/>
  <c r="H13" i="5"/>
  <c r="F13" i="5"/>
  <c r="H12" i="5"/>
  <c r="F12" i="5"/>
  <c r="H35" i="4"/>
  <c r="D35" i="4"/>
  <c r="D35" i="6" s="1"/>
  <c r="H33" i="4"/>
  <c r="F33" i="4"/>
  <c r="D33" i="4"/>
  <c r="D33" i="6" s="1"/>
  <c r="F32" i="4"/>
  <c r="H29" i="4"/>
  <c r="F29" i="4"/>
  <c r="D29" i="4"/>
  <c r="F27" i="4"/>
  <c r="F26" i="4"/>
  <c r="F25" i="4"/>
  <c r="F24" i="4"/>
  <c r="D24" i="6"/>
  <c r="F23" i="4"/>
  <c r="F22" i="4"/>
  <c r="F21" i="4"/>
  <c r="F20" i="4"/>
  <c r="H13" i="4"/>
  <c r="F13" i="4"/>
  <c r="D13" i="4"/>
  <c r="D13" i="7" s="1"/>
  <c r="H12" i="4"/>
  <c r="F12" i="4"/>
  <c r="D12" i="4"/>
  <c r="E42" i="1"/>
  <c r="F42" i="1"/>
  <c r="E38" i="1"/>
  <c r="E39" i="1"/>
  <c r="F37" i="1"/>
  <c r="F37" i="6"/>
  <c r="I37" i="1"/>
  <c r="J37" i="1"/>
  <c r="I40" i="1"/>
  <c r="J40" i="1"/>
  <c r="I39" i="1"/>
  <c r="J39" i="1"/>
  <c r="E41" i="1"/>
  <c r="F41" i="1"/>
  <c r="F41" i="6"/>
  <c r="F49" i="1"/>
  <c r="F49" i="6"/>
  <c r="E58" i="1"/>
  <c r="F58" i="1"/>
  <c r="E57" i="1"/>
  <c r="F57" i="1"/>
  <c r="E56" i="1"/>
  <c r="F56" i="1"/>
  <c r="E45" i="1"/>
  <c r="F45" i="1"/>
  <c r="E16" i="1"/>
  <c r="F16" i="1"/>
  <c r="F16" i="6"/>
  <c r="E14" i="1"/>
  <c r="F14" i="1"/>
  <c r="F14" i="6" s="1"/>
  <c r="B39" i="1"/>
  <c r="B40" i="1"/>
  <c r="E36" i="1"/>
  <c r="F36" i="1"/>
  <c r="F36" i="6"/>
  <c r="E35" i="1"/>
  <c r="F35" i="1"/>
  <c r="F35" i="6"/>
  <c r="E31" i="1"/>
  <c r="F31" i="1"/>
  <c r="F31" i="6"/>
  <c r="E30" i="1"/>
  <c r="F30" i="1"/>
  <c r="F30" i="6"/>
  <c r="H37" i="1"/>
  <c r="F28" i="1"/>
  <c r="F18" i="1"/>
  <c r="F57" i="6"/>
  <c r="F57" i="5"/>
  <c r="F58" i="6"/>
  <c r="F58" i="5"/>
  <c r="F44" i="6"/>
  <c r="F42" i="6"/>
  <c r="F42" i="5"/>
  <c r="D50" i="7"/>
  <c r="O50" i="1"/>
  <c r="P50" i="1"/>
  <c r="F46" i="6"/>
  <c r="F43" i="6"/>
  <c r="F43" i="5"/>
  <c r="D36" i="7"/>
  <c r="F38" i="1"/>
  <c r="F38" i="6"/>
  <c r="F56" i="6"/>
  <c r="F53" i="6"/>
  <c r="F53" i="5"/>
  <c r="F60" i="6"/>
  <c r="F55" i="6"/>
  <c r="F55" i="5"/>
  <c r="F18" i="6"/>
  <c r="F28" i="6"/>
  <c r="F59" i="6"/>
  <c r="F54" i="6"/>
  <c r="F54" i="5"/>
  <c r="F18" i="4"/>
  <c r="F28" i="4"/>
  <c r="F18" i="5"/>
  <c r="F28" i="5"/>
  <c r="F51" i="5"/>
  <c r="F51" i="6"/>
  <c r="D51" i="6"/>
  <c r="E51" i="5"/>
  <c r="D50" i="6"/>
  <c r="E51" i="6"/>
  <c r="D20" i="6"/>
  <c r="D22" i="6"/>
  <c r="D26" i="6"/>
  <c r="D28" i="6"/>
  <c r="D32" i="6"/>
  <c r="D37" i="6"/>
  <c r="D59" i="6"/>
  <c r="E16" i="5"/>
  <c r="E20" i="5"/>
  <c r="E22" i="5"/>
  <c r="E24" i="5"/>
  <c r="E26" i="5"/>
  <c r="E28" i="5"/>
  <c r="E32" i="5"/>
  <c r="E35" i="5"/>
  <c r="E37" i="5"/>
  <c r="E39" i="5"/>
  <c r="E44" i="5"/>
  <c r="E56" i="5"/>
  <c r="G12" i="5"/>
  <c r="G18" i="5"/>
  <c r="G21" i="5"/>
  <c r="G23" i="5"/>
  <c r="G25" i="5"/>
  <c r="G27" i="5"/>
  <c r="G29" i="5"/>
  <c r="G31" i="5"/>
  <c r="G33" i="5"/>
  <c r="G36" i="5"/>
  <c r="G40" i="5"/>
  <c r="G41" i="5"/>
  <c r="G46" i="5"/>
  <c r="G59" i="5"/>
  <c r="E16" i="6"/>
  <c r="E31" i="6"/>
  <c r="G35" i="6"/>
  <c r="E36" i="6"/>
  <c r="G39" i="6"/>
  <c r="E40" i="6"/>
  <c r="G41" i="6"/>
  <c r="E44" i="6"/>
  <c r="G46" i="6"/>
  <c r="E56" i="6"/>
  <c r="G59" i="6"/>
  <c r="D18" i="6"/>
  <c r="D23" i="6"/>
  <c r="D27" i="6"/>
  <c r="D31" i="6"/>
  <c r="D36" i="6"/>
  <c r="D40" i="6"/>
  <c r="D46" i="6"/>
  <c r="B45" i="10" s="1"/>
  <c r="D16" i="6"/>
  <c r="D44" i="6"/>
  <c r="D49" i="6"/>
  <c r="D56" i="6"/>
  <c r="E18" i="5"/>
  <c r="E21" i="5"/>
  <c r="E23" i="5"/>
  <c r="E25" i="5"/>
  <c r="E27" i="5"/>
  <c r="E31" i="5"/>
  <c r="E36" i="5"/>
  <c r="E40" i="5"/>
  <c r="E41" i="5"/>
  <c r="E46" i="5"/>
  <c r="E59" i="5"/>
  <c r="G16" i="5"/>
  <c r="G20" i="5"/>
  <c r="G22" i="5"/>
  <c r="G24" i="5"/>
  <c r="G26" i="5"/>
  <c r="G28" i="5"/>
  <c r="G32" i="5"/>
  <c r="G35" i="5"/>
  <c r="G39" i="5"/>
  <c r="G44" i="5"/>
  <c r="G56" i="5"/>
  <c r="G12" i="6"/>
  <c r="G13" i="6"/>
  <c r="G16" i="6"/>
  <c r="E18" i="6"/>
  <c r="G18" i="6"/>
  <c r="E20" i="6"/>
  <c r="G20" i="6"/>
  <c r="E21" i="6"/>
  <c r="G21" i="6"/>
  <c r="E22" i="6"/>
  <c r="G22" i="6"/>
  <c r="E23" i="6"/>
  <c r="G23" i="6"/>
  <c r="E24" i="6"/>
  <c r="G24" i="6"/>
  <c r="E25" i="6"/>
  <c r="G25" i="6"/>
  <c r="E26" i="6"/>
  <c r="G26" i="6"/>
  <c r="E27" i="6"/>
  <c r="G27" i="6"/>
  <c r="E28" i="6"/>
  <c r="G28" i="6"/>
  <c r="E29" i="6"/>
  <c r="G31" i="6"/>
  <c r="E32" i="6"/>
  <c r="G32" i="6"/>
  <c r="G33" i="6"/>
  <c r="E35" i="6"/>
  <c r="G36" i="6"/>
  <c r="E37" i="6"/>
  <c r="E39" i="6"/>
  <c r="G40" i="6"/>
  <c r="E41" i="6"/>
  <c r="G44" i="6"/>
  <c r="E46" i="6"/>
  <c r="G56" i="6"/>
  <c r="E59" i="6"/>
  <c r="D21" i="6"/>
  <c r="D29" i="6"/>
  <c r="D41" i="6"/>
  <c r="F16" i="4"/>
  <c r="F31" i="4"/>
  <c r="F35" i="4"/>
  <c r="F36" i="4"/>
  <c r="F59" i="4"/>
  <c r="F16" i="5"/>
  <c r="F30" i="5"/>
  <c r="F31" i="5"/>
  <c r="F35" i="5"/>
  <c r="F36" i="5"/>
  <c r="F37" i="5"/>
  <c r="F38" i="5"/>
  <c r="F41" i="5"/>
  <c r="F44" i="5"/>
  <c r="F46" i="5"/>
  <c r="F49" i="5"/>
  <c r="F56" i="5"/>
  <c r="F59" i="5"/>
  <c r="E40" i="1"/>
  <c r="F40" i="1"/>
  <c r="F39" i="1"/>
  <c r="D39" i="6"/>
  <c r="G51" i="6"/>
  <c r="E50" i="6"/>
  <c r="E50" i="5"/>
  <c r="G50" i="5"/>
  <c r="F50" i="6"/>
  <c r="F50" i="5"/>
  <c r="G51" i="5"/>
  <c r="G50" i="6"/>
  <c r="F40" i="6"/>
  <c r="F40" i="5"/>
  <c r="F40" i="4"/>
  <c r="F39" i="6"/>
  <c r="F39" i="5"/>
  <c r="F39" i="4"/>
  <c r="E33" i="6" l="1"/>
  <c r="E13" i="6"/>
  <c r="E12" i="6"/>
  <c r="G13" i="5"/>
  <c r="D13" i="6"/>
  <c r="G28" i="7"/>
  <c r="D63" i="7"/>
  <c r="D60" i="7"/>
  <c r="D62" i="7"/>
  <c r="E63" i="7"/>
  <c r="E62" i="7"/>
  <c r="E60" i="7"/>
  <c r="E47" i="7"/>
  <c r="E45" i="7"/>
  <c r="G59" i="7"/>
  <c r="G63" i="7"/>
  <c r="G62" i="7"/>
  <c r="G60" i="7"/>
  <c r="G47" i="7"/>
  <c r="G45" i="7"/>
  <c r="G43" i="7"/>
  <c r="E39" i="7"/>
  <c r="E38" i="7"/>
  <c r="E30" i="7"/>
  <c r="G55" i="7"/>
  <c r="G38" i="7"/>
  <c r="G37" i="7"/>
  <c r="G30" i="7"/>
  <c r="D42" i="7"/>
  <c r="D30" i="7"/>
  <c r="D38" i="7"/>
  <c r="D29" i="7"/>
  <c r="D46" i="7"/>
  <c r="E20" i="7"/>
  <c r="G20" i="7"/>
  <c r="G21" i="7"/>
  <c r="G24" i="7"/>
  <c r="G25" i="7"/>
  <c r="D56" i="7"/>
  <c r="D49" i="7"/>
  <c r="D44" i="7"/>
  <c r="D16" i="7"/>
  <c r="D59" i="7"/>
  <c r="D32" i="7"/>
  <c r="D28" i="7"/>
  <c r="D26" i="7"/>
  <c r="D24" i="7"/>
  <c r="D39" i="7"/>
  <c r="D20" i="7"/>
  <c r="D21" i="7"/>
  <c r="D27" i="7"/>
  <c r="D31" i="7"/>
  <c r="D33" i="7"/>
  <c r="D52" i="7"/>
  <c r="E24" i="7"/>
  <c r="E35" i="7"/>
  <c r="E37" i="7"/>
  <c r="D54" i="7"/>
  <c r="D55" i="7"/>
  <c r="E16" i="7"/>
  <c r="E22" i="7"/>
  <c r="E26" i="7"/>
  <c r="E32" i="7"/>
  <c r="G12" i="7"/>
  <c r="G16" i="7"/>
  <c r="G18" i="7"/>
  <c r="G22" i="7"/>
  <c r="G23" i="7"/>
  <c r="G26" i="7"/>
  <c r="G27" i="7"/>
  <c r="G29" i="7"/>
  <c r="G32" i="7"/>
  <c r="G35" i="7"/>
  <c r="G36" i="7"/>
  <c r="G39" i="7"/>
  <c r="G40" i="7"/>
  <c r="G41" i="7"/>
  <c r="G46" i="7"/>
  <c r="G53" i="7"/>
  <c r="G51" i="7"/>
  <c r="D34" i="7"/>
  <c r="D45" i="7"/>
  <c r="D47" i="7"/>
  <c r="D37" i="7"/>
  <c r="D35" i="7"/>
  <c r="D40" i="7"/>
  <c r="D12" i="7"/>
  <c r="D18" i="7"/>
  <c r="D23" i="7"/>
  <c r="D25" i="7"/>
  <c r="D41" i="7"/>
  <c r="D51" i="7"/>
  <c r="D53" i="7"/>
  <c r="D43" i="7"/>
  <c r="E12" i="7"/>
  <c r="E13" i="7"/>
  <c r="E18" i="7"/>
  <c r="E21" i="7"/>
  <c r="E23" i="7"/>
  <c r="E25" i="7"/>
  <c r="E27" i="7"/>
  <c r="E29" i="7"/>
  <c r="E31" i="7"/>
  <c r="E33" i="7"/>
  <c r="E34" i="7"/>
  <c r="E36" i="7"/>
  <c r="E41" i="7"/>
  <c r="E43" i="7"/>
  <c r="E46" i="7"/>
  <c r="E51" i="7"/>
  <c r="E53" i="7"/>
  <c r="E55" i="7"/>
  <c r="E57" i="7"/>
  <c r="E59" i="7"/>
  <c r="D57" i="7"/>
  <c r="I56" i="6"/>
  <c r="D25" i="6"/>
  <c r="D12" i="6"/>
  <c r="E40" i="7"/>
  <c r="E42" i="7"/>
  <c r="G42" i="7"/>
  <c r="E44" i="7"/>
  <c r="G44" i="7"/>
  <c r="E48" i="7"/>
  <c r="G48" i="7"/>
  <c r="E50" i="7"/>
  <c r="G50" i="7"/>
  <c r="E52" i="7"/>
  <c r="G52" i="7"/>
  <c r="E54" i="7"/>
  <c r="G54" i="7"/>
  <c r="E56" i="7"/>
  <c r="G56" i="7"/>
  <c r="E58" i="7"/>
  <c r="G58" i="7"/>
  <c r="D58" i="7"/>
  <c r="D46" i="10"/>
  <c r="F46" i="10" s="1"/>
  <c r="G46" i="10"/>
  <c r="I46" i="10" s="1"/>
  <c r="D48" i="7"/>
  <c r="D45" i="10"/>
  <c r="F45" i="10" s="1"/>
  <c r="B48" i="10"/>
  <c r="B47" i="10"/>
  <c r="D47" i="10" s="1"/>
  <c r="F47" i="10" s="1"/>
  <c r="D19" i="7"/>
  <c r="D22" i="7"/>
  <c r="D17" i="7"/>
  <c r="F14" i="5"/>
  <c r="F14" i="4"/>
  <c r="I49" i="6"/>
  <c r="H56" i="6"/>
  <c r="D15" i="7"/>
  <c r="D15" i="6"/>
  <c r="D70" i="5"/>
  <c r="D63" i="5" l="1"/>
  <c r="D62" i="5"/>
  <c r="D60" i="5"/>
  <c r="E72" i="7"/>
  <c r="D38" i="5"/>
  <c r="D30" i="5"/>
  <c r="W47" i="11"/>
  <c r="W42" i="11"/>
  <c r="W37" i="11"/>
  <c r="W32" i="11"/>
  <c r="W27" i="11"/>
  <c r="W22" i="11"/>
  <c r="W17" i="11"/>
  <c r="W12" i="11"/>
  <c r="W45" i="11"/>
  <c r="W40" i="11"/>
  <c r="W35" i="11"/>
  <c r="W30" i="11"/>
  <c r="W25" i="11"/>
  <c r="W20" i="11"/>
  <c r="W15" i="11"/>
  <c r="W10" i="11"/>
  <c r="D45" i="5"/>
  <c r="D47" i="5"/>
  <c r="H56" i="7"/>
  <c r="I56" i="7"/>
  <c r="G48" i="10"/>
  <c r="B49" i="10"/>
  <c r="D48" i="10"/>
  <c r="D51" i="5"/>
  <c r="D57" i="5"/>
  <c r="D15" i="5"/>
  <c r="D22" i="5"/>
  <c r="D56" i="5"/>
  <c r="D25" i="5"/>
  <c r="D41" i="5"/>
  <c r="D16" i="5"/>
  <c r="D50" i="5"/>
  <c r="D26" i="5"/>
  <c r="D42" i="5"/>
  <c r="D13" i="5"/>
  <c r="D23" i="5"/>
  <c r="D31" i="5"/>
  <c r="D39" i="5"/>
  <c r="D49" i="5"/>
  <c r="D12" i="5"/>
  <c r="D28" i="5"/>
  <c r="D44" i="5"/>
  <c r="D48" i="5"/>
  <c r="D29" i="5"/>
  <c r="D46" i="5"/>
  <c r="D24" i="5"/>
  <c r="D58" i="5"/>
  <c r="D40" i="5"/>
  <c r="D21" i="5"/>
  <c r="D33" i="5"/>
  <c r="D53" i="5"/>
  <c r="D32" i="5"/>
  <c r="D18" i="5"/>
  <c r="D34" i="5"/>
  <c r="D52" i="5"/>
  <c r="D19" i="5"/>
  <c r="D27" i="5"/>
  <c r="D35" i="5"/>
  <c r="D43" i="5"/>
  <c r="D55" i="5"/>
  <c r="D20" i="5"/>
  <c r="D36" i="5"/>
  <c r="D54" i="5"/>
  <c r="D17" i="5"/>
  <c r="D37" i="5"/>
  <c r="D59" i="5"/>
  <c r="I49" i="5" l="1"/>
  <c r="D49" i="10"/>
  <c r="F48" i="10"/>
  <c r="F49" i="10" s="1"/>
  <c r="I48" i="10"/>
  <c r="G47" i="10"/>
  <c r="I47" i="10" s="1"/>
  <c r="I56" i="5"/>
  <c r="H56" i="5"/>
  <c r="D14" i="7"/>
  <c r="D14" i="5"/>
  <c r="D14" i="6"/>
  <c r="G49" i="10" l="1"/>
  <c r="I49" i="10" s="1"/>
  <c r="G45" i="10"/>
  <c r="I45" i="10" s="1"/>
</calcChain>
</file>

<file path=xl/sharedStrings.xml><?xml version="1.0" encoding="utf-8"?>
<sst xmlns="http://schemas.openxmlformats.org/spreadsheetml/2006/main" count="749" uniqueCount="288">
  <si>
    <t>PM5C11A</t>
  </si>
  <si>
    <t>TAGGON</t>
  </si>
  <si>
    <t>HDTAGG</t>
  </si>
  <si>
    <t>TAGGER MAGNET</t>
  </si>
  <si>
    <t>HODPL1</t>
  </si>
  <si>
    <t>HODPL2</t>
  </si>
  <si>
    <t>HODPL3</t>
  </si>
  <si>
    <t>HODPL4</t>
  </si>
  <si>
    <t>HODPL5</t>
  </si>
  <si>
    <t>HODPL6</t>
  </si>
  <si>
    <t>HODPL7</t>
  </si>
  <si>
    <t>HODPL8</t>
  </si>
  <si>
    <t>TAGRAD</t>
  </si>
  <si>
    <t>X</t>
  </si>
  <si>
    <t>Y</t>
  </si>
  <si>
    <t>HDFCAL</t>
  </si>
  <si>
    <t>HDFTOF</t>
  </si>
  <si>
    <t>HD_CDC</t>
  </si>
  <si>
    <t>HDSTRT</t>
  </si>
  <si>
    <t>HGDETR</t>
  </si>
  <si>
    <t>HGDETL</t>
  </si>
  <si>
    <t>HDPRSP</t>
  </si>
  <si>
    <t>HDPBHA</t>
  </si>
  <si>
    <t>HDSOL_</t>
  </si>
  <si>
    <t>PM5C11C</t>
  </si>
  <si>
    <t>MCOAD01</t>
  </si>
  <si>
    <t>MCOAD02</t>
  </si>
  <si>
    <t>MSWAD01</t>
  </si>
  <si>
    <t>MSWAD02</t>
  </si>
  <si>
    <t>DISCRIPTION</t>
  </si>
  <si>
    <t>COMPONENT</t>
  </si>
  <si>
    <t>Z</t>
  </si>
  <si>
    <t>YAW</t>
  </si>
  <si>
    <t>PITCH</t>
  </si>
  <si>
    <t>ROLL</t>
  </si>
  <si>
    <t xml:space="preserve">YAW </t>
  </si>
  <si>
    <t>DELTA ANGLE (DEG)</t>
  </si>
  <si>
    <t>V WIRE</t>
  </si>
  <si>
    <t>H WIRE</t>
  </si>
  <si>
    <t>TGT1</t>
  </si>
  <si>
    <t>TGT2</t>
  </si>
  <si>
    <t>TGT3</t>
  </si>
  <si>
    <t>HDMICR</t>
  </si>
  <si>
    <t>TAGGER MICROSCOPE US CENTER</t>
  </si>
  <si>
    <t>COLLIMATOR CAVE PROFILER</t>
  </si>
  <si>
    <t>HDBCAL</t>
  </si>
  <si>
    <t xml:space="preserve"> </t>
  </si>
  <si>
    <t>MACHINE COORDINATE USED FOR IDEAL(M)</t>
  </si>
  <si>
    <t>ENCODER/STEP COUNT</t>
  </si>
  <si>
    <t>BPMBOX US TAGGER SHIELD WALL</t>
  </si>
  <si>
    <t>BPMBOX DS TAGGER SHIELD WALL</t>
  </si>
  <si>
    <t>AMORPHOUS RADIATOR</t>
  </si>
  <si>
    <t>COLLIMATOR CAVE PIN HOLE COLLIMATOR</t>
  </si>
  <si>
    <t>COLLIMATOR CAVE 2ND COLLIMATOR</t>
  </si>
  <si>
    <t>COLLIMATOR CAVE SWEEPER MAGNET 1</t>
  </si>
  <si>
    <t>COLLIMATOR CAVE SWEEPER MAGNET 2</t>
  </si>
  <si>
    <t>PHOTON BEAM HARP</t>
  </si>
  <si>
    <t>PAIR SPECTROMETER MAGNET</t>
  </si>
  <si>
    <t>RIGHT HIGH GRANULARITY DETECTOR</t>
  </si>
  <si>
    <t>LEFT HIGH GRANULARITY DETECTOR</t>
  </si>
  <si>
    <t>RIGHT LOW GRANULARITY DET USBL</t>
  </si>
  <si>
    <t>LEFT LOW GRANULARITY DET USBR</t>
  </si>
  <si>
    <t>SOLENOID (GEOMETRIC CENTER)</t>
  </si>
  <si>
    <t>BARREL CALORIMETER (Sept 2013)</t>
  </si>
  <si>
    <t>CENTRAL DRIFT CHAMBER</t>
  </si>
  <si>
    <t>FORWARD CALORIMETER</t>
  </si>
  <si>
    <t>FORWARD TIME OF FLIGHT</t>
  </si>
  <si>
    <t>Note: The as set offsets are relative to the machine coordinate used for alignment.  A +X is to the beam left, +Z is downstream, +Y is above.  A + yaw angle is ccw looking from above, a + pitch angle is ccw looking from the beam right side, and a + roll angle is cw looking from upstream.</t>
  </si>
  <si>
    <t>Z mm</t>
  </si>
  <si>
    <t>X mm</t>
  </si>
  <si>
    <t>Y mm</t>
  </si>
  <si>
    <t>AS SET OFFSETS BEAM FOLLOWING</t>
  </si>
  <si>
    <t>HODOSCOPE PLT1 US BR TOP</t>
  </si>
  <si>
    <t>HODOSCOPE PLT2 US BR TOP</t>
  </si>
  <si>
    <t>HODOSCOPE PLT3 US BR TOP</t>
  </si>
  <si>
    <t>HODOSCOPE PLT4 US BR TOP</t>
  </si>
  <si>
    <t>HODOSCOPE PLT5 US BR TOP</t>
  </si>
  <si>
    <t>HODOSCOPE PLT6 US BR TOP</t>
  </si>
  <si>
    <t>HODOSCOPE PLT7 US BR TOP</t>
  </si>
  <si>
    <t>HODOSCOPE PLT8 US BR TOP</t>
  </si>
  <si>
    <t>START COUNTER US FACE US FLANGE</t>
  </si>
  <si>
    <t>Hall D 0,0 point</t>
  </si>
  <si>
    <t>dwg dim Z</t>
  </si>
  <si>
    <t>delta(mm)</t>
  </si>
  <si>
    <t>MACHINE COORDINATE(M)</t>
  </si>
  <si>
    <t>LGDETL</t>
  </si>
  <si>
    <t>LGDETR</t>
  </si>
  <si>
    <t>Sol center</t>
  </si>
  <si>
    <t>TAGGER MAGNET (pole center)</t>
  </si>
  <si>
    <t>Note: The as set offsets are relative to the machine coordinate used for alignment.  A +X is to the beam left, +Z is downstream, +Y is above.  A + yaw angle is ccw looking from above, a + pitch angle is ccw looking from the beam right side, and a + roll angle is cw looking from upstream. All coordinates are to the component center unless otherwise specified.</t>
  </si>
  <si>
    <t>START COUNTER US SCINTILLATOR</t>
  </si>
  <si>
    <t>START COUNTER DS SCINTILLATOR</t>
  </si>
  <si>
    <t>START COUNTER US FACE SCINTILLATOR</t>
  </si>
  <si>
    <t>START COUNTER DS FACESCINTILLATOR</t>
  </si>
  <si>
    <t>AMORPHOUS RADIATOR - center of wire and targets</t>
  </si>
  <si>
    <t>TAGGER MAGNET - center of pole</t>
  </si>
  <si>
    <t>HODOSCOPE PLT1 US BR TOP corner of plate - see dwgs D00000-19-01-2003 - 2010 for scint. Locations</t>
  </si>
  <si>
    <t>COLLIMATOR CAVE PROFILER center of US face</t>
  </si>
  <si>
    <t>COLLIMATOR CAVE PIN HOLE COLLIMATOR - center of block in X,Y and Z</t>
  </si>
  <si>
    <t>COLLIMATOR CAVE 2ND COLLIMATOR - center of block in X,Y and Z</t>
  </si>
  <si>
    <t>PHOTON BEAM HARP - center of wire and targets in Pair convertor</t>
  </si>
  <si>
    <t>PAIR SPECTROMETER MAGNET - center of magnet steel</t>
  </si>
  <si>
    <t>TAGGER MICROSCOPE US CENTER face of 1st scintillator 1/2 bundle (15 fibers, 3x5 array)</t>
  </si>
  <si>
    <t>CENTER HALL PROFILER (TEMP) - center of ustream face</t>
  </si>
  <si>
    <t>START COUNTER US FACE US FLANGE - just a reference</t>
  </si>
  <si>
    <t>START COUNTER US FACE SCINTILLATOR - center of upstream edge of scintillator</t>
  </si>
  <si>
    <t>START COUNTER DS FACESCINTILLATOR - center of downstream edge of scintillator</t>
  </si>
  <si>
    <t>CENTRAL DRIFT CHAMBER - center of active area of detector</t>
  </si>
  <si>
    <t>FORWARD CALORIMETER - center of upstream face of lead/glass blocks</t>
  </si>
  <si>
    <t>FORWARD TIME OF FLIGHT - center of upstream face of scintilaator</t>
  </si>
  <si>
    <t>BARREL CALORIMETER (Sept 2013) - geometric center of barrel</t>
  </si>
  <si>
    <t>FDC Package 1 center</t>
  </si>
  <si>
    <t>FDC Package 2 center</t>
  </si>
  <si>
    <t>FDC Package 3 center</t>
  </si>
  <si>
    <t>FDC Package 4 center</t>
  </si>
  <si>
    <t>FDC Packages</t>
  </si>
  <si>
    <t>1US</t>
  </si>
  <si>
    <t>1DS</t>
  </si>
  <si>
    <t>2US</t>
  </si>
  <si>
    <t>2DS</t>
  </si>
  <si>
    <t>3US</t>
  </si>
  <si>
    <t>3DS</t>
  </si>
  <si>
    <t>4US</t>
  </si>
  <si>
    <t>4DS</t>
  </si>
  <si>
    <t>y</t>
  </si>
  <si>
    <t>z</t>
  </si>
  <si>
    <t>x (m)</t>
  </si>
  <si>
    <t>data for outside surface of aluminum flange</t>
  </si>
  <si>
    <t>longer than dwg</t>
  </si>
  <si>
    <t>width of package 1</t>
  </si>
  <si>
    <t>width of package 3</t>
  </si>
  <si>
    <t>width of package 2</t>
  </si>
  <si>
    <t>width of package 4</t>
  </si>
  <si>
    <t>ave FDC package length</t>
  </si>
  <si>
    <t>nominal per dwg</t>
  </si>
  <si>
    <t>mm longer per package</t>
  </si>
  <si>
    <t>FDC Package 1 center based on bisect of US and DS stiffening ring on each package with 0A in solenoid</t>
  </si>
  <si>
    <t>FDC Package 2 center based on bisect of US and DS stiffening ring on each package with 0A in solenoid</t>
  </si>
  <si>
    <t>FDC Package 3 center based on bisect of US and DS stiffening ring on each package with 0A in solenoid</t>
  </si>
  <si>
    <t>FDC Package 4 center based on bisect of US and DS stiffening ring on each package with 0A in solenoid</t>
  </si>
  <si>
    <t>Hovanes has info</t>
  </si>
  <si>
    <t>Solenoid US steel face</t>
  </si>
  <si>
    <t>Solenoid DS steel face</t>
  </si>
  <si>
    <t>SOLENOID (GEOMETRIC CENTER) and US and DS faces of steel</t>
  </si>
  <si>
    <t>Measured MACHINE COORDINATE(M)</t>
  </si>
  <si>
    <t>DWG IDEAL</t>
  </si>
  <si>
    <t>See drawing D000000000-4002 for Ideal Detector Locations</t>
  </si>
  <si>
    <t>CENTRAL DRIFT CHAMBER (active center)</t>
  </si>
  <si>
    <t>CDC US active area</t>
  </si>
  <si>
    <t>CDC DS active area</t>
  </si>
  <si>
    <t>Hydrogen TARGET</t>
  </si>
  <si>
    <t>HTAR</t>
  </si>
  <si>
    <t>Scattering chamber DS window</t>
  </si>
  <si>
    <t>length of solenoid</t>
  </si>
  <si>
    <t>Hovanes has data for each diamond and foil</t>
  </si>
  <si>
    <t>TAGGER GONIOMETER FOIL</t>
  </si>
  <si>
    <t>GONIOMETER DIAMONDS</t>
  </si>
  <si>
    <t>see "Goni Foils-Diamonds" Sheet</t>
  </si>
  <si>
    <t>See "Goni Foils-Diamonds" sheet in this file</t>
  </si>
  <si>
    <t>CDC projected US active area</t>
  </si>
  <si>
    <t>CDC projected DS active area</t>
  </si>
  <si>
    <t>POLARIMETER</t>
  </si>
  <si>
    <t>TAGGER MAGNET - Pole entrance</t>
  </si>
  <si>
    <t>TAGGER MAGNET - pole center</t>
  </si>
  <si>
    <t>TAGGER MAGNET - pole entrance - intersection between base of Rogowski and beam centerline</t>
  </si>
  <si>
    <t>TAGGER QUAD (MQPAD00)</t>
  </si>
  <si>
    <t>TAGGER QUAD - center of quad (MPQAD00)</t>
  </si>
  <si>
    <t>RIGHT HIGH GRANULARITY DETECTOR -  inner upstream edge of 1st counter at vertical center</t>
  </si>
  <si>
    <t>LEFT HIGH GRANULARITY DETECTOR -  inner upstream edge of 1st counter at vertical center</t>
  </si>
  <si>
    <t>RIGHT LOW GRANULARITY DET USBL -  inner upstream edge of 1st counter at vertical center</t>
  </si>
  <si>
    <t>LEFT LOW GRANULARITY DET USBR - inner upstream edge of 1st counter at vertical center (see dwg D000000000-1002)</t>
  </si>
  <si>
    <t>This data represents data from Feb 2015 - updates since then are done on the individual sheets in machine coordinates</t>
  </si>
  <si>
    <t>DS HALL PROFILER - center of upstream face</t>
  </si>
  <si>
    <t>HALL D 0,0 point is 20 inches downstream of the as measured US face of the solenoid.</t>
  </si>
  <si>
    <t>All Z points relative to the current as found foil Z position</t>
  </si>
  <si>
    <t>X and Y points are relative to the theoretical beam centerline</t>
  </si>
  <si>
    <t>Hall D 0,0 point (as currently measured)</t>
  </si>
  <si>
    <t>Target DS window</t>
  </si>
  <si>
    <t>Target US window</t>
  </si>
  <si>
    <t>Hydrogen TARGET center</t>
  </si>
  <si>
    <t>delta</t>
  </si>
  <si>
    <t>cold/vac change calc</t>
  </si>
  <si>
    <t>mod delta</t>
  </si>
  <si>
    <t>Target Length</t>
  </si>
  <si>
    <t>Survey as found warm</t>
  </si>
  <si>
    <t>Simon's vertex cold</t>
  </si>
  <si>
    <t>Info from Target group warm</t>
  </si>
  <si>
    <t>Info from Target group cold-vac</t>
  </si>
  <si>
    <t>New delta</t>
  </si>
  <si>
    <t>This is original data from Feb 2015</t>
  </si>
  <si>
    <t xml:space="preserve"> TIME OF FLIGHT</t>
  </si>
  <si>
    <t>TAGGER GONIOMETER fOILS and wire - 3 mm US of Goni Ring face</t>
  </si>
  <si>
    <t xml:space="preserve">GONIOMETER DIAMONDS - 2mm UPSTREAM OF RING FACE </t>
  </si>
  <si>
    <t>POLARIMETER - center of detector portion</t>
  </si>
  <si>
    <t>HYDROGEN TARGET center</t>
  </si>
  <si>
    <t>Hydrogen target US window</t>
  </si>
  <si>
    <t>Hydrogen Target DS window</t>
  </si>
  <si>
    <t>Hodo measure</t>
  </si>
  <si>
    <t>OFFSET FROM IDEAL ALONG THE 8.05 DEG BEAM LINE</t>
  </si>
  <si>
    <t>AS FOUND MACHINE COORDS</t>
  </si>
  <si>
    <t xml:space="preserve">IDEALS (MACHINE) </t>
  </si>
  <si>
    <t>LOCATION</t>
  </si>
  <si>
    <t>Z M</t>
  </si>
  <si>
    <t>X M</t>
  </si>
  <si>
    <t>Y M</t>
  </si>
  <si>
    <t>MICROSCOPE</t>
  </si>
  <si>
    <t>YawPitchRoll</t>
  </si>
  <si>
    <t>REPEAT</t>
  </si>
  <si>
    <t>(repeat)</t>
  </si>
  <si>
    <t>HODOSCOPES</t>
  </si>
  <si>
    <t>H1USBR</t>
  </si>
  <si>
    <t>H1USBL</t>
  </si>
  <si>
    <t>H1DSBR</t>
  </si>
  <si>
    <t>H1DSBL</t>
  </si>
  <si>
    <t>H2USBR</t>
  </si>
  <si>
    <t>H2USBL</t>
  </si>
  <si>
    <t>H2DSBR</t>
  </si>
  <si>
    <t>H2DSBL</t>
  </si>
  <si>
    <t>H3USBR</t>
  </si>
  <si>
    <t>H3USBL</t>
  </si>
  <si>
    <t>H3DSBR</t>
  </si>
  <si>
    <t>H3DSBL</t>
  </si>
  <si>
    <t>H4USBR</t>
  </si>
  <si>
    <t>H4USBL</t>
  </si>
  <si>
    <t>H4DSBR</t>
  </si>
  <si>
    <t>H4DSBL</t>
  </si>
  <si>
    <t>H5USBR</t>
  </si>
  <si>
    <t>H5USBL</t>
  </si>
  <si>
    <t>H5DSBR</t>
  </si>
  <si>
    <t>H5DSBL</t>
  </si>
  <si>
    <t>H6USBR</t>
  </si>
  <si>
    <t>H6USBL</t>
  </si>
  <si>
    <t>H6DSBR</t>
  </si>
  <si>
    <t>H6DSBL</t>
  </si>
  <si>
    <t>H7USBR</t>
  </si>
  <si>
    <t>H7USBL</t>
  </si>
  <si>
    <t>H7DSBR</t>
  </si>
  <si>
    <t>H7DSBL</t>
  </si>
  <si>
    <t>H8USBR</t>
  </si>
  <si>
    <t>H8USBL</t>
  </si>
  <si>
    <t>H8DSBR</t>
  </si>
  <si>
    <t>H8DSBL</t>
  </si>
  <si>
    <t>Pitch</t>
  </si>
  <si>
    <t>roll</t>
  </si>
  <si>
    <t>IDEAL relative to goni</t>
  </si>
  <si>
    <t>ZG</t>
  </si>
  <si>
    <t>ZG metric</t>
  </si>
  <si>
    <t>Delta</t>
  </si>
  <si>
    <t>XG</t>
  </si>
  <si>
    <t>XG metric</t>
  </si>
  <si>
    <t>delta  from previous</t>
  </si>
  <si>
    <t>As Found</t>
  </si>
  <si>
    <t>CompCal</t>
  </si>
  <si>
    <t>HTAR (warm)</t>
  </si>
  <si>
    <t xml:space="preserve">Bad meas </t>
  </si>
  <si>
    <t xml:space="preserve"> Bad meas</t>
  </si>
  <si>
    <t>(set)</t>
  </si>
  <si>
    <t>Microscope and Hodo plates 3, 4 and 5 were resurved Jan 2017, all others are from fall 2016 survey.</t>
  </si>
  <si>
    <t>Muon Detector</t>
  </si>
  <si>
    <t>LINE/HALL D Dec 2017 SURVEY REPORT</t>
  </si>
  <si>
    <t>TAC</t>
  </si>
  <si>
    <t>HDTAC</t>
  </si>
  <si>
    <t>Lower DIRC Bbox 1</t>
  </si>
  <si>
    <t>Lower DIRC Bbox 2</t>
  </si>
  <si>
    <t>LDIRC1</t>
  </si>
  <si>
    <t>LDIRC2</t>
  </si>
  <si>
    <t>SC not remeasured, but assumed to move with new target location, used relative data from Oct 2017 measurement</t>
  </si>
  <si>
    <t>Goni Z</t>
  </si>
  <si>
    <t>TAC - center of upstream face</t>
  </si>
  <si>
    <t>Scattering chamber was not remeasured but assumed the same offset from target from previous survey</t>
  </si>
  <si>
    <t>Helium TARGET center</t>
  </si>
  <si>
    <t>Helium target US window</t>
  </si>
  <si>
    <t>Helium Target DS window</t>
  </si>
  <si>
    <t>Hydrogen TARGET - center of target (Target length measured 29.55 cm)</t>
  </si>
  <si>
    <t>ComCal - center of US face of crystal plane</t>
  </si>
  <si>
    <t>Lower DIRC Optical box</t>
  </si>
  <si>
    <t>DIRC Bar Box - Center of aluminum module in Z and Y, 3018.6 mm from beamline side face of the end flange</t>
  </si>
  <si>
    <t xml:space="preserve">Lower DIRC bottom Bbox </t>
  </si>
  <si>
    <t>Lower DIRC Top Bbox</t>
  </si>
  <si>
    <t>this is nominally 33mm US for Bbox center line</t>
  </si>
  <si>
    <t xml:space="preserve">Lower DIRC Top Bbox </t>
  </si>
  <si>
    <t xml:space="preserve">Lower DIRC Bottom Bbox </t>
  </si>
  <si>
    <t>Lower DIRC Bottom Bbox 1</t>
  </si>
  <si>
    <t>Lower DIRC Top Bbox 2</t>
  </si>
  <si>
    <t>Muon Detector not installed</t>
  </si>
  <si>
    <t>Lower DIRC Optical Box</t>
  </si>
  <si>
    <t>DIRC Optical Box - center of beamline side face of Top barbox attachment flange (which lines up with beamline side face of the barbox flange nominally)</t>
  </si>
  <si>
    <t>Items resurveyed prior to Spring 2019 run:  DIRC Lower, ComCal, Tagger Microscope and Target. The beryllium target was installed briefly and can be found in spring 2019 folder.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</si>
</sst>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0"/>
    <numFmt numFmtId="165" formatCode="0.0000"/>
    <numFmt numFmtId="166" formatCode="0.000"/>
    <numFmt numFmtId="167" formatCode="0.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65">
    <xf numFmtId="0" fontId="0" fillId="0" borderId="0" xfId="0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164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 applyAlignment="1"/>
    <xf numFmtId="0" fontId="2" fillId="0" borderId="0" xfId="0" applyFont="1"/>
    <xf numFmtId="0" fontId="3" fillId="0" borderId="0" xfId="0" applyFont="1"/>
    <xf numFmtId="164" fontId="0" fillId="0" borderId="0" xfId="0" applyNumberFormat="1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0" fillId="0" borderId="1" xfId="0" applyBorder="1"/>
    <xf numFmtId="164" fontId="0" fillId="0" borderId="1" xfId="0" applyNumberFormat="1" applyBorder="1"/>
    <xf numFmtId="165" fontId="0" fillId="0" borderId="1" xfId="0" applyNumberFormat="1" applyBorder="1"/>
    <xf numFmtId="2" fontId="0" fillId="0" borderId="1" xfId="0" applyNumberFormat="1" applyBorder="1"/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/>
    </xf>
    <xf numFmtId="166" fontId="0" fillId="0" borderId="0" xfId="0" applyNumberFormat="1"/>
    <xf numFmtId="0" fontId="0" fillId="0" borderId="0" xfId="0" applyAlignment="1">
      <alignment horizontal="center"/>
    </xf>
    <xf numFmtId="167" fontId="0" fillId="0" borderId="0" xfId="0" applyNumberFormat="1"/>
    <xf numFmtId="164" fontId="0" fillId="0" borderId="0" xfId="0" applyNumberFormat="1" applyBorder="1"/>
    <xf numFmtId="0" fontId="0" fillId="0" borderId="1" xfId="0" applyFill="1" applyBorder="1"/>
    <xf numFmtId="0" fontId="0" fillId="0" borderId="0" xfId="0"/>
    <xf numFmtId="166" fontId="0" fillId="0" borderId="0" xfId="0" applyNumberFormat="1"/>
    <xf numFmtId="167" fontId="0" fillId="0" borderId="0" xfId="0" applyNumberFormat="1"/>
    <xf numFmtId="165" fontId="0" fillId="0" borderId="0" xfId="0" applyNumberFormat="1"/>
    <xf numFmtId="1" fontId="0" fillId="0" borderId="0" xfId="0" applyNumberFormat="1"/>
    <xf numFmtId="0" fontId="0" fillId="0" borderId="0" xfId="0"/>
    <xf numFmtId="2" fontId="0" fillId="0" borderId="0" xfId="0" applyNumberFormat="1"/>
    <xf numFmtId="0" fontId="0" fillId="0" borderId="0" xfId="0"/>
    <xf numFmtId="165" fontId="0" fillId="0" borderId="0" xfId="0" applyNumberFormat="1"/>
    <xf numFmtId="0" fontId="0" fillId="0" borderId="2" xfId="0" applyFill="1" applyBorder="1"/>
    <xf numFmtId="0" fontId="0" fillId="0" borderId="0" xfId="0" applyFill="1" applyBorder="1"/>
    <xf numFmtId="0" fontId="0" fillId="2" borderId="1" xfId="0" applyFill="1" applyBorder="1"/>
    <xf numFmtId="0" fontId="0" fillId="2" borderId="0" xfId="0" applyFill="1"/>
    <xf numFmtId="164" fontId="0" fillId="2" borderId="1" xfId="0" applyNumberFormat="1" applyFill="1" applyBorder="1"/>
    <xf numFmtId="165" fontId="0" fillId="2" borderId="1" xfId="0" applyNumberFormat="1" applyFill="1" applyBorder="1"/>
    <xf numFmtId="164" fontId="0" fillId="2" borderId="0" xfId="0" applyNumberFormat="1" applyFill="1"/>
    <xf numFmtId="0" fontId="0" fillId="3" borderId="1" xfId="0" applyFill="1" applyBorder="1"/>
    <xf numFmtId="164" fontId="0" fillId="3" borderId="1" xfId="0" applyNumberFormat="1" applyFill="1" applyBorder="1"/>
    <xf numFmtId="164" fontId="0" fillId="3" borderId="2" xfId="0" applyNumberFormat="1" applyFill="1" applyBorder="1"/>
    <xf numFmtId="165" fontId="0" fillId="3" borderId="1" xfId="0" applyNumberFormat="1" applyFill="1" applyBorder="1"/>
    <xf numFmtId="0" fontId="0" fillId="3" borderId="0" xfId="0" applyFill="1"/>
    <xf numFmtId="0" fontId="0" fillId="0" borderId="0" xfId="0" applyBorder="1"/>
    <xf numFmtId="0" fontId="0" fillId="0" borderId="1" xfId="0" applyFont="1" applyFill="1" applyBorder="1"/>
    <xf numFmtId="0" fontId="0" fillId="0" borderId="0" xfId="0" applyFill="1"/>
    <xf numFmtId="0" fontId="0" fillId="4" borderId="0" xfId="0" applyFill="1"/>
    <xf numFmtId="164" fontId="0" fillId="4" borderId="0" xfId="0" applyNumberFormat="1" applyFill="1"/>
    <xf numFmtId="164" fontId="0" fillId="0" borderId="1" xfId="0" applyNumberFormat="1" applyFill="1" applyBorder="1"/>
    <xf numFmtId="165" fontId="0" fillId="0" borderId="1" xfId="0" applyNumberFormat="1" applyFill="1" applyBorder="1"/>
    <xf numFmtId="164" fontId="0" fillId="0" borderId="0" xfId="0" applyNumberFormat="1" applyFill="1"/>
    <xf numFmtId="0" fontId="0" fillId="2" borderId="0" xfId="0" applyFont="1" applyFill="1" applyAlignment="1">
      <alignment horizontal="right"/>
    </xf>
    <xf numFmtId="0" fontId="4" fillId="2" borderId="1" xfId="0" applyFont="1" applyFill="1" applyBorder="1"/>
    <xf numFmtId="164" fontId="4" fillId="2" borderId="1" xfId="0" applyNumberFormat="1" applyFont="1" applyFill="1" applyBorder="1"/>
    <xf numFmtId="0" fontId="4" fillId="2" borderId="0" xfId="0" applyFont="1" applyFill="1"/>
    <xf numFmtId="0" fontId="0" fillId="3" borderId="3" xfId="0" applyFill="1" applyBorder="1"/>
    <xf numFmtId="164" fontId="0" fillId="3" borderId="3" xfId="0" applyNumberFormat="1" applyFill="1" applyBorder="1"/>
    <xf numFmtId="0" fontId="0" fillId="0" borderId="0" xfId="0" applyAlignment="1">
      <alignment wrapText="1"/>
    </xf>
    <xf numFmtId="0" fontId="0" fillId="0" borderId="0" xfId="0" applyAlignme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365760</xdr:colOff>
          <xdr:row>0</xdr:row>
          <xdr:rowOff>38100</xdr:rowOff>
        </xdr:from>
        <xdr:to>
          <xdr:col>22</xdr:col>
          <xdr:colOff>594360</xdr:colOff>
          <xdr:row>30</xdr:row>
          <xdr:rowOff>152400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10</xdr:col>
      <xdr:colOff>371475</xdr:colOff>
      <xdr:row>35</xdr:row>
      <xdr:rowOff>0</xdr:rowOff>
    </xdr:from>
    <xdr:to>
      <xdr:col>22</xdr:col>
      <xdr:colOff>600075</xdr:colOff>
      <xdr:row>68</xdr:row>
      <xdr:rowOff>114300</xdr:rowOff>
    </xdr:to>
    <xdr:grpSp>
      <xdr:nvGrpSpPr>
        <xdr:cNvPr id="2056" name="Group 8"/>
        <xdr:cNvGrpSpPr>
          <a:grpSpLocks noChangeAspect="1"/>
        </xdr:cNvGrpSpPr>
      </xdr:nvGrpSpPr>
      <xdr:grpSpPr bwMode="auto">
        <a:xfrm rot="-5400000">
          <a:off x="7164705" y="5779770"/>
          <a:ext cx="6149340" cy="7543800"/>
          <a:chOff x="320" y="660"/>
          <a:chExt cx="612" cy="792"/>
        </a:xfrm>
      </xdr:grpSpPr>
      <xdr:sp macro="" textlink="">
        <xdr:nvSpPr>
          <xdr:cNvPr id="2055" name="AutoShape 7"/>
          <xdr:cNvSpPr>
            <a:spLocks noChangeAspect="1" noChangeArrowheads="1" noTextEdit="1"/>
          </xdr:cNvSpPr>
        </xdr:nvSpPr>
        <xdr:spPr bwMode="auto">
          <a:xfrm>
            <a:off x="320" y="660"/>
            <a:ext cx="612" cy="79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miter lim="800000"/>
            <a:headEnd type="none" w="med" len="med"/>
            <a:tailEnd type="none" w="med" len="med"/>
          </a:ln>
        </xdr:spPr>
      </xdr:sp>
      <xdr:pic>
        <xdr:nvPicPr>
          <xdr:cNvPr id="8" name="Pictur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0" y="660"/>
            <a:ext cx="612" cy="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50</xdr:row>
      <xdr:rowOff>54293</xdr:rowOff>
    </xdr:from>
    <xdr:to>
      <xdr:col>12</xdr:col>
      <xdr:colOff>266700</xdr:colOff>
      <xdr:row>95</xdr:row>
      <xdr:rowOff>23813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097" t="14786" r="25147" b="7963"/>
        <a:stretch/>
      </xdr:blipFill>
      <xdr:spPr>
        <a:xfrm>
          <a:off x="0" y="9274493"/>
          <a:ext cx="7581900" cy="81991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0</xdr:rowOff>
        </xdr:from>
        <xdr:to>
          <xdr:col>30</xdr:col>
          <xdr:colOff>365760</xdr:colOff>
          <xdr:row>68</xdr:row>
          <xdr:rowOff>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</xdr:row>
      <xdr:rowOff>57150</xdr:rowOff>
    </xdr:from>
    <xdr:to>
      <xdr:col>12</xdr:col>
      <xdr:colOff>542925</xdr:colOff>
      <xdr:row>48</xdr:row>
      <xdr:rowOff>180976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004" t="16296" r="27678" b="1539"/>
        <a:stretch/>
      </xdr:blipFill>
      <xdr:spPr>
        <a:xfrm>
          <a:off x="800100" y="247650"/>
          <a:ext cx="7058025" cy="9077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83"/>
  <sheetViews>
    <sheetView tabSelected="1" topLeftCell="E23" workbookViewId="0">
      <selection activeCell="A78" sqref="A78"/>
    </sheetView>
  </sheetViews>
  <sheetFormatPr defaultColWidth="9.109375" defaultRowHeight="14.4" x14ac:dyDescent="0.3"/>
  <cols>
    <col min="1" max="1" width="38" style="4" customWidth="1"/>
    <col min="2" max="2" width="12.5546875" style="4" customWidth="1"/>
    <col min="3" max="3" width="3.109375" style="4" customWidth="1"/>
    <col min="4" max="4" width="11.88671875" style="4" customWidth="1"/>
    <col min="5" max="5" width="13.88671875" style="4" bestFit="1" customWidth="1"/>
    <col min="6" max="6" width="11.88671875" style="4" hidden="1" customWidth="1"/>
    <col min="7" max="7" width="11.109375" style="4" customWidth="1"/>
    <col min="8" max="10" width="9.109375" style="4"/>
    <col min="11" max="11" width="2.109375" style="4" customWidth="1"/>
    <col min="12" max="13" width="9.109375" style="4"/>
    <col min="14" max="14" width="9.5546875" style="4" bestFit="1" customWidth="1"/>
    <col min="15" max="16" width="9.109375" style="4"/>
    <col min="17" max="17" width="10.44140625" style="4" customWidth="1"/>
    <col min="18" max="18" width="9.109375" style="4"/>
    <col min="19" max="19" width="10.6640625" style="4" customWidth="1"/>
    <col min="20" max="16384" width="9.109375" style="4"/>
  </cols>
  <sheetData>
    <row r="1" spans="1:16" ht="15" x14ac:dyDescent="0.25">
      <c r="A1" s="4" t="s">
        <v>259</v>
      </c>
    </row>
    <row r="2" spans="1:16" x14ac:dyDescent="0.3">
      <c r="A2" s="61" t="s">
        <v>67</v>
      </c>
      <c r="B2" s="61"/>
      <c r="C2" s="61"/>
      <c r="D2" s="61"/>
    </row>
    <row r="3" spans="1:16" x14ac:dyDescent="0.3">
      <c r="A3" s="61"/>
      <c r="B3" s="61"/>
      <c r="C3" s="61"/>
      <c r="D3" s="61"/>
    </row>
    <row r="4" spans="1:16" x14ac:dyDescent="0.3">
      <c r="A4" s="61"/>
      <c r="B4" s="61"/>
      <c r="C4" s="61"/>
      <c r="D4" s="61"/>
    </row>
    <row r="5" spans="1:16" x14ac:dyDescent="0.3">
      <c r="A5" s="62"/>
      <c r="B5" s="62"/>
      <c r="C5" s="62"/>
      <c r="D5" s="62"/>
    </row>
    <row r="10" spans="1:16" ht="15" x14ac:dyDescent="0.25">
      <c r="A10" s="13" t="s">
        <v>29</v>
      </c>
      <c r="B10" s="14" t="s">
        <v>30</v>
      </c>
      <c r="C10" s="13" t="s">
        <v>145</v>
      </c>
      <c r="D10" s="14" t="s">
        <v>144</v>
      </c>
      <c r="E10" s="14"/>
      <c r="F10" s="14"/>
      <c r="G10" s="14"/>
      <c r="H10" s="15"/>
      <c r="I10" s="13" t="s">
        <v>36</v>
      </c>
      <c r="J10" s="15"/>
      <c r="K10" s="14"/>
      <c r="L10" s="63" t="s">
        <v>48</v>
      </c>
      <c r="M10" s="63"/>
      <c r="N10" s="63"/>
      <c r="O10" s="63"/>
      <c r="P10" s="63"/>
    </row>
    <row r="11" spans="1:16" ht="15" x14ac:dyDescent="0.25">
      <c r="A11" s="15"/>
      <c r="B11" s="15"/>
      <c r="C11" s="15" t="s">
        <v>31</v>
      </c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ht="15" x14ac:dyDescent="0.25">
      <c r="A12" s="15" t="s">
        <v>49</v>
      </c>
      <c r="B12" s="15" t="s">
        <v>0</v>
      </c>
      <c r="C12" s="15" t="s">
        <v>46</v>
      </c>
      <c r="D12" s="16">
        <f>'data from JD'!D12+'data from JD'!N12/1000</f>
        <v>283.51403999999997</v>
      </c>
      <c r="E12" s="16">
        <f>'data from JD'!G12+'data from JD'!O12/1000</f>
        <v>80.599909999999994</v>
      </c>
      <c r="F12" s="16">
        <f>'data from JD'!F12+'data from JD'!P12/1000</f>
        <v>1.84E-4</v>
      </c>
      <c r="G12" s="16">
        <f>'data from JD'!K12+'data from JD'!P12/1000</f>
        <v>104.70018400000001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ht="15" x14ac:dyDescent="0.25">
      <c r="A13" s="15" t="s">
        <v>50</v>
      </c>
      <c r="B13" s="15" t="s">
        <v>24</v>
      </c>
      <c r="C13" s="15"/>
      <c r="D13" s="16">
        <f>'data from JD'!D13+'data from JD'!N13/1000</f>
        <v>297.81904000000003</v>
      </c>
      <c r="E13" s="16">
        <f>'data from JD'!G13+'data from JD'!O13/1000</f>
        <v>80.600020000000001</v>
      </c>
      <c r="F13" s="16">
        <f>'data from JD'!F13+'data from JD'!P13/1000</f>
        <v>-8.9999999999999985E-6</v>
      </c>
      <c r="G13" s="16">
        <f>'data from JD'!K13+'data from JD'!P13/1000</f>
        <v>104.699991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s="46" customFormat="1" ht="15" x14ac:dyDescent="0.25">
      <c r="A14" s="46" t="s">
        <v>155</v>
      </c>
      <c r="B14" s="42" t="s">
        <v>1</v>
      </c>
      <c r="C14" s="42"/>
      <c r="D14" s="43">
        <v>299.08625000000001</v>
      </c>
      <c r="E14" s="46" t="s">
        <v>158</v>
      </c>
      <c r="F14" s="43">
        <f>'data from JD'!F14+'data from JD'!P14/1000</f>
        <v>-8.8999999999999995E-5</v>
      </c>
      <c r="H14" s="43"/>
      <c r="I14" s="45"/>
      <c r="J14" s="45" t="s">
        <v>46</v>
      </c>
      <c r="K14" s="42"/>
      <c r="L14" s="42" t="s">
        <v>154</v>
      </c>
      <c r="M14" s="42"/>
      <c r="N14" s="42"/>
      <c r="O14" s="42"/>
      <c r="P14" s="42"/>
    </row>
    <row r="15" spans="1:16" s="46" customFormat="1" ht="15" x14ac:dyDescent="0.25">
      <c r="A15" s="46" t="s">
        <v>156</v>
      </c>
      <c r="B15" s="42"/>
      <c r="C15" s="43"/>
      <c r="D15" s="43">
        <f>D14+0.0249</f>
        <v>299.11115000000001</v>
      </c>
      <c r="F15" s="43"/>
      <c r="H15" s="43"/>
      <c r="I15" s="45"/>
      <c r="J15" s="45"/>
      <c r="K15" s="42"/>
      <c r="L15" s="42" t="s">
        <v>157</v>
      </c>
      <c r="M15" s="42"/>
      <c r="N15" s="42"/>
      <c r="O15" s="42"/>
      <c r="P15" s="42"/>
    </row>
    <row r="16" spans="1:16" ht="15" x14ac:dyDescent="0.25">
      <c r="A16" s="15" t="s">
        <v>51</v>
      </c>
      <c r="B16" s="15" t="s">
        <v>12</v>
      </c>
      <c r="C16" s="16"/>
      <c r="D16" s="16">
        <v>299.71413000000001</v>
      </c>
      <c r="E16" s="16">
        <v>80.600260000000006</v>
      </c>
      <c r="F16" s="16">
        <f>'data from JD'!F16+'data from JD'!P16/1000</f>
        <v>6.3399519999660399</v>
      </c>
      <c r="G16" s="16">
        <v>104.69953</v>
      </c>
      <c r="H16" s="16">
        <v>-0.13780000000000001</v>
      </c>
      <c r="I16" s="17">
        <v>-8.8800000000000007E-3</v>
      </c>
      <c r="J16" s="17">
        <v>8.8800000000000007E-3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ht="15" x14ac:dyDescent="0.25">
      <c r="A17" s="15" t="s">
        <v>165</v>
      </c>
      <c r="B17" s="15"/>
      <c r="C17" s="16"/>
      <c r="D17" s="16">
        <v>300.16491000000002</v>
      </c>
      <c r="E17" s="16">
        <v>80.600020000000001</v>
      </c>
      <c r="F17" s="16"/>
      <c r="G17" s="16">
        <v>104.69962</v>
      </c>
      <c r="H17" s="16">
        <v>1.0030000000000001E-2</v>
      </c>
      <c r="I17" s="17">
        <v>2.6360000000000001E-2</v>
      </c>
      <c r="J17" s="17">
        <v>-1.0030000000000001E-2</v>
      </c>
      <c r="K17" s="15"/>
      <c r="L17" s="18"/>
      <c r="M17" s="18"/>
      <c r="N17" s="18"/>
      <c r="O17" s="18"/>
      <c r="P17" s="18"/>
    </row>
    <row r="18" spans="1:16" ht="15" x14ac:dyDescent="0.25">
      <c r="A18" s="15" t="s">
        <v>163</v>
      </c>
      <c r="B18" s="15" t="s">
        <v>2</v>
      </c>
      <c r="C18" s="16"/>
      <c r="D18" s="16">
        <v>305.38837999999998</v>
      </c>
      <c r="E18" s="16">
        <v>80.302329999999998</v>
      </c>
      <c r="F18" s="16">
        <f>'data from JD'!F18+'data from JD'!P18/1000</f>
        <v>-0.57007399998197383</v>
      </c>
      <c r="G18" s="16">
        <v>104.69937</v>
      </c>
      <c r="H18" s="16">
        <v>-6.4992000000000001</v>
      </c>
      <c r="I18" s="17">
        <v>3.3999999999999998E-3</v>
      </c>
      <c r="J18" s="17">
        <v>-2.9999999999999997E-4</v>
      </c>
      <c r="K18" s="15"/>
      <c r="L18" s="15"/>
      <c r="M18" s="15"/>
      <c r="N18" s="15"/>
      <c r="O18" s="15"/>
      <c r="P18" s="15"/>
    </row>
    <row r="19" spans="1:16" ht="15" x14ac:dyDescent="0.25">
      <c r="A19" s="15" t="s">
        <v>162</v>
      </c>
      <c r="B19" s="15"/>
      <c r="C19" s="16"/>
      <c r="D19" s="16">
        <f>D18-((80.6-E18)/(ABS(TAN(H18*3.141592654/180))))-((3.1156275-(80.6-E18)/ABS(SIN(H18*3.141592654/180)))/ABS(COS(H18*3.141592654/180)))</f>
        <v>302.28651121342563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ht="15" x14ac:dyDescent="0.25">
      <c r="A20" s="15" t="s">
        <v>72</v>
      </c>
      <c r="B20" s="15" t="s">
        <v>4</v>
      </c>
      <c r="C20" s="15"/>
      <c r="D20" s="16">
        <f>HODO!G10</f>
        <v>303.09948000000003</v>
      </c>
      <c r="E20" s="16">
        <f>HODO!H10</f>
        <v>79.717939999999999</v>
      </c>
      <c r="F20" s="16">
        <f>'data from JD'!F20+'data from JD'!P20/1000</f>
        <v>-2.7500000000000002E-4</v>
      </c>
      <c r="G20" s="16">
        <f>HODO!I10</f>
        <v>104.76997</v>
      </c>
      <c r="H20" s="16">
        <f>HODO!P10</f>
        <v>-8.0449907090024517</v>
      </c>
      <c r="I20" s="16">
        <f>HODO!Q10</f>
        <v>-7.1393711111308105E-3</v>
      </c>
      <c r="J20" s="16">
        <f>HODO!R10</f>
        <v>-1.1378328311305591E-2</v>
      </c>
      <c r="K20" s="15"/>
      <c r="L20" s="15"/>
      <c r="M20" s="15"/>
      <c r="N20" s="15"/>
      <c r="O20" s="15"/>
      <c r="P20" s="15"/>
    </row>
    <row r="21" spans="1:16" ht="15" x14ac:dyDescent="0.25">
      <c r="A21" s="15" t="s">
        <v>73</v>
      </c>
      <c r="B21" s="15" t="s">
        <v>5</v>
      </c>
      <c r="C21" s="15"/>
      <c r="D21" s="16">
        <f>HODO!G15</f>
        <v>304.38873000000001</v>
      </c>
      <c r="E21" s="16">
        <f>HODO!H15</f>
        <v>79.536720000000003</v>
      </c>
      <c r="F21" s="16">
        <f>'data from JD'!F21+'data from JD'!P21/1000</f>
        <v>-1.75E-4</v>
      </c>
      <c r="G21" s="16">
        <f>HODO!I15</f>
        <v>104.77006</v>
      </c>
      <c r="H21" s="16">
        <f>HODO!P15</f>
        <v>-8.0499647158416092</v>
      </c>
      <c r="I21" s="16">
        <f>HODO!Q15</f>
        <v>-4.0328556835919349E-3</v>
      </c>
      <c r="J21" s="16">
        <f>HODO!R15</f>
        <v>-0.21295835331764326</v>
      </c>
      <c r="K21" s="15"/>
      <c r="L21" s="15"/>
      <c r="M21" s="15"/>
      <c r="N21" s="15"/>
      <c r="O21" s="15"/>
      <c r="P21" s="15"/>
    </row>
    <row r="22" spans="1:16" ht="15" x14ac:dyDescent="0.25">
      <c r="A22" s="15" t="s">
        <v>74</v>
      </c>
      <c r="B22" s="15" t="s">
        <v>6</v>
      </c>
      <c r="C22" s="15"/>
      <c r="D22" s="16">
        <f>HODO!G20</f>
        <v>305.66979092000003</v>
      </c>
      <c r="E22" s="16">
        <f>HODO!H20</f>
        <v>79.354157810000004</v>
      </c>
      <c r="F22" s="16">
        <f>'data from JD'!F22+'data from JD'!P22/1000</f>
        <v>0</v>
      </c>
      <c r="G22" s="16">
        <f>HODO!I20</f>
        <v>104.77029434000001</v>
      </c>
      <c r="H22" s="16">
        <f>HODO!P20</f>
        <v>-8.0972930165940973</v>
      </c>
      <c r="I22" s="16">
        <f>HODO!Q20</f>
        <v>3.9426660429168023E-2</v>
      </c>
      <c r="J22" s="16">
        <f>HODO!R20</f>
        <v>6.6413330920329333E-2</v>
      </c>
      <c r="K22" s="15"/>
      <c r="L22" s="15"/>
      <c r="M22" s="15"/>
      <c r="N22" s="15"/>
      <c r="O22" s="15"/>
      <c r="P22" s="15"/>
    </row>
    <row r="23" spans="1:16" ht="15" x14ac:dyDescent="0.25">
      <c r="A23" s="15" t="s">
        <v>75</v>
      </c>
      <c r="B23" s="15" t="s">
        <v>7</v>
      </c>
      <c r="C23" s="15"/>
      <c r="D23" s="16">
        <f>HODO!G25</f>
        <v>306.65924812999998</v>
      </c>
      <c r="E23" s="16">
        <f>HODO!H25</f>
        <v>79.214755740000001</v>
      </c>
      <c r="F23" s="16">
        <f>'data from JD'!F23+'data from JD'!P23/1000</f>
        <v>7.4999999999999993E-5</v>
      </c>
      <c r="G23" s="16">
        <f>HODO!I25</f>
        <v>104.77024795</v>
      </c>
      <c r="H23" s="16">
        <f>HODO!P25</f>
        <v>-8.0164809023229786</v>
      </c>
      <c r="I23" s="16">
        <f>HODO!Q25</f>
        <v>-2.705771214530469E-2</v>
      </c>
      <c r="J23" s="16">
        <f>HODO!R25</f>
        <v>-0.13892182645740128</v>
      </c>
      <c r="K23" s="15"/>
      <c r="L23" s="15"/>
      <c r="M23" s="15"/>
      <c r="N23" s="15"/>
      <c r="O23" s="15"/>
      <c r="P23" s="15"/>
    </row>
    <row r="24" spans="1:16" ht="15" x14ac:dyDescent="0.25">
      <c r="A24" s="15" t="s">
        <v>76</v>
      </c>
      <c r="B24" s="15" t="s">
        <v>8</v>
      </c>
      <c r="C24" s="15"/>
      <c r="D24" s="16">
        <f>HODO!G30</f>
        <v>307.70428380999999</v>
      </c>
      <c r="E24" s="16">
        <f>HODO!H30</f>
        <v>79.067831780000006</v>
      </c>
      <c r="F24" s="16">
        <f>'data from JD'!F24+'data from JD'!P24/1000</f>
        <v>-2.2499999999999999E-4</v>
      </c>
      <c r="G24" s="16">
        <f>HODO!I30</f>
        <v>104.76980234</v>
      </c>
      <c r="H24" s="16">
        <f>HODO!P30</f>
        <v>-8.1219318911421308</v>
      </c>
      <c r="I24" s="16">
        <f>HODO!Q30</f>
        <v>-8.8322313335489136E-3</v>
      </c>
      <c r="J24" s="16">
        <f>HODO!R30</f>
        <v>-0.21263713474690324</v>
      </c>
      <c r="K24" s="15"/>
      <c r="L24" s="15"/>
      <c r="M24" s="15"/>
      <c r="N24" s="15"/>
      <c r="O24" s="15"/>
      <c r="P24" s="15"/>
    </row>
    <row r="25" spans="1:16" ht="15" x14ac:dyDescent="0.25">
      <c r="A25" s="15" t="s">
        <v>77</v>
      </c>
      <c r="B25" s="15" t="s">
        <v>9</v>
      </c>
      <c r="C25" s="15"/>
      <c r="D25" s="16">
        <f>HODO!G35</f>
        <v>308.89994000000002</v>
      </c>
      <c r="E25" s="16">
        <f>HODO!H35</f>
        <v>78.899289999999993</v>
      </c>
      <c r="F25" s="16">
        <f>'data from JD'!F25+'data from JD'!P25/1000</f>
        <v>-5.0000000000000001E-4</v>
      </c>
      <c r="G25" s="16">
        <f>HODO!I35</f>
        <v>104.76918999999999</v>
      </c>
      <c r="H25" s="16">
        <f>HODO!P35</f>
        <v>-8.0937395766408056</v>
      </c>
      <c r="I25" s="16">
        <f>HODO!Q35</f>
        <v>3.3280790462276548E-2</v>
      </c>
      <c r="J25" s="16">
        <f>HODO!R35</f>
        <v>-0.26761994223792479</v>
      </c>
      <c r="K25" s="15"/>
      <c r="L25" s="15"/>
      <c r="M25" s="15"/>
      <c r="N25" s="15"/>
      <c r="O25" s="15"/>
      <c r="P25" s="15"/>
    </row>
    <row r="26" spans="1:16" ht="15" x14ac:dyDescent="0.25">
      <c r="A26" s="15" t="s">
        <v>78</v>
      </c>
      <c r="B26" s="15" t="s">
        <v>10</v>
      </c>
      <c r="C26" s="15"/>
      <c r="D26" s="16">
        <f>HODO!G40</f>
        <v>310.14301</v>
      </c>
      <c r="E26" s="16">
        <f>HODO!H40</f>
        <v>78.722020000000001</v>
      </c>
      <c r="F26" s="16">
        <f>'data from JD'!F26+'data from JD'!P26/1000</f>
        <v>4.4999999999999999E-4</v>
      </c>
      <c r="G26" s="16">
        <f>HODO!I40</f>
        <v>104.77017000000001</v>
      </c>
      <c r="H26" s="16">
        <f>HODO!P40</f>
        <v>-8.0610361783406557</v>
      </c>
      <c r="I26" s="16">
        <f>HODO!Q40</f>
        <v>-1.043013430950851E-2</v>
      </c>
      <c r="J26" s="16">
        <f>HODO!R40</f>
        <v>-3.7950370389948297E-3</v>
      </c>
      <c r="K26" s="15"/>
      <c r="L26" s="15"/>
      <c r="M26" s="15"/>
      <c r="N26" s="15"/>
      <c r="O26" s="15"/>
      <c r="P26" s="15"/>
    </row>
    <row r="27" spans="1:16" ht="15" x14ac:dyDescent="0.25">
      <c r="A27" s="15" t="s">
        <v>79</v>
      </c>
      <c r="B27" s="15" t="s">
        <v>11</v>
      </c>
      <c r="C27" s="15"/>
      <c r="D27" s="16">
        <f>HODO!G45</f>
        <v>311.56452000000002</v>
      </c>
      <c r="E27" s="16">
        <f>HODO!H45</f>
        <v>78.525919999999999</v>
      </c>
      <c r="F27" s="16">
        <f>'data from JD'!F27+'data from JD'!P27/1000</f>
        <v>1.25E-4</v>
      </c>
      <c r="G27" s="16">
        <f>HODO!I45</f>
        <v>104.7701</v>
      </c>
      <c r="H27" s="16">
        <f>'data from JD'!L27+'data from JD'!R27</f>
        <v>-8.0435622717000008</v>
      </c>
      <c r="I27" s="16">
        <f>'data from JD'!M27+'data from JD'!S27</f>
        <v>-1.6094320299999999E-2</v>
      </c>
      <c r="J27" s="16">
        <f>'data from JD'!N27+'data from JD'!T27</f>
        <v>-0.18133323034000001</v>
      </c>
      <c r="K27" s="15"/>
      <c r="L27" s="15"/>
      <c r="M27" s="15"/>
      <c r="N27" s="15"/>
      <c r="O27" s="15"/>
      <c r="P27" s="15"/>
    </row>
    <row r="28" spans="1:16" s="38" customFormat="1" ht="15" x14ac:dyDescent="0.25">
      <c r="A28" s="37" t="s">
        <v>43</v>
      </c>
      <c r="B28" s="37" t="s">
        <v>42</v>
      </c>
      <c r="C28" s="37"/>
      <c r="D28" s="39">
        <v>306.52325999999999</v>
      </c>
      <c r="E28" s="39">
        <v>79.433179999999993</v>
      </c>
      <c r="F28" s="39">
        <f>'data from JD'!F28+'data from JD'!P28/1000</f>
        <v>-0.91003700003305099</v>
      </c>
      <c r="G28" s="39">
        <v>104.70753000000001</v>
      </c>
      <c r="H28" s="39">
        <v>-8.0512999999999995</v>
      </c>
      <c r="I28" s="40">
        <v>2E-3</v>
      </c>
      <c r="J28" s="40">
        <v>6.6799999999999998E-2</v>
      </c>
      <c r="K28" s="37"/>
      <c r="L28" s="37"/>
      <c r="M28" s="37"/>
      <c r="N28" s="37"/>
      <c r="O28" s="37"/>
      <c r="P28" s="37"/>
    </row>
    <row r="29" spans="1:16" ht="15" x14ac:dyDescent="0.25">
      <c r="A29" s="15" t="s">
        <v>44</v>
      </c>
      <c r="B29" s="15"/>
      <c r="C29" s="15"/>
      <c r="D29" s="16">
        <f>'data from JD'!D29+'data from JD'!N29/1000</f>
        <v>374.27</v>
      </c>
      <c r="E29" s="16">
        <f>'data from JD'!G29+'data from JD'!O29/1000</f>
        <v>80.600714999999994</v>
      </c>
      <c r="F29" s="16">
        <f>'data from JD'!F29+'data from JD'!P29/1000</f>
        <v>4.7599999999999997E-4</v>
      </c>
      <c r="G29" s="16">
        <f>'data from JD'!K29+'data from JD'!P29/1000</f>
        <v>104.70047600000001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s="46" customFormat="1" ht="15" x14ac:dyDescent="0.25">
      <c r="A30" s="42" t="s">
        <v>52</v>
      </c>
      <c r="B30" s="42" t="s">
        <v>25</v>
      </c>
      <c r="C30" s="42"/>
      <c r="D30" s="43">
        <v>374.48548</v>
      </c>
      <c r="E30" s="43">
        <v>80.599950000000007</v>
      </c>
      <c r="F30" s="43">
        <v>104.69996999999999</v>
      </c>
      <c r="G30" s="44">
        <v>104.70001999999999</v>
      </c>
      <c r="H30" s="45">
        <v>5.1999999999999998E-3</v>
      </c>
      <c r="I30" s="45">
        <v>1.1000000000000001E-3</v>
      </c>
      <c r="J30" s="45">
        <v>-0.01</v>
      </c>
      <c r="K30" s="42"/>
      <c r="L30" s="42"/>
      <c r="M30" s="42"/>
      <c r="N30" s="42"/>
      <c r="O30" s="42"/>
      <c r="P30" s="42"/>
    </row>
    <row r="31" spans="1:16" ht="15" x14ac:dyDescent="0.25">
      <c r="A31" s="15" t="s">
        <v>53</v>
      </c>
      <c r="B31" s="15" t="s">
        <v>26</v>
      </c>
      <c r="C31" s="15"/>
      <c r="D31" s="16">
        <v>380.37258000000003</v>
      </c>
      <c r="E31" s="16">
        <v>80.600369999999998</v>
      </c>
      <c r="F31" s="16">
        <f>'data from JD'!F31+'data from JD'!P31/1000</f>
        <v>-0.88995200002670272</v>
      </c>
      <c r="G31" s="16">
        <v>104.69969</v>
      </c>
      <c r="H31" s="16">
        <v>4.956E-2</v>
      </c>
      <c r="I31" s="17">
        <v>-4.5799999999999999E-3</v>
      </c>
      <c r="J31" s="17">
        <v>-4.8700000000000002E-3</v>
      </c>
      <c r="K31" s="15"/>
      <c r="L31" s="15"/>
      <c r="M31" s="15"/>
      <c r="N31" s="15"/>
      <c r="O31" s="15"/>
      <c r="P31" s="15"/>
    </row>
    <row r="32" spans="1:16" x14ac:dyDescent="0.3">
      <c r="A32" s="15" t="s">
        <v>54</v>
      </c>
      <c r="B32" s="15" t="s">
        <v>27</v>
      </c>
      <c r="C32" s="15"/>
      <c r="D32" s="16">
        <v>376.78388000000001</v>
      </c>
      <c r="E32" s="16">
        <v>80.600350000000006</v>
      </c>
      <c r="F32" s="16">
        <f>'data from JD'!F32+'data from JD'!P32/1000</f>
        <v>-8.9999999999999985E-6</v>
      </c>
      <c r="G32" s="16">
        <v>104.69956999999999</v>
      </c>
      <c r="H32" s="16">
        <v>-2.9E-4</v>
      </c>
      <c r="I32" s="17">
        <v>4.3E-3</v>
      </c>
      <c r="J32" s="17">
        <v>6.5900000000000004E-3</v>
      </c>
      <c r="K32" s="15"/>
      <c r="L32" s="15"/>
      <c r="M32" s="15"/>
      <c r="N32" s="15"/>
      <c r="O32" s="15"/>
      <c r="P32" s="15"/>
    </row>
    <row r="33" spans="1:21" x14ac:dyDescent="0.3">
      <c r="A33" s="15" t="s">
        <v>55</v>
      </c>
      <c r="B33" s="15" t="s">
        <v>28</v>
      </c>
      <c r="C33" s="15"/>
      <c r="D33" s="16">
        <f>'data from JD'!D33+'data from JD'!N33/1000</f>
        <v>381.13933600000001</v>
      </c>
      <c r="E33" s="16">
        <f>'data from JD'!G33+'data from JD'!O33/1000</f>
        <v>80.600009999999997</v>
      </c>
      <c r="F33" s="16">
        <f>'data from JD'!F33+'data from JD'!P33/1000</f>
        <v>3.1999999999999999E-5</v>
      </c>
      <c r="G33" s="16">
        <f>'data from JD'!K33+'data from JD'!P33/1000</f>
        <v>104.70003200000001</v>
      </c>
      <c r="H33" s="16">
        <f>'data from JD'!L33+'data from JD'!R33</f>
        <v>-7.7299999999999999E-3</v>
      </c>
      <c r="I33" s="17">
        <v>2.034E-2</v>
      </c>
      <c r="J33" s="17">
        <v>-5.4400000000000004E-3</v>
      </c>
      <c r="K33" s="15"/>
      <c r="L33" s="15"/>
      <c r="M33" s="15"/>
      <c r="N33" s="15"/>
      <c r="O33" s="15"/>
      <c r="P33" s="15"/>
    </row>
    <row r="34" spans="1:21" x14ac:dyDescent="0.3">
      <c r="A34" s="15" t="s">
        <v>161</v>
      </c>
      <c r="B34" s="15"/>
      <c r="C34" s="15"/>
      <c r="D34" s="16">
        <v>383.06254999999999</v>
      </c>
      <c r="E34" s="16">
        <v>80.600009999999997</v>
      </c>
      <c r="F34" s="16"/>
      <c r="G34" s="16">
        <v>104.69965000000001</v>
      </c>
      <c r="H34" s="16">
        <v>1.49E-2</v>
      </c>
      <c r="I34" s="17">
        <v>2.9E-4</v>
      </c>
      <c r="J34" s="17">
        <v>1.5180000000000001E-2</v>
      </c>
      <c r="K34" s="15"/>
      <c r="L34" s="15"/>
      <c r="M34" s="15"/>
      <c r="N34" s="15"/>
      <c r="O34" s="15"/>
      <c r="P34" s="15"/>
    </row>
    <row r="35" spans="1:21" x14ac:dyDescent="0.3">
      <c r="A35" s="15" t="s">
        <v>56</v>
      </c>
      <c r="B35" s="15" t="s">
        <v>22</v>
      </c>
      <c r="C35" s="15"/>
      <c r="D35" s="16">
        <f>'data from JD'!D35+'data from JD'!N35/1000</f>
        <v>385.23072999999999</v>
      </c>
      <c r="E35" s="16">
        <f>'data from JD'!G35+'data from JD'!O35/1000</f>
        <v>80.600039999999993</v>
      </c>
      <c r="F35" s="16">
        <f>'data from JD'!F35+'data from JD'!P35/1000</f>
        <v>-0.12002400003808963</v>
      </c>
      <c r="G35" s="16">
        <f>'data from JD'!K35+'data from JD'!P35/1000</f>
        <v>104.69997600000001</v>
      </c>
      <c r="H35" s="16">
        <f>'data from JD'!L35+'data from JD'!R35</f>
        <v>-1.261E-2</v>
      </c>
      <c r="I35" s="17">
        <v>-2.2630000000000001E-2</v>
      </c>
      <c r="J35" s="17">
        <v>7.45E-3</v>
      </c>
      <c r="K35" s="15"/>
      <c r="L35" s="15">
        <v>5270</v>
      </c>
      <c r="M35" s="15">
        <v>10002</v>
      </c>
      <c r="N35" s="15">
        <v>16845</v>
      </c>
      <c r="O35" s="15">
        <v>20638</v>
      </c>
      <c r="P35" s="15">
        <v>24431</v>
      </c>
    </row>
    <row r="36" spans="1:21" s="46" customFormat="1" x14ac:dyDescent="0.3">
      <c r="A36" s="42" t="s">
        <v>57</v>
      </c>
      <c r="B36" s="42" t="s">
        <v>21</v>
      </c>
      <c r="C36" s="42"/>
      <c r="D36" s="43">
        <v>386.76733000000002</v>
      </c>
      <c r="E36" s="43">
        <v>80.599900000000005</v>
      </c>
      <c r="F36" s="43">
        <f>'data from JD'!F36+'data from JD'!P36/1000</f>
        <v>0.17991300000029103</v>
      </c>
      <c r="G36" s="43">
        <v>104.69956000000001</v>
      </c>
      <c r="H36" s="43">
        <v>6.7000000000000002E-3</v>
      </c>
      <c r="I36" s="45">
        <v>-1.0800000000000001E-2</v>
      </c>
      <c r="J36" s="45">
        <v>-2E-3</v>
      </c>
      <c r="K36" s="42"/>
      <c r="L36" s="42"/>
      <c r="M36" s="42"/>
      <c r="N36" s="42"/>
      <c r="O36" s="42"/>
      <c r="P36" s="42"/>
    </row>
    <row r="37" spans="1:21" s="46" customFormat="1" x14ac:dyDescent="0.3">
      <c r="A37" s="42" t="s">
        <v>58</v>
      </c>
      <c r="B37" s="42" t="s">
        <v>19</v>
      </c>
      <c r="C37" s="42"/>
      <c r="D37" s="43">
        <v>389.69475</v>
      </c>
      <c r="E37" s="43">
        <v>80.361410000000006</v>
      </c>
      <c r="F37" s="43">
        <v>104.70003</v>
      </c>
      <c r="G37" s="44">
        <v>104.70001000000001</v>
      </c>
      <c r="H37" s="45">
        <v>-4.6894999999999998</v>
      </c>
      <c r="I37" s="45">
        <v>4.7000000000000002E-3</v>
      </c>
      <c r="J37" s="45">
        <v>1.41E-2</v>
      </c>
      <c r="K37" s="42"/>
      <c r="L37" s="42"/>
      <c r="M37" s="42"/>
      <c r="N37" s="42"/>
      <c r="O37" s="42"/>
      <c r="P37" s="42"/>
    </row>
    <row r="38" spans="1:21" s="46" customFormat="1" x14ac:dyDescent="0.3">
      <c r="A38" s="42" t="s">
        <v>59</v>
      </c>
      <c r="B38" s="42" t="s">
        <v>20</v>
      </c>
      <c r="C38" s="42"/>
      <c r="D38" s="43">
        <v>389.69421</v>
      </c>
      <c r="E38" s="43">
        <v>80.838520000000003</v>
      </c>
      <c r="F38" s="43">
        <v>104.70019000000001</v>
      </c>
      <c r="G38" s="44">
        <v>104.69998</v>
      </c>
      <c r="H38" s="45">
        <v>4.6729000000000003</v>
      </c>
      <c r="I38" s="45">
        <v>2.1999999999999999E-2</v>
      </c>
      <c r="J38" s="45">
        <v>9.5999999999999992E-3</v>
      </c>
      <c r="K38" s="42"/>
      <c r="L38" s="42"/>
      <c r="M38" s="42"/>
      <c r="N38" s="42"/>
      <c r="O38" s="42"/>
      <c r="P38" s="42"/>
    </row>
    <row r="39" spans="1:21" s="46" customFormat="1" x14ac:dyDescent="0.3">
      <c r="A39" s="42" t="s">
        <v>60</v>
      </c>
      <c r="B39" s="43" t="s">
        <v>86</v>
      </c>
      <c r="C39" s="42"/>
      <c r="D39" s="43">
        <v>390.18349999999998</v>
      </c>
      <c r="E39" s="43">
        <v>80.32517</v>
      </c>
      <c r="F39" s="43">
        <f>'data from JD'!F39+'data from JD'!P39/1000</f>
        <v>0.18167999999524154</v>
      </c>
      <c r="G39" s="43">
        <v>104.70267</v>
      </c>
      <c r="H39" s="43">
        <v>-4.6928999999999998</v>
      </c>
      <c r="I39" s="45">
        <v>-9.5799999999999996E-2</v>
      </c>
      <c r="J39" s="45">
        <v>9.8199999999999996E-2</v>
      </c>
      <c r="K39" s="42"/>
      <c r="L39" s="42"/>
      <c r="M39" s="42"/>
      <c r="N39" s="42"/>
      <c r="O39" s="42"/>
      <c r="P39" s="42"/>
    </row>
    <row r="40" spans="1:21" s="46" customFormat="1" x14ac:dyDescent="0.3">
      <c r="A40" s="42" t="s">
        <v>61</v>
      </c>
      <c r="B40" s="43" t="s">
        <v>85</v>
      </c>
      <c r="C40" s="42"/>
      <c r="D40" s="43">
        <f>390.18349</f>
        <v>390.18349000000001</v>
      </c>
      <c r="E40" s="43">
        <v>80.87509</v>
      </c>
      <c r="F40" s="43">
        <f>'data from JD'!F40+'data from JD'!P40/1000</f>
        <v>0.18207999999524152</v>
      </c>
      <c r="G40" s="43">
        <v>104.70086999999999</v>
      </c>
      <c r="H40" s="43">
        <v>4.7812999999999999</v>
      </c>
      <c r="I40" s="45">
        <v>-3.7000000000000002E-3</v>
      </c>
      <c r="J40" s="45">
        <v>-9.06E-2</v>
      </c>
      <c r="K40" s="42"/>
      <c r="L40" s="42"/>
      <c r="M40" s="42"/>
      <c r="N40" s="42"/>
      <c r="O40" s="42"/>
      <c r="P40" s="42"/>
    </row>
    <row r="41" spans="1:21" x14ac:dyDescent="0.3">
      <c r="A41" s="15" t="s">
        <v>62</v>
      </c>
      <c r="B41" s="15" t="s">
        <v>23</v>
      </c>
      <c r="C41" s="15"/>
      <c r="D41" s="16">
        <v>400.02780000000001</v>
      </c>
      <c r="E41" s="16">
        <v>80.599699999999999</v>
      </c>
      <c r="F41" s="16">
        <f>'data from JD'!F41+'data from JD'!P41/1000</f>
        <v>6.0598799999340072</v>
      </c>
      <c r="G41" s="16">
        <v>104.7</v>
      </c>
      <c r="H41" s="16">
        <v>2.58E-2</v>
      </c>
      <c r="I41" s="16">
        <v>1.35E-2</v>
      </c>
      <c r="J41" s="17">
        <v>2.5999999999999999E-3</v>
      </c>
      <c r="K41" s="15"/>
      <c r="L41" s="15"/>
      <c r="M41" s="15"/>
      <c r="N41" s="15"/>
      <c r="O41" s="15"/>
      <c r="P41" s="15"/>
      <c r="S41" s="4">
        <v>400.02857999999998</v>
      </c>
      <c r="T41" s="2">
        <f>S41-D41</f>
        <v>7.7999999996336555E-4</v>
      </c>
    </row>
    <row r="42" spans="1:21" x14ac:dyDescent="0.3">
      <c r="A42" s="15" t="s">
        <v>141</v>
      </c>
      <c r="B42" s="15"/>
      <c r="C42" s="15"/>
      <c r="D42" s="16">
        <f>D41-2.398</f>
        <v>397.62979999999999</v>
      </c>
      <c r="E42" s="16">
        <f>(D42-D41)*TAN(H41*3.1415/180)+E41</f>
        <v>80.598620224490361</v>
      </c>
      <c r="F42" s="16"/>
      <c r="G42" s="16">
        <f>(D42-D41)*TAN(I41*3.1415/180)+G41</f>
        <v>104.69943500121455</v>
      </c>
      <c r="H42" s="16"/>
      <c r="I42" s="17"/>
      <c r="J42" s="17"/>
      <c r="K42" s="15"/>
      <c r="L42" s="15"/>
      <c r="M42" s="15"/>
      <c r="N42" s="16"/>
      <c r="O42" s="15"/>
      <c r="P42" s="15"/>
      <c r="Q42" s="2">
        <f>D42-D41</f>
        <v>-2.3980000000000246</v>
      </c>
      <c r="S42" s="4">
        <v>397.63062000000002</v>
      </c>
      <c r="T42" s="2">
        <f t="shared" ref="T42:T43" si="0">S42-D42</f>
        <v>8.2000000003290552E-4</v>
      </c>
      <c r="U42" s="4">
        <f>S41-S42</f>
        <v>2.397959999999955</v>
      </c>
    </row>
    <row r="43" spans="1:21" x14ac:dyDescent="0.3">
      <c r="A43" s="15" t="s">
        <v>142</v>
      </c>
      <c r="B43" s="15"/>
      <c r="C43" s="15"/>
      <c r="D43" s="16">
        <f>D42+4.796</f>
        <v>402.42579999999998</v>
      </c>
      <c r="E43" s="16">
        <f>(D43-D41)*TAN(H41*3.1415/180)+E41</f>
        <v>80.600779775509636</v>
      </c>
      <c r="F43" s="16"/>
      <c r="G43" s="16">
        <f>(D43-D41)*TAN(I41*3.1415/180)+G41</f>
        <v>104.70056499878545</v>
      </c>
      <c r="H43" s="16"/>
      <c r="I43" s="17"/>
      <c r="J43" s="17"/>
      <c r="K43" s="15"/>
      <c r="L43" s="15"/>
      <c r="M43" s="15"/>
      <c r="N43" s="15"/>
      <c r="O43" s="15"/>
      <c r="P43" s="15"/>
      <c r="Q43" s="2">
        <f>D43-D41</f>
        <v>2.3979999999999677</v>
      </c>
      <c r="S43" s="4">
        <v>402.42653999999999</v>
      </c>
      <c r="T43" s="2">
        <f t="shared" si="0"/>
        <v>7.4000000000751243E-4</v>
      </c>
      <c r="U43" s="4">
        <f>S43-S41</f>
        <v>2.3979600000000119</v>
      </c>
    </row>
    <row r="44" spans="1:21" x14ac:dyDescent="0.3">
      <c r="A44" s="15" t="s">
        <v>63</v>
      </c>
      <c r="B44" s="15" t="s">
        <v>45</v>
      </c>
      <c r="C44" s="15"/>
      <c r="D44" s="16">
        <f>'data from JD'!D42+'data from JD'!N42/1000</f>
        <v>400.25650000000002</v>
      </c>
      <c r="E44" s="16">
        <f>'data from JD'!G42+'data from JD'!O42/1000</f>
        <v>80.601029999999994</v>
      </c>
      <c r="F44" s="16">
        <f>'data from JD'!F42+'data from JD'!P42/1000</f>
        <v>6.1090199999782993</v>
      </c>
      <c r="G44" s="16">
        <f>'data from JD'!K42+'data from JD'!P42/1000</f>
        <v>104.69902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21" s="38" customFormat="1" x14ac:dyDescent="0.3">
      <c r="A45" s="37" t="s">
        <v>271</v>
      </c>
      <c r="B45" s="37"/>
      <c r="C45" s="37"/>
      <c r="D45" s="41">
        <f>D46-(D47-D46)</f>
        <v>398.63965000000002</v>
      </c>
      <c r="E45" s="39">
        <f>(D45-D46)*(TAN(H46*3.1416/180))+E46</f>
        <v>80.60012931858526</v>
      </c>
      <c r="F45" s="39"/>
      <c r="G45" s="39">
        <f>(D45-D46)*(TAN(I46*3.1416/180))+G46</f>
        <v>104.69991887083121</v>
      </c>
      <c r="H45" s="39"/>
      <c r="I45" s="40"/>
      <c r="J45" s="40"/>
      <c r="K45" s="37"/>
      <c r="L45" s="37"/>
      <c r="M45" s="37"/>
      <c r="N45" s="37"/>
      <c r="O45" s="37"/>
      <c r="P45" s="37"/>
    </row>
    <row r="46" spans="1:21" s="38" customFormat="1" x14ac:dyDescent="0.3">
      <c r="A46" s="37" t="s">
        <v>270</v>
      </c>
      <c r="B46" s="37" t="s">
        <v>253</v>
      </c>
      <c r="C46" s="37"/>
      <c r="D46" s="39">
        <v>398.78739999999999</v>
      </c>
      <c r="E46" s="39">
        <v>80.600149999999999</v>
      </c>
      <c r="F46" s="39">
        <f>'data from JD'!F45+'data from JD'!P45/1000</f>
        <v>0.17992000000029104</v>
      </c>
      <c r="G46" s="39">
        <v>104.69991</v>
      </c>
      <c r="H46" s="39">
        <v>8.0199999999999994E-3</v>
      </c>
      <c r="I46" s="40">
        <v>-3.4399999999999999E-3</v>
      </c>
      <c r="J46" s="40">
        <v>-1.6619999999999999E-2</v>
      </c>
      <c r="K46" s="37"/>
      <c r="L46" s="37"/>
      <c r="M46" s="37"/>
      <c r="N46" s="37"/>
      <c r="O46" s="37"/>
      <c r="P46" s="37"/>
    </row>
    <row r="47" spans="1:21" s="38" customFormat="1" x14ac:dyDescent="0.3">
      <c r="A47" s="37" t="s">
        <v>272</v>
      </c>
      <c r="B47" s="37"/>
      <c r="C47" s="37"/>
      <c r="D47" s="41">
        <f>D46+0.14775</f>
        <v>398.93514999999996</v>
      </c>
      <c r="E47" s="39">
        <f>(D47-D46)*(TAN(H46*3.1416/180))+E46</f>
        <v>80.600170681414738</v>
      </c>
      <c r="F47" s="39"/>
      <c r="G47" s="39">
        <f>(D47-D46)*(TAN(I46*3.1416/180))+G46</f>
        <v>104.69990112916879</v>
      </c>
      <c r="H47" s="39"/>
      <c r="I47" s="40"/>
      <c r="J47" s="40"/>
      <c r="K47" s="37"/>
      <c r="L47" s="37">
        <f>(D45+D47)/2</f>
        <v>398.78739999999999</v>
      </c>
      <c r="M47" s="39">
        <f>D46-D49</f>
        <v>0.35228999999998223</v>
      </c>
      <c r="N47" s="39">
        <f>D47-D46</f>
        <v>0.14774999999997362</v>
      </c>
      <c r="O47" s="37"/>
      <c r="P47" s="37"/>
    </row>
    <row r="48" spans="1:21" s="49" customFormat="1" x14ac:dyDescent="0.3">
      <c r="A48" s="25" t="s">
        <v>152</v>
      </c>
      <c r="B48" s="25"/>
      <c r="C48" s="25"/>
      <c r="D48" s="52">
        <f>D46-(-0.19418)</f>
        <v>398.98158000000001</v>
      </c>
      <c r="E48" s="52">
        <f>(D48-398.78738)*(TAN(H48*3.1415/180))+80.60095</f>
        <v>80.60129035681129</v>
      </c>
      <c r="F48" s="52"/>
      <c r="G48" s="52">
        <f>(D48-398.78738)*(TAN(I48*3.1415/180))+104.70174</f>
        <v>104.70199101387844</v>
      </c>
      <c r="H48" s="52">
        <f>H46-(-0.0924)</f>
        <v>0.10042</v>
      </c>
      <c r="I48" s="53">
        <f>I46-(-0.0775)</f>
        <v>7.4060000000000001E-2</v>
      </c>
      <c r="J48" s="53">
        <v>-1.55E-2</v>
      </c>
      <c r="K48" s="25"/>
      <c r="L48" s="25"/>
      <c r="M48" s="25"/>
      <c r="N48" s="25"/>
      <c r="O48" s="25"/>
      <c r="P48" s="25"/>
    </row>
    <row r="49" spans="1:17" s="49" customFormat="1" x14ac:dyDescent="0.3">
      <c r="A49" s="25" t="s">
        <v>80</v>
      </c>
      <c r="B49" s="25" t="s">
        <v>18</v>
      </c>
      <c r="C49" s="52" t="s">
        <v>46</v>
      </c>
      <c r="D49" s="52">
        <f>D46-0.35229</f>
        <v>398.43511000000001</v>
      </c>
      <c r="E49" s="52" t="s">
        <v>46</v>
      </c>
      <c r="F49" s="52">
        <f>'data from JD'!F49+'data from JD'!P49/1000</f>
        <v>1.23E-3</v>
      </c>
      <c r="G49" s="52" t="s">
        <v>46</v>
      </c>
      <c r="H49" s="52" t="s">
        <v>46</v>
      </c>
      <c r="I49" s="52" t="s">
        <v>46</v>
      </c>
      <c r="J49" s="53"/>
      <c r="K49" s="25"/>
      <c r="L49" s="25"/>
      <c r="M49" s="25"/>
      <c r="N49" s="52">
        <f>D46-D49</f>
        <v>0.35228999999998223</v>
      </c>
      <c r="O49" s="25"/>
      <c r="P49" s="25"/>
    </row>
    <row r="50" spans="1:17" s="49" customFormat="1" x14ac:dyDescent="0.3">
      <c r="A50" s="25" t="s">
        <v>92</v>
      </c>
      <c r="B50" s="25"/>
      <c r="C50" s="52"/>
      <c r="D50" s="54">
        <f>D49+0.0873</f>
        <v>398.52241000000004</v>
      </c>
      <c r="E50" s="52">
        <f>(D50-D46)*(TAN(H50*3.1415/180))+E46+0.00072</f>
        <v>80.600104961542357</v>
      </c>
      <c r="F50" s="52">
        <f>'data from JD'!F50+'data from JD'!P50/1000</f>
        <v>1.23E-3</v>
      </c>
      <c r="G50" s="52">
        <f>(D50-D46)*(TAN(I50*3.1415/180))+G46</f>
        <v>104.69891492086251</v>
      </c>
      <c r="H50" s="52">
        <f>H46+0.1574</f>
        <v>0.16542000000000001</v>
      </c>
      <c r="I50" s="52">
        <f>I46+0.2186</f>
        <v>0.21515999999999999</v>
      </c>
      <c r="J50" s="53"/>
      <c r="K50" s="25"/>
      <c r="L50" s="25">
        <v>398.78809000000001</v>
      </c>
      <c r="M50" s="25"/>
      <c r="N50" s="52">
        <f>D46-D50</f>
        <v>0.26498999999995476</v>
      </c>
      <c r="O50" s="25"/>
      <c r="P50" s="25"/>
    </row>
    <row r="51" spans="1:17" s="49" customFormat="1" x14ac:dyDescent="0.3">
      <c r="A51" s="25" t="s">
        <v>93</v>
      </c>
      <c r="B51" s="25"/>
      <c r="C51" s="52"/>
      <c r="D51" s="54">
        <f>D49+0.6724</f>
        <v>399.10750999999999</v>
      </c>
      <c r="E51" s="52">
        <f>(D51-D46)*(TAN(H50*3.1415/180))+E46+0.00072</f>
        <v>80.601794172461894</v>
      </c>
      <c r="F51" s="52">
        <f>'data from JD'!F51+'data from JD'!P51/1000</f>
        <v>-4.4000000000000002E-4</v>
      </c>
      <c r="G51" s="52">
        <f>(D51-D46)*(TAN(I50*3.1415/180))+G46</f>
        <v>104.70111206340883</v>
      </c>
      <c r="H51" s="52"/>
      <c r="I51" s="52"/>
      <c r="J51" s="53"/>
      <c r="K51" s="25"/>
      <c r="L51" s="25"/>
      <c r="M51" s="25"/>
      <c r="N51" s="25"/>
      <c r="O51" s="25"/>
      <c r="P51" s="25"/>
    </row>
    <row r="52" spans="1:17" x14ac:dyDescent="0.3">
      <c r="A52" s="15" t="s">
        <v>111</v>
      </c>
      <c r="B52" s="15"/>
      <c r="C52" s="15"/>
      <c r="D52" s="16">
        <f>399.8885+0.07209</f>
        <v>399.96059000000002</v>
      </c>
      <c r="E52" s="16">
        <f>'data from JD'!G52+'data from JD'!O52/1000</f>
        <v>80.599099999999993</v>
      </c>
      <c r="F52" s="16"/>
      <c r="G52" s="16">
        <f>'data from JD'!K52+'data from JD'!P52/1000</f>
        <v>104.700329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/>
      <c r="N52" s="15"/>
      <c r="O52" s="15"/>
      <c r="P52" s="15"/>
    </row>
    <row r="53" spans="1:17" x14ac:dyDescent="0.3">
      <c r="A53" s="15" t="s">
        <v>112</v>
      </c>
      <c r="B53" s="15"/>
      <c r="C53" s="15"/>
      <c r="D53" s="16">
        <f>D52+0.5857</f>
        <v>400.54629</v>
      </c>
      <c r="E53" s="16">
        <f>'data from JD'!G53+'data from JD'!O53/1000</f>
        <v>80.599309999999988</v>
      </c>
      <c r="F53" s="16"/>
      <c r="G53" s="16">
        <f>'data from JD'!K53+'data from JD'!P53/1000</f>
        <v>104.69994200000001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/>
      <c r="N53" s="15"/>
      <c r="O53" s="15"/>
      <c r="P53" s="15"/>
      <c r="Q53" s="2">
        <f>D53-D52</f>
        <v>0.58569999999997435</v>
      </c>
    </row>
    <row r="54" spans="1:17" x14ac:dyDescent="0.3">
      <c r="A54" s="15" t="s">
        <v>113</v>
      </c>
      <c r="B54" s="15"/>
      <c r="C54" s="15"/>
      <c r="D54" s="16">
        <f>D53+0.58589</f>
        <v>401.13218000000001</v>
      </c>
      <c r="E54" s="16">
        <f>'data from JD'!G54+'data from JD'!O54/1000</f>
        <v>80.600009999999997</v>
      </c>
      <c r="F54" s="16"/>
      <c r="G54" s="16">
        <f>'data from JD'!K54+'data from JD'!P54/1000</f>
        <v>104.699675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/>
      <c r="N54" s="15"/>
      <c r="O54" s="15"/>
      <c r="P54" s="15"/>
      <c r="Q54" s="2">
        <f>D54-D53</f>
        <v>0.58589000000000624</v>
      </c>
    </row>
    <row r="55" spans="1:17" x14ac:dyDescent="0.3">
      <c r="A55" s="15" t="s">
        <v>114</v>
      </c>
      <c r="B55" s="15"/>
      <c r="C55" s="15"/>
      <c r="D55" s="16">
        <f>D54+0.38675</f>
        <v>401.51893000000001</v>
      </c>
      <c r="E55" s="16">
        <f>'data from JD'!G55+'data from JD'!O55/1000</f>
        <v>80.600179999999995</v>
      </c>
      <c r="F55" s="16"/>
      <c r="G55" s="16">
        <f>'data from JD'!K55+'data from JD'!P55/1000</f>
        <v>104.700231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/>
      <c r="N55" s="15"/>
      <c r="O55" s="15"/>
      <c r="P55" s="15"/>
      <c r="Q55" s="2">
        <f>D55-D54</f>
        <v>0.38675000000000637</v>
      </c>
    </row>
    <row r="56" spans="1:17" x14ac:dyDescent="0.3">
      <c r="A56" s="15" t="s">
        <v>147</v>
      </c>
      <c r="B56" s="15" t="s">
        <v>17</v>
      </c>
      <c r="C56" s="15"/>
      <c r="D56" s="16">
        <f>399.0646</f>
        <v>399.06459999999998</v>
      </c>
      <c r="E56" s="16">
        <v>80.599999999999994</v>
      </c>
      <c r="F56" s="16">
        <f>'data from JD'!F56+'data from JD'!P56/1000</f>
        <v>6.4096799999598364</v>
      </c>
      <c r="G56" s="16">
        <v>104.6992</v>
      </c>
      <c r="H56" s="16">
        <v>8.0000000000000002E-3</v>
      </c>
      <c r="I56" s="16">
        <v>-2.18E-2</v>
      </c>
      <c r="J56" s="16">
        <v>4.4999999999999998E-2</v>
      </c>
      <c r="K56" s="15"/>
      <c r="L56" s="15"/>
      <c r="M56" s="15" t="s">
        <v>46</v>
      </c>
      <c r="N56" s="15"/>
      <c r="O56" s="15"/>
      <c r="P56" s="15"/>
    </row>
    <row r="57" spans="1:17" x14ac:dyDescent="0.3">
      <c r="A57" s="15" t="s">
        <v>159</v>
      </c>
      <c r="B57" s="15"/>
      <c r="C57" s="15"/>
      <c r="D57" s="16">
        <f>D56-0.75</f>
        <v>398.31459999999998</v>
      </c>
      <c r="E57" s="16">
        <f>(D57-D56)*TAN(H56*3.1415/180)+E56</f>
        <v>80.599895283332643</v>
      </c>
      <c r="F57" s="16"/>
      <c r="G57" s="16">
        <f>(D57-D56)*TAN(I56*3.1415/180)+G56</f>
        <v>104.69948535293044</v>
      </c>
      <c r="H57" s="16"/>
      <c r="I57" s="17"/>
      <c r="J57" s="17"/>
      <c r="K57" s="15"/>
      <c r="L57" s="15"/>
      <c r="M57" s="15"/>
      <c r="N57" s="15"/>
      <c r="O57" s="15"/>
      <c r="P57" s="15"/>
      <c r="Q57" s="2">
        <f>D56-D57</f>
        <v>0.75</v>
      </c>
    </row>
    <row r="58" spans="1:17" x14ac:dyDescent="0.3">
      <c r="A58" s="15" t="s">
        <v>160</v>
      </c>
      <c r="B58" s="15"/>
      <c r="C58" s="15"/>
      <c r="D58" s="16">
        <f>D56+0.75</f>
        <v>399.81459999999998</v>
      </c>
      <c r="E58" s="16">
        <f>(D58-D56)*TAN(H56*3.1415/180)+E56</f>
        <v>80.600104716667346</v>
      </c>
      <c r="F58" s="16"/>
      <c r="G58" s="16">
        <f>(D58-D56)*TAN(I56*3.1415/180)+G56</f>
        <v>104.69891464706957</v>
      </c>
      <c r="H58" s="16"/>
      <c r="I58" s="17"/>
      <c r="J58" s="17"/>
      <c r="K58" s="15"/>
      <c r="L58" s="15"/>
      <c r="M58" s="15"/>
      <c r="N58" s="15"/>
      <c r="O58" s="15"/>
      <c r="P58" s="15"/>
      <c r="Q58" s="2">
        <f>D56-D58</f>
        <v>-0.75</v>
      </c>
    </row>
    <row r="59" spans="1:17" s="49" customFormat="1" x14ac:dyDescent="0.3">
      <c r="A59" s="25" t="s">
        <v>65</v>
      </c>
      <c r="B59" s="25" t="s">
        <v>15</v>
      </c>
      <c r="C59" s="25"/>
      <c r="D59" s="52">
        <v>404.38753000000003</v>
      </c>
      <c r="E59" s="52">
        <v>80.606009999999998</v>
      </c>
      <c r="F59" s="52">
        <f>'data from JD'!F57+'data from JD'!P57/1000</f>
        <v>0.17997900000029105</v>
      </c>
      <c r="G59" s="52">
        <v>104.70031</v>
      </c>
      <c r="H59" s="52">
        <v>-4.8399999999999999E-2</v>
      </c>
      <c r="I59" s="53">
        <v>2.64E-2</v>
      </c>
      <c r="J59" s="53">
        <v>-1.8599999999999998E-2</v>
      </c>
      <c r="K59" s="25"/>
      <c r="L59" s="25"/>
      <c r="M59" s="25"/>
      <c r="N59" s="25"/>
      <c r="O59" s="25"/>
      <c r="P59" s="25"/>
    </row>
    <row r="60" spans="1:17" s="49" customFormat="1" x14ac:dyDescent="0.3">
      <c r="A60" s="25" t="s">
        <v>190</v>
      </c>
      <c r="B60" s="25" t="s">
        <v>16</v>
      </c>
      <c r="C60" s="25"/>
      <c r="D60" s="54">
        <f>D59-0.19113</f>
        <v>404.19640000000004</v>
      </c>
      <c r="E60" s="54">
        <f>E59-0.00221</f>
        <v>80.603799999999993</v>
      </c>
      <c r="F60" s="54">
        <f t="shared" ref="F60" si="1">F59-F61</f>
        <v>0.17997900000029105</v>
      </c>
      <c r="G60" s="54">
        <f>G59-(-0.002272)</f>
        <v>104.70258200000001</v>
      </c>
      <c r="H60" s="54">
        <f>H59-(-0.11631)</f>
        <v>6.7909999999999998E-2</v>
      </c>
      <c r="I60" s="54">
        <f>I59-(-0.00086)</f>
        <v>2.726E-2</v>
      </c>
      <c r="J60" s="54">
        <f>J59-(0.1664)</f>
        <v>-0.185</v>
      </c>
      <c r="K60" s="25"/>
      <c r="L60" s="25"/>
      <c r="M60" s="25"/>
      <c r="N60" s="25"/>
      <c r="O60" s="25"/>
      <c r="P60" s="25"/>
    </row>
    <row r="61" spans="1:17" s="38" customFormat="1" x14ac:dyDescent="0.3">
      <c r="A61" s="37" t="s">
        <v>252</v>
      </c>
      <c r="B61" s="37"/>
      <c r="C61" s="37"/>
      <c r="D61" s="37">
        <v>410.93155999999999</v>
      </c>
      <c r="E61" s="37">
        <v>80.599710000000002</v>
      </c>
      <c r="F61" s="37"/>
      <c r="G61" s="37">
        <v>104.70013</v>
      </c>
      <c r="H61" s="37">
        <v>5.042E-2</v>
      </c>
      <c r="I61" s="37">
        <v>-1.6899999999999998E-2</v>
      </c>
      <c r="J61" s="37">
        <v>-1.9480000000000001E-2</v>
      </c>
      <c r="K61" s="37"/>
      <c r="L61" s="37"/>
      <c r="M61" s="37"/>
      <c r="N61" s="37"/>
      <c r="O61" s="37"/>
      <c r="P61" s="37"/>
    </row>
    <row r="62" spans="1:17" s="49" customFormat="1" x14ac:dyDescent="0.3">
      <c r="A62" s="25" t="s">
        <v>258</v>
      </c>
      <c r="B62" s="25"/>
      <c r="C62" s="25"/>
      <c r="D62" s="48">
        <v>0</v>
      </c>
      <c r="E62" s="25">
        <v>0</v>
      </c>
      <c r="F62" s="25"/>
      <c r="G62" s="25">
        <v>0</v>
      </c>
      <c r="H62" s="25"/>
      <c r="I62" s="25"/>
      <c r="J62" s="25"/>
      <c r="K62" s="25"/>
      <c r="L62" s="25"/>
      <c r="M62" s="25"/>
      <c r="N62" s="25"/>
      <c r="O62" s="25"/>
      <c r="P62" s="25"/>
    </row>
    <row r="63" spans="1:17" s="49" customFormat="1" x14ac:dyDescent="0.3">
      <c r="A63" s="25" t="s">
        <v>260</v>
      </c>
      <c r="B63" s="52" t="s">
        <v>261</v>
      </c>
      <c r="C63" s="25"/>
      <c r="D63" s="25">
        <v>414.40679999999998</v>
      </c>
      <c r="E63" s="25">
        <v>80.599810000000005</v>
      </c>
      <c r="F63" s="25"/>
      <c r="G63" s="25">
        <v>104.70032999999999</v>
      </c>
      <c r="H63" s="25">
        <v>0.1168</v>
      </c>
      <c r="I63" s="25">
        <v>0.1065</v>
      </c>
      <c r="J63" s="25" t="s">
        <v>46</v>
      </c>
      <c r="K63" s="25"/>
      <c r="L63" s="25"/>
      <c r="M63" s="25"/>
      <c r="N63" s="25"/>
      <c r="O63" s="25"/>
      <c r="P63" s="25"/>
    </row>
    <row r="64" spans="1:17" s="58" customFormat="1" x14ac:dyDescent="0.3">
      <c r="A64" s="56" t="s">
        <v>281</v>
      </c>
      <c r="B64" s="57" t="s">
        <v>264</v>
      </c>
      <c r="C64" s="56"/>
      <c r="D64" s="56">
        <v>403.98205999999999</v>
      </c>
      <c r="E64" s="56">
        <v>80.607680000000002</v>
      </c>
      <c r="F64" s="56"/>
      <c r="G64" s="56">
        <v>103.8819</v>
      </c>
      <c r="H64" s="56">
        <v>-0.1003</v>
      </c>
      <c r="I64" s="56">
        <v>-7.9100000000000004E-2</v>
      </c>
      <c r="J64" s="56">
        <v>3.8100000000000002E-2</v>
      </c>
      <c r="K64" s="56"/>
      <c r="L64" s="56"/>
      <c r="M64" s="56"/>
      <c r="N64" s="56"/>
      <c r="O64" s="56"/>
      <c r="P64" s="56"/>
    </row>
    <row r="65" spans="1:16" s="58" customFormat="1" x14ac:dyDescent="0.3">
      <c r="A65" s="56" t="s">
        <v>280</v>
      </c>
      <c r="B65" s="57" t="s">
        <v>265</v>
      </c>
      <c r="C65" s="56"/>
      <c r="D65" s="56">
        <v>403.98259999999999</v>
      </c>
      <c r="E65" s="56">
        <v>80.608329999999995</v>
      </c>
      <c r="F65" s="56"/>
      <c r="G65" s="56">
        <v>104.39659</v>
      </c>
      <c r="H65" s="56">
        <v>-9.6299999999999997E-2</v>
      </c>
      <c r="I65" s="56">
        <v>-0.21429999999999999</v>
      </c>
      <c r="J65" s="56">
        <v>3.5499999999999997E-2</v>
      </c>
      <c r="K65" s="56"/>
      <c r="L65" s="56"/>
      <c r="M65" s="56"/>
      <c r="N65" s="56"/>
      <c r="O65" s="56"/>
      <c r="P65" s="56"/>
    </row>
    <row r="66" spans="1:16" s="58" customFormat="1" x14ac:dyDescent="0.3">
      <c r="A66" s="56" t="s">
        <v>275</v>
      </c>
      <c r="B66" s="57"/>
      <c r="C66" s="56"/>
      <c r="D66" s="56">
        <v>403.94839999999999</v>
      </c>
      <c r="E66" s="56">
        <v>77.587689999999995</v>
      </c>
      <c r="F66" s="56"/>
      <c r="G66" s="56">
        <v>104.39490000000001</v>
      </c>
      <c r="H66" s="55">
        <v>-0.1641</v>
      </c>
      <c r="I66" s="55">
        <v>0.23799999999999999</v>
      </c>
      <c r="J66" s="55">
        <v>4.0599999999999997E-2</v>
      </c>
      <c r="K66" s="56"/>
      <c r="L66" s="56"/>
      <c r="M66" s="56"/>
      <c r="N66" s="56"/>
      <c r="O66" s="56"/>
      <c r="P66" s="56"/>
    </row>
    <row r="67" spans="1:16" s="46" customFormat="1" x14ac:dyDescent="0.3">
      <c r="A67" s="42"/>
      <c r="B67" s="43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</row>
    <row r="68" spans="1:16" x14ac:dyDescent="0.3">
      <c r="A68" s="14" t="s">
        <v>81</v>
      </c>
      <c r="B68" s="15"/>
      <c r="C68" s="15"/>
      <c r="D68" s="16">
        <f>D42+0.508</f>
        <v>398.13779999999997</v>
      </c>
      <c r="E68" s="15">
        <v>80.599999999999994</v>
      </c>
      <c r="F68" s="15"/>
      <c r="G68" s="15">
        <v>104.7</v>
      </c>
      <c r="H68" s="15"/>
      <c r="I68" s="15"/>
      <c r="J68" s="15"/>
      <c r="K68" s="15"/>
      <c r="L68" s="15"/>
      <c r="M68" s="15"/>
      <c r="N68" s="15"/>
      <c r="O68" s="15"/>
      <c r="P68" s="15"/>
    </row>
    <row r="69" spans="1:16" s="33" customFormat="1" x14ac:dyDescent="0.3">
      <c r="A69" s="14"/>
      <c r="B69" s="15"/>
      <c r="C69" s="15"/>
      <c r="D69" s="16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</row>
    <row r="70" spans="1:16" s="38" customFormat="1" x14ac:dyDescent="0.3">
      <c r="A70" s="37" t="s">
        <v>287</v>
      </c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</row>
    <row r="71" spans="1:16" x14ac:dyDescent="0.3">
      <c r="A71" s="35" t="s">
        <v>284</v>
      </c>
    </row>
    <row r="72" spans="1:16" x14ac:dyDescent="0.3">
      <c r="A72" s="36" t="s">
        <v>46</v>
      </c>
      <c r="J72" s="55">
        <f>5.810631+'Rel to HD 0,0'!D68</f>
        <v>403.94843099999997</v>
      </c>
      <c r="L72" s="55">
        <f>-3.01231+'Rel to HD 0,0'!E68</f>
        <v>77.587689999999995</v>
      </c>
      <c r="M72" s="55">
        <f>-0.30507+'Rel to HD 0,0'!G68</f>
        <v>104.39493</v>
      </c>
    </row>
    <row r="73" spans="1:16" x14ac:dyDescent="0.3">
      <c r="A73" s="36" t="s">
        <v>269</v>
      </c>
    </row>
    <row r="74" spans="1:16" x14ac:dyDescent="0.3">
      <c r="A74" s="36" t="s">
        <v>46</v>
      </c>
      <c r="B74" s="2"/>
      <c r="D74" s="2"/>
    </row>
    <row r="75" spans="1:16" x14ac:dyDescent="0.3">
      <c r="A75" s="36" t="s">
        <v>266</v>
      </c>
      <c r="D75" s="2"/>
    </row>
    <row r="76" spans="1:16" x14ac:dyDescent="0.3">
      <c r="A76" s="36" t="s">
        <v>46</v>
      </c>
      <c r="D76" s="2"/>
    </row>
    <row r="81" spans="4:4" x14ac:dyDescent="0.3">
      <c r="D81" s="2"/>
    </row>
    <row r="83" spans="4:4" x14ac:dyDescent="0.3">
      <c r="D83" s="2"/>
    </row>
  </sheetData>
  <mergeCells count="2">
    <mergeCell ref="A2:D5"/>
    <mergeCell ref="L10:P10"/>
  </mergeCells>
  <pageMargins left="0.7" right="0.7" top="0.75" bottom="0.75" header="0.3" footer="0.3"/>
  <pageSetup scale="4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topLeftCell="A37" workbookViewId="0">
      <selection activeCell="B49" sqref="B49"/>
    </sheetView>
  </sheetViews>
  <sheetFormatPr defaultRowHeight="14.4" x14ac:dyDescent="0.3"/>
  <cols>
    <col min="1" max="1" width="28.88671875" customWidth="1"/>
  </cols>
  <sheetData>
    <row r="1" spans="1:1" ht="15" x14ac:dyDescent="0.25">
      <c r="A1" t="s">
        <v>46</v>
      </c>
    </row>
    <row r="44" spans="1:9" ht="75" x14ac:dyDescent="0.25">
      <c r="B44" s="19" t="s">
        <v>184</v>
      </c>
      <c r="C44" s="19" t="s">
        <v>185</v>
      </c>
      <c r="D44" t="s">
        <v>180</v>
      </c>
      <c r="E44" s="19" t="s">
        <v>181</v>
      </c>
      <c r="F44" s="19" t="s">
        <v>182</v>
      </c>
      <c r="G44" s="19" t="s">
        <v>186</v>
      </c>
      <c r="H44" s="19" t="s">
        <v>187</v>
      </c>
      <c r="I44" s="19" t="s">
        <v>188</v>
      </c>
    </row>
    <row r="45" spans="1:9" ht="15" x14ac:dyDescent="0.25">
      <c r="A45" s="4" t="s">
        <v>179</v>
      </c>
      <c r="B45">
        <f>'Rel to HD 0,0'!D46</f>
        <v>0.64960000000002083</v>
      </c>
      <c r="C45">
        <f>(C47+C48)/2</f>
        <v>0.62739999999999996</v>
      </c>
      <c r="D45">
        <f>C45-B45</f>
        <v>-2.220000000002087E-2</v>
      </c>
      <c r="E45">
        <v>1E-3</v>
      </c>
      <c r="F45">
        <f>D45+E45</f>
        <v>-2.1200000000020869E-2</v>
      </c>
      <c r="G45">
        <f>(G48+G47)/2</f>
        <v>0.65227000000002078</v>
      </c>
      <c r="H45">
        <f>E45</f>
        <v>1E-3</v>
      </c>
      <c r="I45">
        <f>C45-G45+H45</f>
        <v>-2.3870000000020819E-2</v>
      </c>
    </row>
    <row r="46" spans="1:9" ht="15" x14ac:dyDescent="0.25">
      <c r="A46" s="4" t="s">
        <v>152</v>
      </c>
      <c r="B46" s="4">
        <f>'Rel to HD 0,0'!D48</f>
        <v>0.84378000000003794</v>
      </c>
      <c r="C46">
        <v>0.82210000000000005</v>
      </c>
      <c r="D46" s="4">
        <f t="shared" ref="D46:D48" si="0">C46-B46</f>
        <v>-2.1680000000037891E-2</v>
      </c>
      <c r="E46">
        <v>1.5E-3</v>
      </c>
      <c r="F46" s="4">
        <f t="shared" ref="F46:F48" si="1">D46+E46</f>
        <v>-2.018000000003789E-2</v>
      </c>
      <c r="G46">
        <f>B46</f>
        <v>0.84378000000003794</v>
      </c>
      <c r="H46" s="4">
        <f t="shared" ref="H46:H49" si="2">E46</f>
        <v>1.5E-3</v>
      </c>
      <c r="I46" s="4">
        <f t="shared" ref="I46:I49" si="3">C46-G46+H46</f>
        <v>-2.018000000003789E-2</v>
      </c>
    </row>
    <row r="47" spans="1:9" x14ac:dyDescent="0.3">
      <c r="A47" t="s">
        <v>178</v>
      </c>
      <c r="B47">
        <f>B45-0.1513</f>
        <v>0.49830000000002084</v>
      </c>
      <c r="C47">
        <v>0.48080000000000001</v>
      </c>
      <c r="D47" s="4">
        <f t="shared" si="0"/>
        <v>-1.7500000000020832E-2</v>
      </c>
      <c r="E47">
        <v>5.0000000000000001E-4</v>
      </c>
      <c r="F47" s="4">
        <f t="shared" si="1"/>
        <v>-1.7000000000020832E-2</v>
      </c>
      <c r="G47">
        <f>G48-0.29726</f>
        <v>0.50364000000002074</v>
      </c>
      <c r="H47" s="4">
        <f t="shared" si="2"/>
        <v>5.0000000000000001E-4</v>
      </c>
      <c r="I47" s="4">
        <f t="shared" si="3"/>
        <v>-2.2340000000020732E-2</v>
      </c>
    </row>
    <row r="48" spans="1:9" x14ac:dyDescent="0.3">
      <c r="A48" t="s">
        <v>177</v>
      </c>
      <c r="B48">
        <f>B45+0.1513</f>
        <v>0.80090000000002082</v>
      </c>
      <c r="C48">
        <v>0.77400000000000002</v>
      </c>
      <c r="D48" s="4">
        <f t="shared" si="0"/>
        <v>-2.6900000000020796E-2</v>
      </c>
      <c r="E48">
        <v>2E-3</v>
      </c>
      <c r="F48" s="4">
        <f t="shared" si="1"/>
        <v>-2.4900000000020794E-2</v>
      </c>
      <c r="G48">
        <f>B48</f>
        <v>0.80090000000002082</v>
      </c>
      <c r="H48" s="4">
        <f t="shared" si="2"/>
        <v>2E-3</v>
      </c>
      <c r="I48" s="4">
        <f t="shared" si="3"/>
        <v>-2.4900000000020794E-2</v>
      </c>
    </row>
    <row r="49" spans="1:9" x14ac:dyDescent="0.3">
      <c r="A49" t="s">
        <v>183</v>
      </c>
      <c r="B49">
        <f>B48-B47</f>
        <v>0.30259999999999998</v>
      </c>
      <c r="C49" s="4">
        <f t="shared" ref="C49:G49" si="4">C48-C47</f>
        <v>0.29320000000000002</v>
      </c>
      <c r="D49" s="4">
        <f t="shared" si="4"/>
        <v>-9.3999999999999639E-3</v>
      </c>
      <c r="E49" s="4">
        <f t="shared" si="4"/>
        <v>1.5E-3</v>
      </c>
      <c r="F49" s="4">
        <f t="shared" si="4"/>
        <v>-7.8999999999999626E-3</v>
      </c>
      <c r="G49" s="4">
        <f t="shared" si="4"/>
        <v>0.29726000000000008</v>
      </c>
      <c r="H49" s="4">
        <f t="shared" si="2"/>
        <v>1.5E-3</v>
      </c>
      <c r="I49" s="4">
        <f t="shared" si="3"/>
        <v>-2.5600000000000635E-3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0"/>
  <sheetViews>
    <sheetView workbookViewId="0">
      <selection activeCell="A50" sqref="A50"/>
    </sheetView>
  </sheetViews>
  <sheetFormatPr defaultRowHeight="14.4" x14ac:dyDescent="0.3"/>
  <cols>
    <col min="1" max="1" width="13.88671875" customWidth="1"/>
    <col min="11" max="11" width="10.109375" customWidth="1"/>
    <col min="13" max="13" width="12.33203125" customWidth="1"/>
  </cols>
  <sheetData>
    <row r="1" spans="1:29" ht="15" x14ac:dyDescent="0.25">
      <c r="A1" t="s">
        <v>197</v>
      </c>
    </row>
    <row r="2" spans="1:29" ht="15" x14ac:dyDescent="0.25">
      <c r="A2" s="4"/>
      <c r="B2" s="4"/>
      <c r="C2" s="4"/>
      <c r="D2" s="4"/>
      <c r="E2" s="4"/>
      <c r="F2" s="21"/>
      <c r="G2" s="21"/>
      <c r="H2" s="4"/>
      <c r="I2" s="4"/>
      <c r="J2" s="21"/>
      <c r="K2" s="4"/>
      <c r="L2" s="4"/>
      <c r="M2" s="4"/>
      <c r="N2" s="4"/>
      <c r="O2" s="4"/>
      <c r="P2" s="4"/>
      <c r="Q2" s="21"/>
      <c r="R2" s="4"/>
      <c r="S2" s="4"/>
      <c r="T2" s="4"/>
    </row>
    <row r="3" spans="1:29" ht="15" x14ac:dyDescent="0.25">
      <c r="A3" s="4" t="s">
        <v>198</v>
      </c>
      <c r="B3" s="4"/>
      <c r="C3" s="4"/>
      <c r="D3" s="4"/>
      <c r="E3" s="4"/>
      <c r="F3" s="4"/>
      <c r="G3" s="4" t="s">
        <v>199</v>
      </c>
      <c r="H3" s="4"/>
      <c r="I3" s="4"/>
      <c r="J3" s="4"/>
      <c r="K3" s="4" t="s">
        <v>200</v>
      </c>
      <c r="L3" s="4"/>
      <c r="M3" s="4"/>
      <c r="N3" s="4"/>
      <c r="O3" s="4"/>
      <c r="P3" s="4" t="s">
        <v>251</v>
      </c>
      <c r="Q3" s="4"/>
      <c r="R3" s="4"/>
      <c r="S3" s="4"/>
      <c r="T3" s="4"/>
      <c r="U3" t="s">
        <v>244</v>
      </c>
      <c r="AA3" t="s">
        <v>250</v>
      </c>
    </row>
    <row r="4" spans="1:29" ht="15" x14ac:dyDescent="0.25">
      <c r="A4" s="4" t="s">
        <v>201</v>
      </c>
      <c r="B4" s="22" t="s">
        <v>68</v>
      </c>
      <c r="C4" s="22" t="s">
        <v>69</v>
      </c>
      <c r="D4" s="22" t="s">
        <v>70</v>
      </c>
      <c r="E4" s="22"/>
      <c r="F4" s="4"/>
      <c r="G4" s="22" t="s">
        <v>202</v>
      </c>
      <c r="H4" s="22" t="s">
        <v>203</v>
      </c>
      <c r="I4" s="22" t="s">
        <v>204</v>
      </c>
      <c r="J4" s="4"/>
      <c r="K4" s="22" t="s">
        <v>202</v>
      </c>
      <c r="L4" s="22" t="s">
        <v>203</v>
      </c>
      <c r="M4" s="22" t="s">
        <v>204</v>
      </c>
      <c r="N4" s="4"/>
      <c r="O4" s="4"/>
      <c r="P4" s="22" t="s">
        <v>32</v>
      </c>
      <c r="Q4" s="22" t="s">
        <v>242</v>
      </c>
      <c r="R4" s="22" t="s">
        <v>243</v>
      </c>
      <c r="S4" s="4"/>
      <c r="T4" s="4"/>
      <c r="U4" s="22" t="s">
        <v>245</v>
      </c>
      <c r="V4" s="22" t="s">
        <v>246</v>
      </c>
      <c r="W4" s="22" t="s">
        <v>247</v>
      </c>
      <c r="X4" s="22" t="s">
        <v>248</v>
      </c>
      <c r="Y4" s="22" t="s">
        <v>249</v>
      </c>
      <c r="Z4" s="22" t="s">
        <v>180</v>
      </c>
      <c r="AA4" s="22" t="s">
        <v>31</v>
      </c>
      <c r="AB4" s="22" t="s">
        <v>13</v>
      </c>
      <c r="AC4" s="22" t="s">
        <v>14</v>
      </c>
    </row>
    <row r="5" spans="1:29" ht="15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9" ht="15" x14ac:dyDescent="0.25">
      <c r="A6" s="4" t="s">
        <v>205</v>
      </c>
      <c r="B6" s="32">
        <v>0.17299999999999999</v>
      </c>
      <c r="C6" s="32">
        <v>0.13600000000000001</v>
      </c>
      <c r="D6" s="32">
        <v>-8.6999999999999994E-2</v>
      </c>
      <c r="E6" s="31"/>
      <c r="F6" s="31"/>
      <c r="G6" s="31">
        <v>306.52375999999998</v>
      </c>
      <c r="H6" s="31">
        <v>79.433340000000001</v>
      </c>
      <c r="I6" s="31">
        <v>104.69991</v>
      </c>
      <c r="J6" s="4"/>
      <c r="K6" s="2">
        <v>306.52355999999997</v>
      </c>
      <c r="L6" s="2">
        <v>79.433229999999995</v>
      </c>
      <c r="M6" s="2">
        <v>104.7</v>
      </c>
      <c r="N6" s="4"/>
      <c r="O6" s="4" t="s">
        <v>206</v>
      </c>
      <c r="P6" s="34">
        <v>-8.0510199999999994</v>
      </c>
      <c r="Q6" s="34">
        <v>5.1599999999999997E-3</v>
      </c>
      <c r="R6" s="34">
        <v>-3.8390000000000001E-2</v>
      </c>
      <c r="S6" s="33" t="s">
        <v>256</v>
      </c>
      <c r="T6" s="4"/>
    </row>
    <row r="7" spans="1:29" ht="15" x14ac:dyDescent="0.25">
      <c r="A7" s="4" t="s">
        <v>207</v>
      </c>
      <c r="B7" s="32">
        <v>0.185</v>
      </c>
      <c r="C7" s="32">
        <v>4.5999999999999999E-2</v>
      </c>
      <c r="D7" s="32">
        <v>-7.6999999999999999E-2</v>
      </c>
      <c r="E7" s="31"/>
      <c r="F7" s="31"/>
      <c r="G7" s="31">
        <v>306.52375000000001</v>
      </c>
      <c r="H7" s="31">
        <v>79.433250000000001</v>
      </c>
      <c r="I7" s="31">
        <v>104.69992000000001</v>
      </c>
      <c r="J7" s="4"/>
      <c r="K7" s="2">
        <v>306.52355999999997</v>
      </c>
      <c r="L7" s="2">
        <v>79.433229999999995</v>
      </c>
      <c r="M7" s="2">
        <v>104.7</v>
      </c>
      <c r="N7" s="4"/>
      <c r="O7" s="4" t="s">
        <v>206</v>
      </c>
      <c r="P7" s="34">
        <v>-8.0521899999999995</v>
      </c>
      <c r="Q7" s="34">
        <v>6.5900000000000004E-3</v>
      </c>
      <c r="R7" s="34">
        <v>-2.3779999999999999E-2</v>
      </c>
      <c r="S7" s="33" t="s">
        <v>208</v>
      </c>
      <c r="T7" s="4"/>
      <c r="U7">
        <f>(SQRT((H12-H10)^2+(G12-G10)^2))/0.0254</f>
        <v>51.057175043084918</v>
      </c>
    </row>
    <row r="8" spans="1:29" ht="15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29" ht="15" x14ac:dyDescent="0.25">
      <c r="A9" s="4" t="s">
        <v>209</v>
      </c>
      <c r="B9" s="22" t="s">
        <v>68</v>
      </c>
      <c r="C9" s="22" t="s">
        <v>69</v>
      </c>
      <c r="D9" s="22" t="s">
        <v>70</v>
      </c>
      <c r="E9" s="22"/>
      <c r="F9" s="4"/>
      <c r="G9" s="22" t="s">
        <v>202</v>
      </c>
      <c r="H9" s="22" t="s">
        <v>203</v>
      </c>
      <c r="I9" s="22" t="s">
        <v>204</v>
      </c>
      <c r="J9" s="4"/>
      <c r="K9" s="22" t="s">
        <v>202</v>
      </c>
      <c r="L9" s="22" t="s">
        <v>203</v>
      </c>
      <c r="M9" s="22" t="s">
        <v>204</v>
      </c>
      <c r="N9" s="4"/>
      <c r="O9" s="4"/>
      <c r="P9" s="4"/>
      <c r="Q9" s="4"/>
      <c r="R9" s="4"/>
      <c r="S9" s="4"/>
      <c r="T9" s="4"/>
    </row>
    <row r="10" spans="1:29" ht="15" x14ac:dyDescent="0.25">
      <c r="A10" s="4" t="s">
        <v>210</v>
      </c>
      <c r="B10" s="23">
        <v>-0.09</v>
      </c>
      <c r="C10" s="23">
        <v>-0.27</v>
      </c>
      <c r="D10" s="23">
        <v>-0.83</v>
      </c>
      <c r="E10" s="4" t="s">
        <v>46</v>
      </c>
      <c r="F10" s="4"/>
      <c r="G10" s="3">
        <v>303.09948000000003</v>
      </c>
      <c r="H10" s="3">
        <v>79.717939999999999</v>
      </c>
      <c r="I10" s="3">
        <v>104.76997</v>
      </c>
      <c r="J10" s="4"/>
      <c r="K10" s="3">
        <v>303.09960000000001</v>
      </c>
      <c r="L10" s="3">
        <v>79.718190000000007</v>
      </c>
      <c r="M10" s="3">
        <v>104.77079999999999</v>
      </c>
      <c r="N10" s="4"/>
      <c r="P10" s="16">
        <f>ATAN(((H12-H10)/(G12-G10)))*180/3.1415</f>
        <v>-8.0449907090024517</v>
      </c>
      <c r="Q10" s="16">
        <f>ATAN(((I12-I10)/(G12-G10)))*180/3.1415</f>
        <v>-7.1393711111308105E-3</v>
      </c>
      <c r="R10" s="16">
        <f>ATAN(((I10-I11)/(H11-H10)))*180/3.1415</f>
        <v>-1.1378328311305591E-2</v>
      </c>
      <c r="S10" s="4"/>
      <c r="T10" s="4"/>
      <c r="U10">
        <v>157.74</v>
      </c>
      <c r="V10">
        <f>U10*0.0254</f>
        <v>4.006596</v>
      </c>
      <c r="W10" s="3">
        <f>'Rel to Goni'!$D$70+HODO!V10-HODO!G10</f>
        <v>1.8265999999982796E-2</v>
      </c>
      <c r="X10">
        <v>-34.716999999999999</v>
      </c>
      <c r="Y10" s="4">
        <f>X10*0.0254</f>
        <v>-0.88181179999999992</v>
      </c>
      <c r="Z10" s="3">
        <f>80.6+HODO!Y10-HODO!H10</f>
        <v>2.4820000000147502E-4</v>
      </c>
      <c r="AA10" s="3">
        <f>G10-'Rel to Acc'!D20</f>
        <v>0</v>
      </c>
      <c r="AB10" s="3">
        <f>H10-'Rel to Acc'!E20</f>
        <v>0</v>
      </c>
      <c r="AC10" s="3">
        <f>I10-'Rel to Acc'!G20</f>
        <v>0</v>
      </c>
    </row>
    <row r="11" spans="1:29" ht="15" x14ac:dyDescent="0.25">
      <c r="A11" s="4" t="s">
        <v>211</v>
      </c>
      <c r="B11" s="23">
        <v>0.46</v>
      </c>
      <c r="C11" s="23">
        <v>152.38999999999999</v>
      </c>
      <c r="D11" s="23">
        <v>-0.8</v>
      </c>
      <c r="E11" s="4" t="s">
        <v>46</v>
      </c>
      <c r="F11" s="4"/>
      <c r="G11" s="3">
        <v>303.12139000000002</v>
      </c>
      <c r="H11" s="3">
        <v>79.869010000000003</v>
      </c>
      <c r="I11" s="3">
        <v>104.77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</row>
    <row r="12" spans="1:29" ht="15" x14ac:dyDescent="0.25">
      <c r="A12" s="4" t="s">
        <v>212</v>
      </c>
      <c r="B12" s="23">
        <v>1296.77</v>
      </c>
      <c r="C12" s="23">
        <v>-0.15</v>
      </c>
      <c r="D12" s="23">
        <v>-0.99</v>
      </c>
      <c r="E12" s="4" t="s">
        <v>46</v>
      </c>
      <c r="F12" s="4"/>
      <c r="G12" s="3">
        <v>304.38357000000002</v>
      </c>
      <c r="H12" s="3">
        <v>79.536450000000002</v>
      </c>
      <c r="I12" s="3">
        <v>104.76981000000001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>
        <v>208.238</v>
      </c>
      <c r="V12" s="4">
        <f>U12*0.0254</f>
        <v>5.2892451999999999</v>
      </c>
      <c r="W12" s="3">
        <f>'Rel to Goni'!$D$70+HODO!V12-HODO!G12</f>
        <v>1.6825199999971119E-2</v>
      </c>
      <c r="X12">
        <v>-41.859000000000002</v>
      </c>
      <c r="Y12" s="4">
        <f>X12*0.0254</f>
        <v>-1.0632185999999999</v>
      </c>
      <c r="Z12" s="3">
        <f>80.6+HODO!Y12-HODO!H12</f>
        <v>3.3139999999320935E-4</v>
      </c>
    </row>
    <row r="13" spans="1:29" ht="15" x14ac:dyDescent="0.25">
      <c r="A13" s="4" t="s">
        <v>213</v>
      </c>
      <c r="B13" s="23">
        <v>1296.67</v>
      </c>
      <c r="C13" s="23">
        <v>152.38</v>
      </c>
      <c r="D13" s="23">
        <v>-0.95</v>
      </c>
      <c r="E13" s="4" t="s">
        <v>46</v>
      </c>
      <c r="F13" s="4"/>
      <c r="G13" s="3">
        <v>304.40483</v>
      </c>
      <c r="H13" s="3">
        <v>79.687479999999994</v>
      </c>
      <c r="I13" s="3">
        <v>104.76985000000001</v>
      </c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9" ht="15" x14ac:dyDescent="0.25">
      <c r="A14" s="4"/>
      <c r="B14" s="23"/>
      <c r="C14" s="23"/>
      <c r="D14" s="23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9" ht="15" x14ac:dyDescent="0.25">
      <c r="A15" s="4" t="s">
        <v>214</v>
      </c>
      <c r="B15" s="23">
        <v>0.09</v>
      </c>
      <c r="C15" s="23">
        <v>0.85</v>
      </c>
      <c r="D15" s="23">
        <v>-0.74</v>
      </c>
      <c r="E15" s="4"/>
      <c r="F15" s="4"/>
      <c r="G15" s="3">
        <v>304.38873000000001</v>
      </c>
      <c r="H15" s="3">
        <v>79.536720000000003</v>
      </c>
      <c r="I15" s="3">
        <v>104.77006</v>
      </c>
      <c r="J15" s="4"/>
      <c r="K15" s="3">
        <v>304.38852000000003</v>
      </c>
      <c r="L15" s="3">
        <v>79.535889999999995</v>
      </c>
      <c r="M15" s="3">
        <v>104.77079999999999</v>
      </c>
      <c r="N15" s="4"/>
      <c r="O15" s="4"/>
      <c r="P15" s="16">
        <f>ATAN(((H17-H15)/(G17-G15)))*180/3.1415</f>
        <v>-8.0499647158416092</v>
      </c>
      <c r="Q15" s="16">
        <f>ATAN(((I17-I15)/(G17-G15)))*180/3.1415</f>
        <v>-4.0328556835919349E-3</v>
      </c>
      <c r="R15" s="16">
        <f>ATAN(((I15-I16)/(H16-H15)))*180/3.1415</f>
        <v>-0.21295835331764326</v>
      </c>
      <c r="S15" s="4"/>
      <c r="T15" s="4"/>
      <c r="U15">
        <v>208.48500000000001</v>
      </c>
      <c r="V15" s="4">
        <f>U15*0.0254</f>
        <v>5.2955190000000005</v>
      </c>
      <c r="W15" s="3">
        <f>'Rel to Goni'!$D$70+HODO!V15-HODO!G15</f>
        <v>1.7939000000012584E-2</v>
      </c>
      <c r="X15">
        <v>-41.893999999999998</v>
      </c>
      <c r="Y15" s="4">
        <f>X15*0.0254</f>
        <v>-1.0641075999999998</v>
      </c>
      <c r="Z15" s="3">
        <f>80.6+HODO!Y15-HODO!H15</f>
        <v>-8.2760000000803302E-4</v>
      </c>
      <c r="AA15" s="3">
        <f>G15-'Rel to Acc'!D21</f>
        <v>0</v>
      </c>
      <c r="AB15" s="3">
        <f>H15-'Rel to Acc'!E21</f>
        <v>0</v>
      </c>
      <c r="AC15" s="3">
        <f>I15-'Rel to Acc'!G21</f>
        <v>0</v>
      </c>
    </row>
    <row r="16" spans="1:29" ht="15" x14ac:dyDescent="0.25">
      <c r="A16" s="4" t="s">
        <v>215</v>
      </c>
      <c r="B16" s="23">
        <v>0.13</v>
      </c>
      <c r="C16" s="23">
        <v>153.02000000000001</v>
      </c>
      <c r="D16" s="23">
        <v>-0.18</v>
      </c>
      <c r="E16" s="4"/>
      <c r="F16" s="4"/>
      <c r="G16" s="3">
        <v>304.41007999999999</v>
      </c>
      <c r="H16" s="3">
        <v>79.687389999999994</v>
      </c>
      <c r="I16" s="3">
        <v>104.77061999999999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9" ht="15" x14ac:dyDescent="0.25">
      <c r="A17" s="4" t="s">
        <v>216</v>
      </c>
      <c r="B17" s="23">
        <v>1291.5</v>
      </c>
      <c r="C17" s="23">
        <v>0.85</v>
      </c>
      <c r="D17" s="23">
        <v>-0.83</v>
      </c>
      <c r="E17" s="4"/>
      <c r="F17" s="4"/>
      <c r="G17" s="3">
        <v>305.66741999999999</v>
      </c>
      <c r="H17" s="3">
        <v>79.355879999999999</v>
      </c>
      <c r="I17" s="3">
        <v>104.76997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>
        <v>258.73500000000001</v>
      </c>
      <c r="V17" s="4">
        <f>U17*0.0254</f>
        <v>6.5718690000000004</v>
      </c>
      <c r="W17" s="3">
        <f>'Rel to Goni'!$D$70+HODO!V17-HODO!G17</f>
        <v>1.55990000000088E-2</v>
      </c>
      <c r="X17">
        <v>-49.000999999999998</v>
      </c>
      <c r="Y17" s="4">
        <f>X17*0.0254</f>
        <v>-1.2446253999999999</v>
      </c>
      <c r="Z17" s="3">
        <f>80.6+HODO!Y17-HODO!H17</f>
        <v>-5.0540000000864893E-4</v>
      </c>
    </row>
    <row r="18" spans="1:29" ht="15" x14ac:dyDescent="0.25">
      <c r="A18" s="4" t="s">
        <v>217</v>
      </c>
      <c r="B18" s="23">
        <v>1291.46</v>
      </c>
      <c r="C18" s="23">
        <v>152.69</v>
      </c>
      <c r="D18" s="23">
        <v>-0.27</v>
      </c>
      <c r="E18" s="4"/>
      <c r="F18" s="4"/>
      <c r="G18" s="3">
        <v>305.68864000000002</v>
      </c>
      <c r="H18" s="3">
        <v>79.506219999999999</v>
      </c>
      <c r="I18" s="3">
        <v>104.77052999999999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9" ht="15" x14ac:dyDescent="0.25">
      <c r="A19" s="4" t="s">
        <v>46</v>
      </c>
      <c r="B19" s="23"/>
      <c r="C19" s="23"/>
      <c r="D19" s="23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9" ht="15" x14ac:dyDescent="0.25">
      <c r="A20" s="26" t="s">
        <v>218</v>
      </c>
      <c r="B20" s="28">
        <v>0.24</v>
      </c>
      <c r="C20" s="28">
        <v>-0.5</v>
      </c>
      <c r="D20" s="28">
        <v>-0.51</v>
      </c>
      <c r="E20" s="26"/>
      <c r="F20" s="26"/>
      <c r="G20" s="29">
        <v>305.66979092000003</v>
      </c>
      <c r="H20" s="29">
        <v>79.354157810000004</v>
      </c>
      <c r="I20" s="29">
        <v>104.77029434000001</v>
      </c>
      <c r="J20" s="26"/>
      <c r="K20" s="29">
        <v>305.66962000000001</v>
      </c>
      <c r="L20" s="29">
        <v>79.354690000000005</v>
      </c>
      <c r="M20" s="29">
        <v>104.77079999999999</v>
      </c>
      <c r="N20" s="4"/>
      <c r="O20" s="4"/>
      <c r="P20" s="16">
        <f>ATAN(((H22-H20)/(G22-G20)))*180/3.1415</f>
        <v>-8.0972930165940973</v>
      </c>
      <c r="Q20" s="16">
        <f>ATAN(((I22-I20)/(G22-G20)))*180/3.1415</f>
        <v>3.9426660429168023E-2</v>
      </c>
      <c r="R20" s="16">
        <f>ATAN(((I20-I21)/(H21-H20)))*180/3.1415</f>
        <v>6.6413330920329333E-2</v>
      </c>
      <c r="S20" s="4"/>
      <c r="T20" s="4"/>
      <c r="U20">
        <v>258.92200000000003</v>
      </c>
      <c r="V20" s="4">
        <f>U20*0.0254</f>
        <v>6.5766188000000003</v>
      </c>
      <c r="W20" s="3">
        <f>'Rel to Goni'!$D$70+HODO!V20-HODO!G20</f>
        <v>1.7977879999989455E-2</v>
      </c>
      <c r="X20">
        <v>-49.027999999999999</v>
      </c>
      <c r="Y20" s="4">
        <f>X20*0.0254</f>
        <v>-1.2453112</v>
      </c>
      <c r="Z20" s="3">
        <f>80.6+HODO!Y20-HODO!H20</f>
        <v>5.3098999998724139E-4</v>
      </c>
      <c r="AA20" s="3">
        <f>G20-'Rel to Acc'!D22</f>
        <v>0</v>
      </c>
      <c r="AB20" s="3">
        <f>H20-'Rel to Acc'!E22</f>
        <v>0</v>
      </c>
      <c r="AC20" s="3">
        <f>I20-'Rel to Acc'!G22</f>
        <v>0</v>
      </c>
    </row>
    <row r="21" spans="1:29" ht="15" x14ac:dyDescent="0.25">
      <c r="A21" s="26" t="s">
        <v>219</v>
      </c>
      <c r="B21" s="28">
        <v>0.88</v>
      </c>
      <c r="C21" s="28">
        <v>152.5</v>
      </c>
      <c r="D21" s="28">
        <v>-0.69</v>
      </c>
      <c r="E21" s="26"/>
      <c r="F21" s="26"/>
      <c r="G21" s="29">
        <v>305.69184792999999</v>
      </c>
      <c r="H21" s="29">
        <v>79.505560070000001</v>
      </c>
      <c r="I21" s="29">
        <v>104.77011885</v>
      </c>
      <c r="J21" s="26"/>
      <c r="K21" s="26"/>
      <c r="L21" s="26"/>
      <c r="M21" s="26"/>
      <c r="N21" s="4"/>
      <c r="O21" s="4"/>
      <c r="P21" s="4"/>
      <c r="Q21" s="4"/>
      <c r="R21" s="4"/>
      <c r="S21" s="4"/>
      <c r="T21" s="4"/>
    </row>
    <row r="22" spans="1:29" ht="15" x14ac:dyDescent="0.25">
      <c r="A22" s="26" t="s">
        <v>220</v>
      </c>
      <c r="B22" s="28">
        <v>997.33</v>
      </c>
      <c r="C22" s="28">
        <v>-1.32</v>
      </c>
      <c r="D22" s="28">
        <v>0.17</v>
      </c>
      <c r="E22" s="26"/>
      <c r="F22" s="26"/>
      <c r="G22" s="29">
        <v>306.65693699000002</v>
      </c>
      <c r="H22" s="29">
        <v>79.213717900000006</v>
      </c>
      <c r="I22" s="29">
        <v>104.7709736</v>
      </c>
      <c r="J22" s="26"/>
      <c r="K22" s="26"/>
      <c r="L22" s="26"/>
      <c r="M22" s="26"/>
      <c r="N22" s="4"/>
      <c r="O22" s="4"/>
      <c r="P22" s="4"/>
      <c r="Q22" s="4"/>
      <c r="R22" s="4"/>
      <c r="S22" s="4"/>
      <c r="T22" s="4"/>
      <c r="U22">
        <v>297.786</v>
      </c>
      <c r="V22" s="4">
        <f>U22*0.0254</f>
        <v>7.5637644000000002</v>
      </c>
      <c r="W22" s="3">
        <f>'Rel to Goni'!$D$70+HODO!V22-HODO!G22</f>
        <v>1.7977410000014515E-2</v>
      </c>
      <c r="X22">
        <v>-54.524000000000001</v>
      </c>
      <c r="Y22" s="4">
        <f>X22*0.0254</f>
        <v>-1.3849096000000001</v>
      </c>
      <c r="Z22" s="3">
        <f>80.6+HODO!Y22-HODO!H22</f>
        <v>1.3724999999880083E-3</v>
      </c>
    </row>
    <row r="23" spans="1:29" ht="15" x14ac:dyDescent="0.25">
      <c r="A23" s="26" t="s">
        <v>221</v>
      </c>
      <c r="B23" s="28">
        <v>997.56</v>
      </c>
      <c r="C23" s="28">
        <v>151.68</v>
      </c>
      <c r="D23" s="28">
        <v>-0.01</v>
      </c>
      <c r="E23" s="26"/>
      <c r="F23" s="26"/>
      <c r="G23" s="29">
        <v>306.67858727999999</v>
      </c>
      <c r="H23" s="29">
        <v>79.365178020000002</v>
      </c>
      <c r="I23" s="29">
        <v>104.77079783000001</v>
      </c>
      <c r="J23" s="26"/>
      <c r="K23" s="26"/>
      <c r="L23" s="26"/>
      <c r="M23" s="26"/>
      <c r="N23" s="4"/>
      <c r="O23" s="4"/>
      <c r="P23" s="4"/>
      <c r="Q23" s="4"/>
      <c r="R23" s="4"/>
      <c r="S23" s="4"/>
      <c r="T23" s="4"/>
      <c r="U23" s="24"/>
    </row>
    <row r="24" spans="1:29" ht="15" x14ac:dyDescent="0.25">
      <c r="A24" s="4"/>
      <c r="B24" s="23"/>
      <c r="C24" s="23"/>
      <c r="D24" s="23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9" ht="15" x14ac:dyDescent="0.25">
      <c r="A25" s="26" t="s">
        <v>222</v>
      </c>
      <c r="B25" s="28">
        <v>-1.29</v>
      </c>
      <c r="C25" s="28">
        <v>0.02</v>
      </c>
      <c r="D25" s="28">
        <v>-0.55000000000000004</v>
      </c>
      <c r="E25" s="26"/>
      <c r="F25" s="26"/>
      <c r="G25" s="29">
        <v>306.65924812999998</v>
      </c>
      <c r="H25" s="29">
        <v>79.214755740000001</v>
      </c>
      <c r="I25" s="29">
        <v>104.77024795</v>
      </c>
      <c r="J25" s="26"/>
      <c r="K25" s="29">
        <v>306.66052000000002</v>
      </c>
      <c r="L25" s="29">
        <v>79.214560000000006</v>
      </c>
      <c r="M25" s="29">
        <v>104.77079999999999</v>
      </c>
      <c r="N25" s="4"/>
      <c r="O25" s="4"/>
      <c r="P25" s="16">
        <f>ATAN(((H27-H25)/(G27-G25)))*180/3.1415</f>
        <v>-8.0164809023229786</v>
      </c>
      <c r="Q25" s="16">
        <f>ATAN(((I27-I25)/(G27-G25)))*180/3.1415</f>
        <v>-2.705771214530469E-2</v>
      </c>
      <c r="R25" s="16">
        <f>ATAN(((I25-I26)/(H26-H25)))*180/3.1415</f>
        <v>-0.13892182645740128</v>
      </c>
      <c r="S25" s="4"/>
      <c r="T25" s="4"/>
      <c r="U25">
        <v>297.93400000000003</v>
      </c>
      <c r="V25" s="4">
        <f>U25*0.0254</f>
        <v>7.5675236000000004</v>
      </c>
      <c r="W25" s="3">
        <f>'Rel to Goni'!$D$70+HODO!V25-HODO!G25</f>
        <v>1.9425470000044243E-2</v>
      </c>
      <c r="X25">
        <v>-54.545000000000002</v>
      </c>
      <c r="Y25" s="4">
        <f>X25*0.0254</f>
        <v>-1.385443</v>
      </c>
      <c r="Z25" s="3">
        <f>80.6+HODO!Y25-HODO!H25</f>
        <v>-1.9874000000186243E-4</v>
      </c>
      <c r="AA25" s="3">
        <f>G25-'Rel to Acc'!D23</f>
        <v>0</v>
      </c>
      <c r="AB25" s="3">
        <f>H25-'Rel to Acc'!E23</f>
        <v>0</v>
      </c>
      <c r="AC25" s="3">
        <f>I25-'Rel to Acc'!G23</f>
        <v>0</v>
      </c>
    </row>
    <row r="26" spans="1:29" ht="15" x14ac:dyDescent="0.25">
      <c r="A26" s="26" t="s">
        <v>223</v>
      </c>
      <c r="B26" s="28">
        <v>-1.53</v>
      </c>
      <c r="C26" s="28">
        <v>153.47</v>
      </c>
      <c r="D26" s="28">
        <v>-0.18</v>
      </c>
      <c r="E26" s="26"/>
      <c r="F26" s="26"/>
      <c r="G26" s="29">
        <v>306.68049305</v>
      </c>
      <c r="H26" s="29">
        <v>79.366736919999994</v>
      </c>
      <c r="I26" s="29">
        <v>104.77061644</v>
      </c>
      <c r="J26" s="26"/>
      <c r="K26" s="26"/>
      <c r="L26" s="26"/>
      <c r="M26" s="26"/>
      <c r="N26" s="4"/>
      <c r="O26" s="4"/>
      <c r="P26" s="4"/>
      <c r="Q26" s="4"/>
      <c r="R26" s="4"/>
      <c r="S26" s="4"/>
      <c r="T26" s="4"/>
    </row>
    <row r="27" spans="1:29" ht="15" x14ac:dyDescent="0.25">
      <c r="A27" s="26" t="s">
        <v>224</v>
      </c>
      <c r="B27" s="28">
        <v>1051.5</v>
      </c>
      <c r="C27" s="28">
        <v>0.64</v>
      </c>
      <c r="D27" s="28">
        <v>-1.04</v>
      </c>
      <c r="E27" s="26"/>
      <c r="F27" s="26"/>
      <c r="G27" s="29">
        <v>307.70174358999998</v>
      </c>
      <c r="H27" s="29">
        <v>79.067941140000002</v>
      </c>
      <c r="I27" s="29">
        <v>104.76975565000001</v>
      </c>
      <c r="J27" s="26"/>
      <c r="K27" s="29"/>
      <c r="L27" s="26"/>
      <c r="M27" s="26"/>
      <c r="N27" s="4"/>
      <c r="O27" s="4"/>
      <c r="P27" s="4"/>
      <c r="Q27" s="4"/>
      <c r="R27" s="4"/>
      <c r="S27" s="4"/>
      <c r="T27" s="4"/>
      <c r="U27">
        <v>338.90199999999999</v>
      </c>
      <c r="V27" s="4">
        <f>U27*0.0254</f>
        <v>8.6081107999999986</v>
      </c>
      <c r="W27" s="3">
        <f>'Rel to Goni'!$D$70+HODO!V27-HODO!G27</f>
        <v>1.7517210000050909E-2</v>
      </c>
      <c r="X27">
        <v>-60.338999999999999</v>
      </c>
      <c r="Y27" s="4">
        <f>X27*0.0254</f>
        <v>-1.5326105999999999</v>
      </c>
      <c r="Z27" s="3">
        <f>80.6+HODO!Y27-HODO!H27</f>
        <v>-5.5174000000590695E-4</v>
      </c>
    </row>
    <row r="28" spans="1:29" ht="15" x14ac:dyDescent="0.25">
      <c r="A28" s="26" t="s">
        <v>225</v>
      </c>
      <c r="B28" s="28">
        <v>1051.5899999999999</v>
      </c>
      <c r="C28" s="28">
        <v>154.09</v>
      </c>
      <c r="D28" s="28">
        <v>-0.68</v>
      </c>
      <c r="E28" s="26"/>
      <c r="F28" s="26"/>
      <c r="G28" s="29">
        <v>307.72332311000002</v>
      </c>
      <c r="H28" s="29">
        <v>79.219875200000004</v>
      </c>
      <c r="I28" s="29">
        <v>104.77012399</v>
      </c>
      <c r="J28" s="26"/>
      <c r="K28" s="29"/>
      <c r="L28" s="26"/>
      <c r="M28" s="26"/>
      <c r="N28" s="4"/>
      <c r="O28" s="4"/>
      <c r="P28" s="4"/>
      <c r="Q28" s="4"/>
      <c r="R28" s="4"/>
      <c r="S28" s="4"/>
      <c r="T28" s="4"/>
    </row>
    <row r="29" spans="1:29" ht="15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4"/>
      <c r="O29" s="4"/>
      <c r="P29" s="4"/>
      <c r="Q29" s="4"/>
      <c r="R29" s="4"/>
      <c r="S29" s="4"/>
      <c r="T29" s="4"/>
    </row>
    <row r="30" spans="1:29" x14ac:dyDescent="0.3">
      <c r="A30" s="26" t="s">
        <v>226</v>
      </c>
      <c r="B30" s="28">
        <v>-0.08</v>
      </c>
      <c r="C30" s="28">
        <v>0.9</v>
      </c>
      <c r="D30" s="28">
        <v>-1</v>
      </c>
      <c r="E30" s="26"/>
      <c r="F30" s="26"/>
      <c r="G30" s="29">
        <v>307.70428380999999</v>
      </c>
      <c r="H30" s="29">
        <v>79.067831780000006</v>
      </c>
      <c r="I30" s="29">
        <v>104.76980234</v>
      </c>
      <c r="J30" s="26"/>
      <c r="K30" s="29">
        <v>307.70424000000003</v>
      </c>
      <c r="L30" s="29">
        <v>79.066929999999999</v>
      </c>
      <c r="M30" s="29">
        <v>104.77079999999999</v>
      </c>
      <c r="N30" s="4"/>
      <c r="O30" s="4"/>
      <c r="P30" s="16">
        <f>ATAN(((H32-H30)/(G32-G30)))*180/3.1415</f>
        <v>-8.1219318911421308</v>
      </c>
      <c r="Q30" s="16">
        <f>ATAN(((I32-I30)/(G32-G30)))*180/3.1415</f>
        <v>-8.8322313335489136E-3</v>
      </c>
      <c r="R30" s="16">
        <f>ATAN(((I30-I31)/(H31-H30)))*180/3.1415</f>
        <v>-0.21263713474690324</v>
      </c>
      <c r="S30" s="4"/>
      <c r="T30" s="4"/>
      <c r="U30">
        <v>339.02499999999998</v>
      </c>
      <c r="V30" s="4">
        <f>U30*0.0254</f>
        <v>8.6112349999999989</v>
      </c>
      <c r="W30" s="3">
        <f>'Rel to Goni'!$D$70+HODO!V30-HODO!G30</f>
        <v>1.8101190000038514E-2</v>
      </c>
      <c r="X30">
        <v>-60.356999999999999</v>
      </c>
      <c r="Y30" s="4">
        <f>X30*0.0254</f>
        <v>-1.5330678</v>
      </c>
      <c r="Z30" s="3">
        <f>80.6+HODO!Y30-HODO!H30</f>
        <v>-8.995800000093368E-4</v>
      </c>
      <c r="AA30" s="3">
        <f>G30-'Rel to Acc'!D24</f>
        <v>0</v>
      </c>
      <c r="AB30" s="3">
        <f>H30-'Rel to Acc'!E24</f>
        <v>0</v>
      </c>
      <c r="AC30" s="3">
        <f>I30-'Rel to Acc'!G24</f>
        <v>0</v>
      </c>
    </row>
    <row r="31" spans="1:29" x14ac:dyDescent="0.3">
      <c r="A31" s="26" t="s">
        <v>227</v>
      </c>
      <c r="B31" s="28">
        <v>-0.56999999999999995</v>
      </c>
      <c r="C31" s="28">
        <v>154.41999999999999</v>
      </c>
      <c r="D31" s="28">
        <v>-0.43</v>
      </c>
      <c r="E31" s="26"/>
      <c r="F31" s="26"/>
      <c r="G31" s="29">
        <v>307.72530218000003</v>
      </c>
      <c r="H31" s="29">
        <v>79.219912320000006</v>
      </c>
      <c r="I31" s="29">
        <v>104.77036673000001</v>
      </c>
      <c r="J31" s="26"/>
      <c r="K31" s="29"/>
      <c r="L31" s="26"/>
      <c r="M31" s="26"/>
      <c r="N31" s="4"/>
      <c r="O31" s="4"/>
      <c r="P31" s="4"/>
      <c r="Q31" s="4"/>
      <c r="R31" s="4"/>
      <c r="S31" s="4"/>
      <c r="T31" s="4"/>
    </row>
    <row r="32" spans="1:29" x14ac:dyDescent="0.3">
      <c r="A32" s="26" t="s">
        <v>228</v>
      </c>
      <c r="B32" s="28">
        <v>1042.83</v>
      </c>
      <c r="C32" s="28">
        <v>-0.41</v>
      </c>
      <c r="D32" s="28">
        <v>-1.1599999999999999</v>
      </c>
      <c r="E32" s="26"/>
      <c r="F32" s="26"/>
      <c r="G32" s="29">
        <v>308.73674003000002</v>
      </c>
      <c r="H32" s="29">
        <v>78.920492670000002</v>
      </c>
      <c r="I32" s="29">
        <v>104.76964319</v>
      </c>
      <c r="J32" s="26"/>
      <c r="K32" s="29"/>
      <c r="L32" s="26"/>
      <c r="M32" s="26"/>
      <c r="N32" s="4"/>
      <c r="O32" s="4"/>
      <c r="P32" s="4"/>
      <c r="Q32" s="4"/>
      <c r="R32" s="4"/>
      <c r="S32" s="4"/>
      <c r="T32" s="4"/>
      <c r="U32">
        <v>379.62099999999998</v>
      </c>
      <c r="V32" s="4">
        <f>U32*0.0254</f>
        <v>9.6423733999999985</v>
      </c>
      <c r="W32" s="3">
        <f>'Rel to Goni'!$D$70+HODO!V32-HODO!G32</f>
        <v>1.6783369999984643E-2</v>
      </c>
      <c r="X32">
        <v>-66.097999999999999</v>
      </c>
      <c r="Y32" s="4">
        <f>X32*0.0254</f>
        <v>-1.6788892</v>
      </c>
      <c r="Z32" s="3">
        <f>80.6+HODO!Y32-HODO!H32</f>
        <v>6.1812999999233398E-4</v>
      </c>
    </row>
    <row r="33" spans="1:29" x14ac:dyDescent="0.3">
      <c r="A33" s="26" t="s">
        <v>229</v>
      </c>
      <c r="B33" s="30" t="s">
        <v>254</v>
      </c>
      <c r="C33" s="28">
        <v>153.12</v>
      </c>
      <c r="D33" s="28">
        <v>-0.59</v>
      </c>
      <c r="E33" s="26"/>
      <c r="F33" s="26"/>
      <c r="G33" s="27" t="s">
        <v>255</v>
      </c>
      <c r="H33" s="29">
        <v>79.072327250000001</v>
      </c>
      <c r="I33" s="29">
        <v>104.77020731</v>
      </c>
      <c r="J33" s="26"/>
      <c r="K33" s="29"/>
      <c r="L33" s="26"/>
      <c r="M33" s="26"/>
      <c r="N33" s="4"/>
      <c r="O33" s="4"/>
      <c r="P33" s="4"/>
      <c r="Q33" s="4"/>
      <c r="R33" s="4"/>
      <c r="S33" s="4"/>
      <c r="T33" s="4"/>
    </row>
    <row r="34" spans="1:29" x14ac:dyDescent="0.3">
      <c r="A34" s="4"/>
      <c r="B34" s="23"/>
      <c r="C34" s="23"/>
      <c r="D34" s="23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9" x14ac:dyDescent="0.3">
      <c r="A35" s="4" t="s">
        <v>230</v>
      </c>
      <c r="B35" s="23">
        <v>0.64</v>
      </c>
      <c r="C35" s="23">
        <v>1.43</v>
      </c>
      <c r="D35" s="23">
        <v>-1.61</v>
      </c>
      <c r="E35" s="4"/>
      <c r="F35" s="4"/>
      <c r="G35" s="3">
        <v>308.89994000000002</v>
      </c>
      <c r="H35" s="3">
        <v>78.899289999999993</v>
      </c>
      <c r="I35" s="3">
        <v>104.76918999999999</v>
      </c>
      <c r="J35" s="4"/>
      <c r="K35" s="3">
        <v>308.89909999999998</v>
      </c>
      <c r="L35" s="3">
        <v>78.897970000000001</v>
      </c>
      <c r="M35" s="3">
        <v>104.77079999999999</v>
      </c>
      <c r="N35" s="4"/>
      <c r="O35" s="4"/>
      <c r="P35" s="16">
        <f>ATAN(((H37-H35)/(G37-G35)))*180/3.1415</f>
        <v>-8.0937395766408056</v>
      </c>
      <c r="Q35" s="16">
        <f>ATAN(((I37-I35)/(G37-G35)))*180/3.1415</f>
        <v>3.3280790462276548E-2</v>
      </c>
      <c r="R35" s="16">
        <f>ATAN(((I35-I36)/(H36-H35)))*180/3.1415</f>
        <v>-0.26761994223792479</v>
      </c>
      <c r="S35" s="4"/>
      <c r="T35" s="4"/>
      <c r="U35">
        <v>386.05700000000002</v>
      </c>
      <c r="V35" s="4">
        <f>U35*0.0254</f>
        <v>9.8058478000000004</v>
      </c>
      <c r="W35" s="3">
        <f>'Rel to Goni'!$D$70+HODO!V35-HODO!G35</f>
        <v>1.7057799999975032E-2</v>
      </c>
      <c r="X35">
        <v>-67.009</v>
      </c>
      <c r="Y35" s="4">
        <f>X35*0.0254</f>
        <v>-1.7020286</v>
      </c>
      <c r="Z35" s="3">
        <f>80.6+HODO!Y35-HODO!H35</f>
        <v>-1.3186000000047216E-3</v>
      </c>
      <c r="AA35" s="3">
        <f>G35-'Rel to Acc'!D25</f>
        <v>0</v>
      </c>
      <c r="AB35" s="3">
        <f>H35-'Rel to Acc'!E25</f>
        <v>0</v>
      </c>
      <c r="AC35" s="3">
        <f>I35-'Rel to Acc'!G25</f>
        <v>0</v>
      </c>
    </row>
    <row r="36" spans="1:29" x14ac:dyDescent="0.3">
      <c r="A36" s="4" t="s">
        <v>231</v>
      </c>
      <c r="B36" s="23">
        <v>0.76</v>
      </c>
      <c r="C36" s="23">
        <v>154.96</v>
      </c>
      <c r="D36" s="23">
        <v>-0.9</v>
      </c>
      <c r="E36" s="4"/>
      <c r="F36" s="4"/>
      <c r="G36" s="3">
        <v>308.92155000000002</v>
      </c>
      <c r="H36" s="3">
        <v>79.051299999999998</v>
      </c>
      <c r="I36" s="3">
        <v>104.76990000000001</v>
      </c>
      <c r="J36" s="4"/>
      <c r="K36" s="3"/>
      <c r="L36" s="4"/>
      <c r="M36" s="4"/>
      <c r="N36" s="4"/>
      <c r="O36" s="4"/>
      <c r="P36" s="4"/>
      <c r="Q36" s="4"/>
      <c r="R36" s="4"/>
      <c r="S36" s="4"/>
      <c r="T36" s="4"/>
    </row>
    <row r="37" spans="1:29" x14ac:dyDescent="0.3">
      <c r="A37" s="4" t="s">
        <v>232</v>
      </c>
      <c r="B37" s="23">
        <v>1200.53</v>
      </c>
      <c r="C37" s="23">
        <v>0.51</v>
      </c>
      <c r="D37" s="23">
        <v>-0.92</v>
      </c>
      <c r="E37" s="4"/>
      <c r="F37" s="4"/>
      <c r="G37" s="3">
        <v>310.08787000000001</v>
      </c>
      <c r="H37" s="3">
        <v>78.730360000000005</v>
      </c>
      <c r="I37" s="3">
        <v>104.76988</v>
      </c>
      <c r="J37" s="4"/>
      <c r="K37" s="3"/>
      <c r="L37" s="4"/>
      <c r="M37" s="4"/>
      <c r="N37" s="4"/>
      <c r="O37" s="4"/>
      <c r="P37" s="4"/>
      <c r="Q37" s="4"/>
      <c r="R37" s="4"/>
      <c r="S37" s="4"/>
      <c r="T37" s="4"/>
      <c r="U37">
        <v>432.84199999999998</v>
      </c>
      <c r="V37" s="4">
        <f>U37*0.0254</f>
        <v>10.9941868</v>
      </c>
      <c r="W37" s="3">
        <f>'Rel to Goni'!$D$70+HODO!V37-HODO!G37</f>
        <v>1.7466800000022431E-2</v>
      </c>
      <c r="X37">
        <v>-73.625</v>
      </c>
      <c r="Y37" s="4">
        <f>X37*0.0254</f>
        <v>-1.8700749999999999</v>
      </c>
      <c r="Z37" s="3">
        <f>80.6+HODO!Y37-HODO!H37</f>
        <v>-4.3500000001017725E-4</v>
      </c>
    </row>
    <row r="38" spans="1:29" x14ac:dyDescent="0.3">
      <c r="A38" s="4" t="s">
        <v>233</v>
      </c>
      <c r="B38" s="23">
        <v>1200.44</v>
      </c>
      <c r="C38" s="23">
        <v>154.05000000000001</v>
      </c>
      <c r="D38" s="23">
        <v>-0.2</v>
      </c>
      <c r="E38" s="4"/>
      <c r="F38" s="4"/>
      <c r="G38" s="3">
        <v>310.10928000000001</v>
      </c>
      <c r="H38" s="3">
        <v>78.882400000000004</v>
      </c>
      <c r="I38" s="3">
        <v>104.7706</v>
      </c>
      <c r="J38" s="4"/>
      <c r="K38" s="3"/>
      <c r="L38" s="4"/>
      <c r="M38" s="4"/>
      <c r="N38" s="4"/>
      <c r="O38" s="4"/>
      <c r="P38" s="4"/>
      <c r="Q38" s="4"/>
      <c r="R38" s="4"/>
      <c r="S38" s="4"/>
      <c r="T38" s="4"/>
    </row>
    <row r="39" spans="1:29" x14ac:dyDescent="0.3">
      <c r="A39" s="4"/>
      <c r="B39" s="23"/>
      <c r="C39" s="23"/>
      <c r="D39" s="23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9" x14ac:dyDescent="0.3">
      <c r="A40" s="4" t="s">
        <v>234</v>
      </c>
      <c r="B40" s="23">
        <v>-0.75</v>
      </c>
      <c r="C40" s="23">
        <v>0</v>
      </c>
      <c r="D40" s="23">
        <v>-0.63</v>
      </c>
      <c r="E40" s="4"/>
      <c r="F40" s="4"/>
      <c r="G40" s="3">
        <v>310.14301</v>
      </c>
      <c r="H40" s="3">
        <v>78.722020000000001</v>
      </c>
      <c r="I40" s="3">
        <v>104.77017000000001</v>
      </c>
      <c r="J40" s="4"/>
      <c r="K40" s="3">
        <v>310.14375000000001</v>
      </c>
      <c r="L40" s="3">
        <v>78.721919999999997</v>
      </c>
      <c r="M40" s="3">
        <v>104.77079999999999</v>
      </c>
      <c r="N40" s="4"/>
      <c r="O40" s="4"/>
      <c r="P40" s="16">
        <f>ATAN(((H42-H40)/(G42-G40)))*180/3.1415</f>
        <v>-8.0610361783406557</v>
      </c>
      <c r="Q40" s="16">
        <f>ATAN(((I42-I40)/(G42-G40)))*180/3.1415</f>
        <v>-1.043013430950851E-2</v>
      </c>
      <c r="R40" s="16">
        <f>ATAN(((I40-I41)/(H41-H40)))*180/3.1415</f>
        <v>-3.7950370389948297E-3</v>
      </c>
      <c r="S40" s="4"/>
      <c r="T40" s="4"/>
      <c r="U40">
        <v>435.06900000000002</v>
      </c>
      <c r="V40" s="4">
        <f>U40*0.0254</f>
        <v>11.050752599999999</v>
      </c>
      <c r="W40" s="3">
        <f>'Rel to Goni'!$D$70+HODO!V40-HODO!G40</f>
        <v>1.8892600000015136E-2</v>
      </c>
      <c r="X40">
        <v>-73.94</v>
      </c>
      <c r="Y40" s="4">
        <f>X40*0.0254</f>
        <v>-1.8780759999999999</v>
      </c>
      <c r="Z40" s="3">
        <f>80.6+HODO!Y40-HODO!H40</f>
        <v>-9.599999999920783E-5</v>
      </c>
      <c r="AA40" s="3">
        <f>G40-'Rel to Acc'!D26</f>
        <v>0</v>
      </c>
      <c r="AB40" s="3">
        <f>H40-'Rel to Acc'!E26</f>
        <v>0</v>
      </c>
      <c r="AC40" s="3">
        <f>I40-'Rel to Acc'!G26</f>
        <v>0</v>
      </c>
    </row>
    <row r="41" spans="1:29" x14ac:dyDescent="0.3">
      <c r="A41" s="4" t="s">
        <v>235</v>
      </c>
      <c r="B41" s="23">
        <v>-0.45</v>
      </c>
      <c r="C41" s="23">
        <v>152.52000000000001</v>
      </c>
      <c r="D41" s="23">
        <v>-0.62</v>
      </c>
      <c r="E41" s="4"/>
      <c r="F41" s="4"/>
      <c r="G41" s="3">
        <v>310.16466000000003</v>
      </c>
      <c r="H41" s="3">
        <v>78.873000000000005</v>
      </c>
      <c r="I41" s="3">
        <v>104.77018</v>
      </c>
      <c r="J41" s="4"/>
      <c r="K41" s="3"/>
      <c r="L41" s="4"/>
      <c r="M41" s="4"/>
      <c r="N41" s="4"/>
      <c r="O41" s="4"/>
      <c r="P41" s="4"/>
      <c r="Q41" s="4"/>
      <c r="R41" s="4"/>
      <c r="S41" s="4"/>
      <c r="T41" s="4"/>
    </row>
    <row r="42" spans="1:29" x14ac:dyDescent="0.3">
      <c r="A42" s="4" t="s">
        <v>236</v>
      </c>
      <c r="B42" s="23">
        <v>1219.8699999999999</v>
      </c>
      <c r="C42" s="23">
        <v>-0.24</v>
      </c>
      <c r="D42" s="23">
        <v>-0.85</v>
      </c>
      <c r="E42" s="4"/>
      <c r="F42" s="4"/>
      <c r="G42" s="3">
        <v>311.35156999999998</v>
      </c>
      <c r="H42" s="3">
        <v>78.55086</v>
      </c>
      <c r="I42" s="3">
        <v>104.76994999999999</v>
      </c>
      <c r="J42" s="4"/>
      <c r="K42" s="3"/>
      <c r="L42" s="4"/>
      <c r="M42" s="4"/>
      <c r="N42" s="4"/>
      <c r="O42" s="4"/>
      <c r="P42" s="4"/>
      <c r="Q42" s="4"/>
      <c r="R42" s="4"/>
      <c r="S42" s="4"/>
      <c r="T42" s="4"/>
      <c r="U42">
        <v>482.596</v>
      </c>
      <c r="V42" s="4">
        <f>U42*0.0254</f>
        <v>12.2579384</v>
      </c>
      <c r="W42" s="3">
        <f>'Rel to Goni'!$D$70+HODO!V42-HODO!G42</f>
        <v>1.7518400000028578E-2</v>
      </c>
      <c r="X42">
        <v>-80.662000000000006</v>
      </c>
      <c r="Y42" s="4">
        <f>X42*0.0254</f>
        <v>-2.0488148000000002</v>
      </c>
      <c r="Z42" s="3">
        <f>80.6+HODO!Y42-HODO!H42</f>
        <v>3.2519999999180982E-4</v>
      </c>
    </row>
    <row r="43" spans="1:29" x14ac:dyDescent="0.3">
      <c r="A43" s="4" t="s">
        <v>237</v>
      </c>
      <c r="B43" s="23">
        <v>1219.7</v>
      </c>
      <c r="C43" s="23">
        <v>152.84</v>
      </c>
      <c r="D43" s="23">
        <v>-0.85</v>
      </c>
      <c r="E43" s="4"/>
      <c r="F43" s="4"/>
      <c r="G43" s="3">
        <v>311.37283000000002</v>
      </c>
      <c r="H43" s="3">
        <v>78.702449999999999</v>
      </c>
      <c r="I43" s="3">
        <v>104.76994999999999</v>
      </c>
      <c r="J43" s="4"/>
      <c r="K43" s="3"/>
      <c r="L43" s="4"/>
      <c r="M43" s="4"/>
      <c r="N43" s="4"/>
      <c r="O43" s="4"/>
      <c r="P43" s="4"/>
      <c r="Q43" s="4"/>
      <c r="R43" s="4"/>
      <c r="S43" s="4"/>
      <c r="T43" s="4"/>
    </row>
    <row r="44" spans="1:29" x14ac:dyDescent="0.3">
      <c r="A44" s="4"/>
      <c r="B44" s="23"/>
      <c r="C44" s="23"/>
      <c r="D44" s="23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9" x14ac:dyDescent="0.3">
      <c r="A45" s="4" t="s">
        <v>238</v>
      </c>
      <c r="B45" s="23">
        <v>-0.19</v>
      </c>
      <c r="C45" s="23">
        <v>-0.14000000000000001</v>
      </c>
      <c r="D45" s="23">
        <v>-0.7</v>
      </c>
      <c r="E45" s="4"/>
      <c r="F45" s="4"/>
      <c r="G45" s="3">
        <v>311.56452000000002</v>
      </c>
      <c r="H45" s="3">
        <v>78.525919999999999</v>
      </c>
      <c r="I45" s="3">
        <v>104.7701</v>
      </c>
      <c r="J45" s="4"/>
      <c r="K45" s="3">
        <v>311.56473</v>
      </c>
      <c r="L45" s="3">
        <v>78.526039999999995</v>
      </c>
      <c r="M45" s="3">
        <v>104.77079999999999</v>
      </c>
      <c r="N45" s="4"/>
      <c r="O45" s="4"/>
      <c r="P45" s="16">
        <f>ATAN(((H47-H45)/(G47-G45)))*180/3.1415</f>
        <v>-8.0437756982622037</v>
      </c>
      <c r="Q45" s="16">
        <f>ATAN(((I47-I45)/(G47-G45)))*180/3.1415</f>
        <v>-7.1505639660920436E-3</v>
      </c>
      <c r="R45" s="16">
        <f>ATAN(((I45-I46)/(H46-H45)))*180/3.1415</f>
        <v>2.6512576472228145E-2</v>
      </c>
      <c r="S45" s="4"/>
      <c r="T45" s="4"/>
      <c r="U45">
        <v>491.01299999999998</v>
      </c>
      <c r="V45" s="4">
        <f>U45*0.0254</f>
        <v>12.4717302</v>
      </c>
      <c r="W45" s="3">
        <f>'Rel to Goni'!$D$70+HODO!V45-HODO!G45</f>
        <v>1.8360200000017812E-2</v>
      </c>
      <c r="X45">
        <v>-81.652000000000001</v>
      </c>
      <c r="Y45" s="4">
        <f>X45*0.0254</f>
        <v>-2.0739608</v>
      </c>
      <c r="Z45" s="3">
        <f>80.6+HODO!Y45-HODO!H45</f>
        <v>1.1920000000031905E-4</v>
      </c>
      <c r="AA45" s="3">
        <f>G45-'Rel to Acc'!D27</f>
        <v>0</v>
      </c>
      <c r="AB45" s="3">
        <f>H45-'Rel to Acc'!E27</f>
        <v>0</v>
      </c>
      <c r="AC45" s="3">
        <f>I45-'Rel to Acc'!G27</f>
        <v>0</v>
      </c>
    </row>
    <row r="46" spans="1:29" x14ac:dyDescent="0.3">
      <c r="A46" s="4" t="s">
        <v>239</v>
      </c>
      <c r="B46" s="23">
        <v>-0.23</v>
      </c>
      <c r="C46" s="23">
        <v>152.63</v>
      </c>
      <c r="D46" s="23">
        <v>-0.77</v>
      </c>
      <c r="E46" s="4"/>
      <c r="F46" s="4"/>
      <c r="G46" s="3">
        <v>311.58587</v>
      </c>
      <c r="H46" s="3">
        <v>78.677199999999999</v>
      </c>
      <c r="I46" s="3">
        <v>104.77003000000001</v>
      </c>
      <c r="J46" s="4"/>
      <c r="K46" s="3"/>
      <c r="L46" s="4"/>
      <c r="M46" s="4"/>
      <c r="N46" s="4"/>
      <c r="O46" s="4"/>
      <c r="P46" s="4"/>
      <c r="Q46" s="4"/>
      <c r="R46" s="4"/>
      <c r="S46" s="4"/>
      <c r="T46" s="4"/>
    </row>
    <row r="47" spans="1:29" x14ac:dyDescent="0.3">
      <c r="A47" s="4" t="s">
        <v>240</v>
      </c>
      <c r="B47" s="23">
        <v>890</v>
      </c>
      <c r="C47" s="23">
        <v>-0.04</v>
      </c>
      <c r="D47" s="23">
        <v>-0.81</v>
      </c>
      <c r="E47" s="4"/>
      <c r="F47" s="4"/>
      <c r="G47" s="3">
        <v>312.44594999999998</v>
      </c>
      <c r="H47" s="3">
        <v>78.401359999999997</v>
      </c>
      <c r="I47" s="3">
        <v>104.76999000000001</v>
      </c>
      <c r="J47" s="4"/>
      <c r="K47" s="3"/>
      <c r="L47" s="4"/>
      <c r="M47" s="4"/>
      <c r="N47" s="4"/>
      <c r="O47" s="4"/>
      <c r="P47" s="4"/>
      <c r="Q47" s="4"/>
      <c r="R47" s="4"/>
      <c r="S47" s="4"/>
      <c r="T47" s="4"/>
      <c r="U47">
        <v>525.66800000000001</v>
      </c>
      <c r="V47" s="4">
        <f>U47*0.0254</f>
        <v>13.351967199999999</v>
      </c>
      <c r="W47" s="3">
        <f>'Rel to Goni'!$D$70+HODO!V47-HODO!G47</f>
        <v>1.7167200000017147E-2</v>
      </c>
      <c r="X47">
        <v>-86.754000000000005</v>
      </c>
      <c r="Y47" s="4">
        <f>X47*0.0254</f>
        <v>-2.2035515999999999</v>
      </c>
      <c r="Z47" s="3">
        <f>80.6+HODO!Y47-HODO!H47</f>
        <v>-4.9115999999997939E-3</v>
      </c>
    </row>
    <row r="48" spans="1:29" x14ac:dyDescent="0.3">
      <c r="A48" s="4" t="s">
        <v>241</v>
      </c>
      <c r="B48" s="23">
        <v>890.27</v>
      </c>
      <c r="C48" s="23">
        <v>151.91999999999999</v>
      </c>
      <c r="D48" s="23">
        <v>-0.87</v>
      </c>
      <c r="E48" s="4"/>
      <c r="F48" s="4"/>
      <c r="G48" s="3">
        <v>312.46749999999997</v>
      </c>
      <c r="H48" s="3">
        <v>78.551789999999997</v>
      </c>
      <c r="I48" s="3">
        <v>104.76993</v>
      </c>
      <c r="J48" s="4"/>
      <c r="K48" s="3"/>
      <c r="L48" s="4"/>
      <c r="M48" s="4"/>
      <c r="N48" s="4"/>
      <c r="O48" s="4"/>
      <c r="P48" s="4"/>
      <c r="Q48" s="4"/>
      <c r="R48" s="4"/>
      <c r="S48" s="4"/>
      <c r="T48" s="4"/>
    </row>
    <row r="50" spans="1:1" x14ac:dyDescent="0.3">
      <c r="A50" t="s">
        <v>257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7"/>
  <sheetViews>
    <sheetView topLeftCell="A49" workbookViewId="0">
      <selection activeCell="A71" sqref="A71"/>
    </sheetView>
  </sheetViews>
  <sheetFormatPr defaultColWidth="9.109375" defaultRowHeight="14.4" x14ac:dyDescent="0.3"/>
  <cols>
    <col min="1" max="1" width="38" style="4" customWidth="1"/>
    <col min="2" max="2" width="12.5546875" style="4" customWidth="1"/>
    <col min="3" max="3" width="2" style="4" customWidth="1"/>
    <col min="4" max="4" width="11.88671875" style="4" customWidth="1"/>
    <col min="5" max="5" width="13.88671875" style="4" bestFit="1" customWidth="1"/>
    <col min="6" max="6" width="11.88671875" style="4" hidden="1" customWidth="1"/>
    <col min="7" max="7" width="11.109375" style="4" customWidth="1"/>
    <col min="8" max="10" width="9.109375" style="4"/>
    <col min="11" max="11" width="2.109375" style="4" customWidth="1"/>
    <col min="12" max="16384" width="9.109375" style="4"/>
  </cols>
  <sheetData>
    <row r="1" spans="1:16" ht="15" customHeight="1" x14ac:dyDescent="0.3">
      <c r="A1" s="33" t="s">
        <v>259</v>
      </c>
    </row>
    <row r="2" spans="1:16" x14ac:dyDescent="0.3">
      <c r="A2" s="61" t="s">
        <v>67</v>
      </c>
      <c r="B2" s="61"/>
      <c r="C2" s="61"/>
      <c r="D2" s="61"/>
    </row>
    <row r="3" spans="1:16" x14ac:dyDescent="0.3">
      <c r="A3" s="61"/>
      <c r="B3" s="61"/>
      <c r="C3" s="61"/>
      <c r="D3" s="61"/>
    </row>
    <row r="4" spans="1:16" x14ac:dyDescent="0.3">
      <c r="A4" s="61"/>
      <c r="B4" s="61"/>
      <c r="C4" s="61"/>
      <c r="D4" s="61"/>
    </row>
    <row r="5" spans="1:16" x14ac:dyDescent="0.3">
      <c r="A5" s="62"/>
      <c r="B5" s="62"/>
      <c r="C5" s="62"/>
      <c r="D5" s="62"/>
    </row>
    <row r="7" spans="1:16" ht="15" x14ac:dyDescent="0.25">
      <c r="A7" s="4" t="s">
        <v>174</v>
      </c>
    </row>
    <row r="8" spans="1:16" ht="15" x14ac:dyDescent="0.25">
      <c r="A8" s="4" t="s">
        <v>175</v>
      </c>
    </row>
    <row r="10" spans="1:16" ht="15" x14ac:dyDescent="0.25">
      <c r="A10" s="20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0" t="s">
        <v>36</v>
      </c>
      <c r="J10" s="15"/>
      <c r="K10" s="14"/>
      <c r="L10" s="63" t="s">
        <v>48</v>
      </c>
      <c r="M10" s="63"/>
      <c r="N10" s="63"/>
      <c r="O10" s="63"/>
      <c r="P10" s="63"/>
    </row>
    <row r="11" spans="1:16" ht="15" x14ac:dyDescent="0.25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ht="15" x14ac:dyDescent="0.25">
      <c r="A12" s="15" t="s">
        <v>49</v>
      </c>
      <c r="B12" s="15" t="s">
        <v>0</v>
      </c>
      <c r="C12" s="15"/>
      <c r="D12" s="16">
        <f>'Rel to Acc'!D12-$D$70</f>
        <v>-15.597110000000043</v>
      </c>
      <c r="E12" s="16">
        <f>'Rel to Acc'!E12-80.6</f>
        <v>-9.0000000000145519E-5</v>
      </c>
      <c r="F12" s="16">
        <f>'data from JD'!F12+'data from JD'!P12/1000</f>
        <v>1.84E-4</v>
      </c>
      <c r="G12" s="16">
        <f>'Rel to Acc'!G12-104.7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ht="15" x14ac:dyDescent="0.25">
      <c r="A13" s="15" t="s">
        <v>50</v>
      </c>
      <c r="B13" s="15" t="s">
        <v>24</v>
      </c>
      <c r="C13" s="15"/>
      <c r="D13" s="16">
        <f>'Rel to Acc'!D13-$D$70</f>
        <v>-1.2921099999999797</v>
      </c>
      <c r="E13" s="16">
        <f>'Rel to Acc'!E13-80.6</f>
        <v>2.0000000006348273E-5</v>
      </c>
      <c r="F13" s="16">
        <f>'data from JD'!F13+'data from JD'!P13/1000</f>
        <v>-8.9999999999999985E-6</v>
      </c>
      <c r="G13" s="16">
        <f>'Rel to Acc'!G13-104.7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ht="15" x14ac:dyDescent="0.25">
      <c r="A14" s="15" t="s">
        <v>155</v>
      </c>
      <c r="B14" s="15" t="s">
        <v>1</v>
      </c>
      <c r="C14" s="15"/>
      <c r="D14" s="16">
        <f>'Rel to Acc'!D14-$D$70</f>
        <v>-2.4900000000002365E-2</v>
      </c>
      <c r="E14" s="16"/>
      <c r="F14" s="16">
        <f>'data from JD'!F14+'data from JD'!P14/1000</f>
        <v>-8.8999999999999995E-5</v>
      </c>
      <c r="G14" s="16"/>
      <c r="H14" s="16"/>
      <c r="I14" s="17"/>
      <c r="J14" s="17"/>
      <c r="K14" s="15"/>
      <c r="L14" s="15"/>
      <c r="M14" s="15"/>
      <c r="N14" s="15"/>
      <c r="O14" s="15"/>
      <c r="P14" s="15"/>
    </row>
    <row r="15" spans="1:16" ht="15" x14ac:dyDescent="0.25">
      <c r="A15" s="15" t="s">
        <v>156</v>
      </c>
      <c r="B15" s="15"/>
      <c r="C15" s="15"/>
      <c r="D15" s="16">
        <f>'Rel to Acc'!D15-$D$70</f>
        <v>0</v>
      </c>
      <c r="E15" s="16"/>
      <c r="F15" s="16"/>
      <c r="G15" s="16"/>
      <c r="H15" s="16"/>
      <c r="I15" s="17"/>
      <c r="J15" s="17"/>
      <c r="K15" s="15"/>
      <c r="L15" s="15"/>
      <c r="M15" s="15"/>
      <c r="N15" s="15"/>
      <c r="O15" s="15"/>
      <c r="P15" s="15"/>
    </row>
    <row r="16" spans="1:16" ht="15" x14ac:dyDescent="0.25">
      <c r="A16" s="15" t="s">
        <v>51</v>
      </c>
      <c r="B16" s="15" t="s">
        <v>12</v>
      </c>
      <c r="C16" s="15"/>
      <c r="D16" s="16">
        <f>'Rel to Acc'!D16-$D$70</f>
        <v>0.60298000000000229</v>
      </c>
      <c r="E16" s="16">
        <f>'Rel to Acc'!E16-80.6</f>
        <v>2.6000000001147328E-4</v>
      </c>
      <c r="F16" s="16">
        <f>'data from JD'!F16+'data from JD'!P16/1000</f>
        <v>6.3399519999660399</v>
      </c>
      <c r="G16" s="16">
        <f>'Rel to Acc'!G16-104.7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ht="15" x14ac:dyDescent="0.25">
      <c r="A17" s="15" t="s">
        <v>165</v>
      </c>
      <c r="B17" s="15"/>
      <c r="C17" s="15"/>
      <c r="D17" s="16">
        <f>'Rel to Acc'!D17-$D$70</f>
        <v>1.0537600000000111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ht="15" x14ac:dyDescent="0.25">
      <c r="A18" s="15" t="s">
        <v>3</v>
      </c>
      <c r="B18" s="15" t="s">
        <v>2</v>
      </c>
      <c r="C18" s="15"/>
      <c r="D18" s="16">
        <f>'Rel to Acc'!D18-$D$70</f>
        <v>6.2772299999999746</v>
      </c>
      <c r="E18" s="16">
        <f>'Rel to Acc'!E18-80.6</f>
        <v>-0.29766999999999655</v>
      </c>
      <c r="F18" s="16">
        <f>'data from JD'!F18+'data from JD'!P18/1000</f>
        <v>-0.57007399998197383</v>
      </c>
      <c r="G18" s="16">
        <f>'Rel to Acc'!G18-104.7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ht="15" x14ac:dyDescent="0.25">
      <c r="A19" s="15" t="s">
        <v>162</v>
      </c>
      <c r="B19" s="15"/>
      <c r="C19" s="15"/>
      <c r="D19" s="16">
        <f>'Rel to Acc'!D19-$D$70</f>
        <v>3.1753612134256173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ht="15" x14ac:dyDescent="0.25">
      <c r="A20" s="15" t="s">
        <v>72</v>
      </c>
      <c r="B20" s="15" t="s">
        <v>4</v>
      </c>
      <c r="C20" s="15"/>
      <c r="D20" s="16">
        <f>'Rel to Acc'!D20-$D$70</f>
        <v>3.988330000000019</v>
      </c>
      <c r="E20" s="16">
        <f>'Rel to Acc'!E20-80.6</f>
        <v>-0.88205999999999563</v>
      </c>
      <c r="F20" s="16">
        <f>'data from JD'!F20+'data from JD'!P20/1000</f>
        <v>-2.7500000000000002E-4</v>
      </c>
      <c r="G20" s="16">
        <f>'Rel to Acc'!G20-104.7</f>
        <v>6.9969999999997867E-2</v>
      </c>
      <c r="H20" s="16">
        <f>'Rel to Acc'!H20</f>
        <v>-8.0449907090024517</v>
      </c>
      <c r="I20" s="16">
        <f>'Rel to Acc'!I20</f>
        <v>-7.1393711111308105E-3</v>
      </c>
      <c r="J20" s="16">
        <f>'Rel to Acc'!J20</f>
        <v>-1.1378328311305591E-2</v>
      </c>
      <c r="K20" s="15"/>
      <c r="L20" s="15"/>
      <c r="M20" s="15"/>
      <c r="N20" s="15"/>
      <c r="O20" s="15"/>
      <c r="P20" s="15"/>
    </row>
    <row r="21" spans="1:16" ht="15" x14ac:dyDescent="0.25">
      <c r="A21" s="15" t="s">
        <v>73</v>
      </c>
      <c r="B21" s="15" t="s">
        <v>5</v>
      </c>
      <c r="C21" s="15"/>
      <c r="D21" s="16">
        <f>'Rel to Acc'!D21-$D$70</f>
        <v>5.2775800000000004</v>
      </c>
      <c r="E21" s="16">
        <f>'Rel to Acc'!E21-80.6</f>
        <v>-1.0632799999999918</v>
      </c>
      <c r="F21" s="16">
        <f>'data from JD'!F21+'data from JD'!P21/1000</f>
        <v>-1.75E-4</v>
      </c>
      <c r="G21" s="16">
        <f>'Rel to Acc'!G21-104.7</f>
        <v>7.0059999999998013E-2</v>
      </c>
      <c r="H21" s="16">
        <f>'Rel to Acc'!H21</f>
        <v>-8.0499647158416092</v>
      </c>
      <c r="I21" s="16">
        <f>'Rel to Acc'!I21</f>
        <v>-4.0328556835919349E-3</v>
      </c>
      <c r="J21" s="16">
        <f>'Rel to Acc'!J21</f>
        <v>-0.21295835331764326</v>
      </c>
      <c r="K21" s="15"/>
      <c r="L21" s="15"/>
      <c r="M21" s="15"/>
      <c r="N21" s="15"/>
      <c r="O21" s="15"/>
      <c r="P21" s="15"/>
    </row>
    <row r="22" spans="1:16" ht="15" x14ac:dyDescent="0.25">
      <c r="A22" s="15" t="s">
        <v>74</v>
      </c>
      <c r="B22" s="15" t="s">
        <v>6</v>
      </c>
      <c r="C22" s="15"/>
      <c r="D22" s="16">
        <f>'Rel to Acc'!D22-$D$70</f>
        <v>6.5586409200000162</v>
      </c>
      <c r="E22" s="16">
        <f>'Rel to Acc'!E22-80.6</f>
        <v>-1.2458421899999905</v>
      </c>
      <c r="F22" s="16">
        <f>'data from JD'!F22+'data from JD'!P22/1000</f>
        <v>0</v>
      </c>
      <c r="G22" s="16">
        <f>'Rel to Acc'!G22-104.7</f>
        <v>7.0294340000003785E-2</v>
      </c>
      <c r="H22" s="16">
        <f>'Rel to Acc'!H22</f>
        <v>-8.0972930165940973</v>
      </c>
      <c r="I22" s="16">
        <f>'Rel to Acc'!I22</f>
        <v>3.9426660429168023E-2</v>
      </c>
      <c r="J22" s="16">
        <f>'Rel to Acc'!J22</f>
        <v>6.6413330920329333E-2</v>
      </c>
      <c r="K22" s="15"/>
      <c r="L22" s="15"/>
      <c r="M22" s="15"/>
      <c r="N22" s="15"/>
      <c r="O22" s="15"/>
      <c r="P22" s="15"/>
    </row>
    <row r="23" spans="1:16" ht="15" x14ac:dyDescent="0.25">
      <c r="A23" s="15" t="s">
        <v>75</v>
      </c>
      <c r="B23" s="15" t="s">
        <v>7</v>
      </c>
      <c r="C23" s="15"/>
      <c r="D23" s="16">
        <f>'Rel to Acc'!D23-$D$70</f>
        <v>7.5480981299999712</v>
      </c>
      <c r="E23" s="16">
        <f>'Rel to Acc'!E23-80.6</f>
        <v>-1.3852442599999932</v>
      </c>
      <c r="F23" s="16">
        <f>'data from JD'!F23+'data from JD'!P23/1000</f>
        <v>7.4999999999999993E-5</v>
      </c>
      <c r="G23" s="16">
        <f>'Rel to Acc'!G23-104.7</f>
        <v>7.0247949999995285E-2</v>
      </c>
      <c r="H23" s="16">
        <f>'Rel to Acc'!H23</f>
        <v>-8.0164809023229786</v>
      </c>
      <c r="I23" s="16">
        <f>'Rel to Acc'!I23</f>
        <v>-2.705771214530469E-2</v>
      </c>
      <c r="J23" s="16">
        <f>'Rel to Acc'!J23</f>
        <v>-0.13892182645740128</v>
      </c>
      <c r="K23" s="15"/>
      <c r="L23" s="15"/>
      <c r="M23" s="15"/>
      <c r="N23" s="15"/>
      <c r="O23" s="15"/>
      <c r="P23" s="15"/>
    </row>
    <row r="24" spans="1:16" ht="15" x14ac:dyDescent="0.25">
      <c r="A24" s="15" t="s">
        <v>76</v>
      </c>
      <c r="B24" s="15" t="s">
        <v>8</v>
      </c>
      <c r="C24" s="15"/>
      <c r="D24" s="16">
        <f>'Rel to Acc'!D24-$D$70</f>
        <v>8.5931338099999834</v>
      </c>
      <c r="E24" s="16">
        <f>'Rel to Acc'!E24-80.6</f>
        <v>-1.5321682199999884</v>
      </c>
      <c r="F24" s="16">
        <f>'data from JD'!F24+'data from JD'!P24/1000</f>
        <v>-2.2499999999999999E-4</v>
      </c>
      <c r="G24" s="16">
        <f>'Rel to Acc'!G24-104.7</f>
        <v>6.9802339999995411E-2</v>
      </c>
      <c r="H24" s="16">
        <f>'Rel to Acc'!H24</f>
        <v>-8.1219318911421308</v>
      </c>
      <c r="I24" s="16">
        <f>'Rel to Acc'!I24</f>
        <v>-8.8322313335489136E-3</v>
      </c>
      <c r="J24" s="16">
        <f>'Rel to Acc'!J24</f>
        <v>-0.21263713474690324</v>
      </c>
      <c r="K24" s="15"/>
      <c r="L24" s="15"/>
      <c r="M24" s="15"/>
      <c r="N24" s="15"/>
      <c r="O24" s="15"/>
      <c r="P24" s="15"/>
    </row>
    <row r="25" spans="1:16" ht="15" x14ac:dyDescent="0.25">
      <c r="A25" s="15" t="s">
        <v>77</v>
      </c>
      <c r="B25" s="15" t="s">
        <v>9</v>
      </c>
      <c r="C25" s="15"/>
      <c r="D25" s="16">
        <f>'Rel to Acc'!D25-$D$70</f>
        <v>9.7887900000000059</v>
      </c>
      <c r="E25" s="16">
        <f>'Rel to Acc'!E25-80.6</f>
        <v>-1.7007100000000008</v>
      </c>
      <c r="F25" s="16">
        <f>'data from JD'!F25+'data from JD'!P25/1000</f>
        <v>-5.0000000000000001E-4</v>
      </c>
      <c r="G25" s="16">
        <f>'Rel to Acc'!G25-104.7</f>
        <v>6.9189999999991869E-2</v>
      </c>
      <c r="H25" s="16">
        <f>'Rel to Acc'!H25</f>
        <v>-8.0937395766408056</v>
      </c>
      <c r="I25" s="16">
        <f>'Rel to Acc'!I25</f>
        <v>3.3280790462276548E-2</v>
      </c>
      <c r="J25" s="16">
        <f>'Rel to Acc'!J25</f>
        <v>-0.26761994223792479</v>
      </c>
      <c r="K25" s="15"/>
      <c r="L25" s="15"/>
      <c r="M25" s="15"/>
      <c r="N25" s="15"/>
      <c r="O25" s="15"/>
      <c r="P25" s="15"/>
    </row>
    <row r="26" spans="1:16" ht="15" x14ac:dyDescent="0.25">
      <c r="A26" s="15" t="s">
        <v>78</v>
      </c>
      <c r="B26" s="15" t="s">
        <v>10</v>
      </c>
      <c r="C26" s="15"/>
      <c r="D26" s="16">
        <f>'Rel to Acc'!D26-$D$70</f>
        <v>11.031859999999995</v>
      </c>
      <c r="E26" s="16">
        <f>'Rel to Acc'!E26-80.6</f>
        <v>-1.8779799999999938</v>
      </c>
      <c r="F26" s="16">
        <f>'data from JD'!F26+'data from JD'!P26/1000</f>
        <v>4.4999999999999999E-4</v>
      </c>
      <c r="G26" s="16">
        <f>'Rel to Acc'!G26-104.7</f>
        <v>7.0170000000004507E-2</v>
      </c>
      <c r="H26" s="16">
        <f>'Rel to Acc'!H26</f>
        <v>-8.0610361783406557</v>
      </c>
      <c r="I26" s="16">
        <f>'Rel to Acc'!I26</f>
        <v>-1.043013430950851E-2</v>
      </c>
      <c r="J26" s="16">
        <f>'Rel to Acc'!J26</f>
        <v>-3.7950370389948297E-3</v>
      </c>
      <c r="K26" s="15"/>
      <c r="L26" s="15"/>
      <c r="M26" s="15"/>
      <c r="N26" s="15"/>
      <c r="O26" s="15"/>
      <c r="P26" s="15"/>
    </row>
    <row r="27" spans="1:16" ht="15" x14ac:dyDescent="0.25">
      <c r="A27" s="15" t="s">
        <v>79</v>
      </c>
      <c r="B27" s="15" t="s">
        <v>11</v>
      </c>
      <c r="C27" s="15"/>
      <c r="D27" s="16">
        <f>'Rel to Acc'!D27-$D$70</f>
        <v>12.453370000000007</v>
      </c>
      <c r="E27" s="16">
        <f>'Rel to Acc'!E27-80.6</f>
        <v>-2.074079999999995</v>
      </c>
      <c r="F27" s="16">
        <f>'data from JD'!F27+'data from JD'!P27/1000</f>
        <v>1.25E-4</v>
      </c>
      <c r="G27" s="16">
        <f>'Rel to Acc'!G27-104.7</f>
        <v>7.0099999999996498E-2</v>
      </c>
      <c r="H27" s="16">
        <f>'Rel to Acc'!H27</f>
        <v>-8.0435622717000008</v>
      </c>
      <c r="I27" s="16">
        <f>'Rel to Acc'!I27</f>
        <v>-1.6094320299999999E-2</v>
      </c>
      <c r="J27" s="16">
        <f>'Rel to Acc'!J27</f>
        <v>-0.18133323034000001</v>
      </c>
      <c r="K27" s="15"/>
      <c r="L27" s="15"/>
      <c r="M27" s="15"/>
      <c r="N27" s="15"/>
      <c r="O27" s="15"/>
      <c r="P27" s="15"/>
    </row>
    <row r="28" spans="1:16" ht="15" x14ac:dyDescent="0.25">
      <c r="A28" s="15" t="s">
        <v>43</v>
      </c>
      <c r="B28" s="15" t="s">
        <v>42</v>
      </c>
      <c r="C28" s="15"/>
      <c r="D28" s="16">
        <f>'Rel to Acc'!D28-$D$70</f>
        <v>7.4121099999999842</v>
      </c>
      <c r="E28" s="16">
        <f>'Rel to Acc'!E28-80.6</f>
        <v>-1.1668200000000013</v>
      </c>
      <c r="F28" s="16">
        <f>'data from JD'!F28+'data from JD'!P28/1000</f>
        <v>-0.91003700003305099</v>
      </c>
      <c r="G28" s="16">
        <f>'Rel to Acc'!G28-104.7</f>
        <v>7.5300000000027012E-3</v>
      </c>
      <c r="H28" s="16">
        <f>'Rel to Acc'!H28</f>
        <v>-8.0512999999999995</v>
      </c>
      <c r="I28" s="16">
        <f>'Rel to Acc'!I28</f>
        <v>2E-3</v>
      </c>
      <c r="J28" s="16">
        <f>'Rel to Acc'!J28</f>
        <v>6.6799999999999998E-2</v>
      </c>
      <c r="K28" s="15"/>
      <c r="L28" s="15"/>
      <c r="M28" s="15"/>
      <c r="N28" s="15"/>
      <c r="O28" s="15"/>
      <c r="P28" s="15"/>
    </row>
    <row r="29" spans="1:16" ht="15" x14ac:dyDescent="0.25">
      <c r="A29" s="15" t="s">
        <v>44</v>
      </c>
      <c r="B29" s="15"/>
      <c r="C29" s="15"/>
      <c r="D29" s="16">
        <f>'Rel to Acc'!D29-$D$70</f>
        <v>75.158849999999973</v>
      </c>
      <c r="E29" s="16">
        <f>'Rel to Acc'!E29-80.6</f>
        <v>7.1499999999957708E-4</v>
      </c>
      <c r="F29" s="16">
        <f>'data from JD'!F29+'data from JD'!P29/1000</f>
        <v>4.7599999999999997E-4</v>
      </c>
      <c r="G29" s="16">
        <f>'Rel to Acc'!G29-104.7</f>
        <v>4.7600000000613818E-4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ht="15" x14ac:dyDescent="0.25">
      <c r="A30" s="15" t="s">
        <v>52</v>
      </c>
      <c r="B30" s="15" t="s">
        <v>25</v>
      </c>
      <c r="C30" s="15"/>
      <c r="D30" s="16">
        <f>'Rel to Acc'!D30-$D$70</f>
        <v>75.374329999999986</v>
      </c>
      <c r="E30" s="16">
        <f>'Rel to Acc'!E30-80.6</f>
        <v>-4.9999999987448973E-5</v>
      </c>
      <c r="F30" s="16">
        <f>'data from JD'!F30+'data from JD'!P30/1000</f>
        <v>-0.89004400002670281</v>
      </c>
      <c r="G30" s="16">
        <f>'Rel to Acc'!G30-104.7</f>
        <v>1.9999999992137418E-5</v>
      </c>
      <c r="H30" s="16">
        <f>'data from JD'!L30+'data from JD'!R30</f>
        <v>-2.5799999999999998E-3</v>
      </c>
      <c r="I30" s="17">
        <v>1.49E-2</v>
      </c>
      <c r="J30" s="17">
        <v>6.8799999999999998E-3</v>
      </c>
      <c r="K30" s="15"/>
      <c r="L30" s="15"/>
      <c r="M30" s="15"/>
      <c r="N30" s="15"/>
      <c r="O30" s="15"/>
      <c r="P30" s="15"/>
    </row>
    <row r="31" spans="1:16" ht="15" x14ac:dyDescent="0.25">
      <c r="A31" s="15" t="s">
        <v>53</v>
      </c>
      <c r="B31" s="15" t="s">
        <v>26</v>
      </c>
      <c r="C31" s="15"/>
      <c r="D31" s="16">
        <f>'Rel to Acc'!D31-$D$70</f>
        <v>81.261430000000018</v>
      </c>
      <c r="E31" s="16">
        <f>'Rel to Acc'!E31-80.6</f>
        <v>3.7000000000375621E-4</v>
      </c>
      <c r="F31" s="16">
        <f>'data from JD'!F31+'data from JD'!P31/1000</f>
        <v>-0.88995200002670272</v>
      </c>
      <c r="G31" s="16">
        <f>'Rel to Acc'!G31-104.7</f>
        <v>-3.0999999999892225E-4</v>
      </c>
      <c r="H31" s="16">
        <f>'data from JD'!L31+'data from JD'!R31</f>
        <v>-2.0629999999999999E-2</v>
      </c>
      <c r="I31" s="17">
        <v>1.375E-2</v>
      </c>
      <c r="J31" s="17">
        <v>1.5469999999999999E-2</v>
      </c>
      <c r="K31" s="15"/>
      <c r="L31" s="15"/>
      <c r="M31" s="15"/>
      <c r="N31" s="15"/>
      <c r="O31" s="15"/>
      <c r="P31" s="15"/>
    </row>
    <row r="32" spans="1:16" ht="15" x14ac:dyDescent="0.25">
      <c r="A32" s="15" t="s">
        <v>54</v>
      </c>
      <c r="B32" s="15" t="s">
        <v>27</v>
      </c>
      <c r="C32" s="15"/>
      <c r="D32" s="16">
        <f>'Rel to Acc'!D32-$D$70</f>
        <v>77.672730000000001</v>
      </c>
      <c r="E32" s="16">
        <f>'Rel to Acc'!E32-80.6</f>
        <v>3.5000000001161879E-4</v>
      </c>
      <c r="F32" s="16">
        <f>'data from JD'!F32+'data from JD'!P32/1000</f>
        <v>-8.9999999999999985E-6</v>
      </c>
      <c r="G32" s="16">
        <f>'Rel to Acc'!G32-104.7</f>
        <v>-4.3000000000859018E-4</v>
      </c>
      <c r="H32" s="16">
        <f>'data from JD'!L32+'data from JD'!R32</f>
        <v>-8.5999999999999998E-4</v>
      </c>
      <c r="I32" s="17">
        <v>3.15E-3</v>
      </c>
      <c r="J32" s="17">
        <v>2.8649999999999998E-2</v>
      </c>
      <c r="K32" s="15"/>
      <c r="L32" s="15"/>
      <c r="M32" s="15"/>
      <c r="N32" s="15"/>
      <c r="O32" s="15"/>
      <c r="P32" s="15"/>
    </row>
    <row r="33" spans="1:16" ht="15" x14ac:dyDescent="0.25">
      <c r="A33" s="15" t="s">
        <v>55</v>
      </c>
      <c r="B33" s="15" t="s">
        <v>28</v>
      </c>
      <c r="C33" s="15"/>
      <c r="D33" s="16">
        <f>'Rel to Acc'!D33-$D$70</f>
        <v>82.028186000000005</v>
      </c>
      <c r="E33" s="16">
        <f>'Rel to Acc'!E33-80.6</f>
        <v>1.0000000003174137E-5</v>
      </c>
      <c r="F33" s="16">
        <f>'data from JD'!F33+'data from JD'!P33/1000</f>
        <v>3.1999999999999999E-5</v>
      </c>
      <c r="G33" s="16">
        <f>'Rel to Acc'!G33-104.7</f>
        <v>3.2000000004472895E-5</v>
      </c>
      <c r="H33" s="16">
        <f>'data from JD'!L33+'data from JD'!R33</f>
        <v>-7.7299999999999999E-3</v>
      </c>
      <c r="I33" s="17">
        <v>2.034E-2</v>
      </c>
      <c r="J33" s="17">
        <v>-5.4400000000000004E-3</v>
      </c>
      <c r="K33" s="15"/>
      <c r="L33" s="15"/>
      <c r="M33" s="15"/>
      <c r="N33" s="15"/>
      <c r="O33" s="15"/>
      <c r="P33" s="15"/>
    </row>
    <row r="34" spans="1:16" ht="15" x14ac:dyDescent="0.25">
      <c r="A34" s="15" t="s">
        <v>161</v>
      </c>
      <c r="B34" s="15"/>
      <c r="C34" s="15"/>
      <c r="D34" s="16">
        <f>'Rel to Acc'!D34-$D$70</f>
        <v>83.951399999999978</v>
      </c>
      <c r="E34" s="16">
        <f>'Rel to Acc'!E34-80.6</f>
        <v>1.0000000003174137E-5</v>
      </c>
      <c r="F34" s="16">
        <f>'data from JD'!F35+'data from JD'!P35/1000</f>
        <v>-0.12002400003808963</v>
      </c>
      <c r="G34" s="16">
        <f>'Rel to Acc'!G34-104.7</f>
        <v>-3.4999999999740794E-4</v>
      </c>
      <c r="H34" s="16"/>
      <c r="I34" s="17"/>
      <c r="J34" s="17"/>
      <c r="K34" s="15"/>
      <c r="L34" s="15"/>
      <c r="M34" s="15"/>
      <c r="N34" s="15"/>
      <c r="O34" s="15"/>
      <c r="P34" s="15"/>
    </row>
    <row r="35" spans="1:16" ht="15" x14ac:dyDescent="0.25">
      <c r="A35" s="15" t="s">
        <v>56</v>
      </c>
      <c r="B35" s="15" t="s">
        <v>22</v>
      </c>
      <c r="C35" s="15"/>
      <c r="D35" s="16">
        <f>'Rel to Acc'!D35-$D$70</f>
        <v>86.119579999999985</v>
      </c>
      <c r="E35" s="16">
        <f>'Rel to Acc'!E35-80.6</f>
        <v>3.9999999998485691E-5</v>
      </c>
      <c r="F35" s="16">
        <f>'data from JD'!F35+'data from JD'!P35/1000</f>
        <v>-0.12002400003808963</v>
      </c>
      <c r="G35" s="16">
        <f>'Rel to Acc'!G35-104.7</f>
        <v>-2.3999999996249244E-5</v>
      </c>
      <c r="H35" s="16">
        <f>'data from JD'!L35+'data from JD'!R35</f>
        <v>-1.261E-2</v>
      </c>
      <c r="I35" s="17">
        <v>-2.2630000000000001E-2</v>
      </c>
      <c r="J35" s="17">
        <v>7.45E-3</v>
      </c>
      <c r="K35" s="15"/>
      <c r="L35" s="15">
        <v>5270</v>
      </c>
      <c r="M35" s="15">
        <v>10002</v>
      </c>
      <c r="N35" s="15">
        <v>16845</v>
      </c>
      <c r="O35" s="15">
        <v>20638</v>
      </c>
      <c r="P35" s="15">
        <v>24431</v>
      </c>
    </row>
    <row r="36" spans="1:16" s="46" customFormat="1" ht="15" x14ac:dyDescent="0.25">
      <c r="A36" s="42" t="s">
        <v>57</v>
      </c>
      <c r="B36" s="42" t="s">
        <v>21</v>
      </c>
      <c r="C36" s="42"/>
      <c r="D36" s="43">
        <f>'Rel to Acc'!D36-$D$70</f>
        <v>87.656180000000006</v>
      </c>
      <c r="E36" s="43">
        <f>'Rel to Acc'!E36-80.6</f>
        <v>-9.9999999989108801E-5</v>
      </c>
      <c r="F36" s="43">
        <f>'data from JD'!F36+'data from JD'!P36/1000</f>
        <v>0.17991300000029103</v>
      </c>
      <c r="G36" s="43">
        <f>'Rel to Acc'!G36-104.7</f>
        <v>-4.3999999999755346E-4</v>
      </c>
      <c r="H36" s="43">
        <f>'data from JD'!L36+'data from JD'!R36</f>
        <v>-1.15E-3</v>
      </c>
      <c r="I36" s="45">
        <v>8.5900000000000004E-3</v>
      </c>
      <c r="J36" s="45">
        <v>5.6999999999999998E-4</v>
      </c>
      <c r="K36" s="42"/>
      <c r="L36" s="42"/>
      <c r="M36" s="42"/>
      <c r="N36" s="42"/>
      <c r="O36" s="42"/>
      <c r="P36" s="42"/>
    </row>
    <row r="37" spans="1:16" s="46" customFormat="1" ht="15" x14ac:dyDescent="0.25">
      <c r="A37" s="42" t="s">
        <v>58</v>
      </c>
      <c r="B37" s="42" t="s">
        <v>19</v>
      </c>
      <c r="C37" s="42"/>
      <c r="D37" s="43">
        <f>'Rel to Acc'!D37-$D$70</f>
        <v>90.58359999999999</v>
      </c>
      <c r="E37" s="43">
        <f>'Rel to Acc'!E37-80.6</f>
        <v>-0.23858999999998787</v>
      </c>
      <c r="F37" s="43">
        <f>'data from JD'!F37+'data from JD'!P37/1000</f>
        <v>0.18153199999524153</v>
      </c>
      <c r="G37" s="43">
        <f>'Rel to Acc'!G37-104.7</f>
        <v>1.0000000003174137E-5</v>
      </c>
      <c r="H37" s="43">
        <f>'data from JD'!L37+'data from JD'!R37</f>
        <v>-4.6595800000000001</v>
      </c>
      <c r="I37" s="45">
        <v>8.0500000000000002E-2</v>
      </c>
      <c r="J37" s="45">
        <v>-0.15642</v>
      </c>
      <c r="K37" s="42"/>
      <c r="L37" s="42"/>
      <c r="M37" s="42"/>
      <c r="N37" s="42"/>
      <c r="O37" s="42"/>
      <c r="P37" s="42"/>
    </row>
    <row r="38" spans="1:16" s="46" customFormat="1" ht="15" x14ac:dyDescent="0.25">
      <c r="A38" s="42" t="s">
        <v>59</v>
      </c>
      <c r="B38" s="42" t="s">
        <v>20</v>
      </c>
      <c r="C38" s="42"/>
      <c r="D38" s="43">
        <f>'Rel to Acc'!D38-$D$70</f>
        <v>90.583059999999989</v>
      </c>
      <c r="E38" s="43">
        <f>'Rel to Acc'!E38-80.6</f>
        <v>0.23852000000000828</v>
      </c>
      <c r="F38" s="43">
        <f>'data from JD'!F38+'data from JD'!P38/1000</f>
        <v>0.18081299999524153</v>
      </c>
      <c r="G38" s="43">
        <f>'Rel to Acc'!G38-104.7</f>
        <v>-2.0000000006348273E-5</v>
      </c>
      <c r="H38" s="43">
        <f>'data from JD'!L38+'data from JD'!R38</f>
        <v>4.5707700000000004</v>
      </c>
      <c r="I38" s="45">
        <v>-0.13464999999999999</v>
      </c>
      <c r="J38" s="45">
        <v>3.0939999999999999E-2</v>
      </c>
      <c r="K38" s="42"/>
      <c r="L38" s="42"/>
      <c r="M38" s="42"/>
      <c r="N38" s="42"/>
      <c r="O38" s="42"/>
      <c r="P38" s="42"/>
    </row>
    <row r="39" spans="1:16" s="46" customFormat="1" ht="15" x14ac:dyDescent="0.25">
      <c r="A39" s="42" t="s">
        <v>60</v>
      </c>
      <c r="B39" s="43" t="s">
        <v>86</v>
      </c>
      <c r="C39" s="42"/>
      <c r="D39" s="43">
        <f>'Rel to Acc'!D39-$D$70</f>
        <v>91.072349999999972</v>
      </c>
      <c r="E39" s="43">
        <f>'Rel to Acc'!E39-80.6</f>
        <v>-0.27482999999999436</v>
      </c>
      <c r="F39" s="43">
        <f>'data from JD'!F39+'data from JD'!P39/1000</f>
        <v>0.18167999999524154</v>
      </c>
      <c r="G39" s="43">
        <f>'Rel to Acc'!G39-104.7</f>
        <v>2.6699999999948432E-3</v>
      </c>
      <c r="H39" s="43">
        <f>'Rel to Acc'!H39</f>
        <v>-4.6928999999999998</v>
      </c>
      <c r="I39" s="45"/>
      <c r="J39" s="45"/>
      <c r="K39" s="42"/>
      <c r="L39" s="42"/>
      <c r="M39" s="42"/>
      <c r="N39" s="42"/>
      <c r="O39" s="42"/>
      <c r="P39" s="42"/>
    </row>
    <row r="40" spans="1:16" s="46" customFormat="1" ht="15" x14ac:dyDescent="0.25">
      <c r="A40" s="42" t="s">
        <v>61</v>
      </c>
      <c r="B40" s="43" t="s">
        <v>85</v>
      </c>
      <c r="C40" s="42"/>
      <c r="D40" s="43">
        <f>'Rel to Acc'!D40-$D$70</f>
        <v>91.072339999999997</v>
      </c>
      <c r="E40" s="43">
        <f>'Rel to Acc'!E40-80.6</f>
        <v>0.27509000000000583</v>
      </c>
      <c r="F40" s="43">
        <f>'data from JD'!F40+'data from JD'!P40/1000</f>
        <v>0.18207999999524152</v>
      </c>
      <c r="G40" s="43">
        <f>'Rel to Acc'!G40-104.7</f>
        <v>8.6999999999193278E-4</v>
      </c>
      <c r="H40" s="43">
        <f>'Rel to Acc'!H40</f>
        <v>4.7812999999999999</v>
      </c>
      <c r="I40" s="45"/>
      <c r="J40" s="45"/>
      <c r="K40" s="42"/>
      <c r="L40" s="42"/>
      <c r="M40" s="42"/>
      <c r="N40" s="42"/>
      <c r="O40" s="42"/>
      <c r="P40" s="42"/>
    </row>
    <row r="41" spans="1:16" ht="15" x14ac:dyDescent="0.25">
      <c r="A41" s="15" t="s">
        <v>62</v>
      </c>
      <c r="B41" s="15" t="s">
        <v>23</v>
      </c>
      <c r="C41" s="15"/>
      <c r="D41" s="16">
        <f>'Rel to Acc'!D41-$D$70</f>
        <v>100.91665</v>
      </c>
      <c r="E41" s="16">
        <f>'Rel to Acc'!E41-80.6</f>
        <v>-2.9999999999574811E-4</v>
      </c>
      <c r="F41" s="16">
        <f>'data from JD'!F41+'data from JD'!P41/1000</f>
        <v>6.0598799999340072</v>
      </c>
      <c r="G41" s="16">
        <f>'Rel to Acc'!G41-104.7</f>
        <v>0</v>
      </c>
      <c r="H41" s="16"/>
      <c r="I41" s="17"/>
      <c r="J41" s="17"/>
      <c r="K41" s="15"/>
      <c r="L41" s="15"/>
      <c r="M41" s="15"/>
      <c r="N41" s="15"/>
      <c r="O41" s="15"/>
      <c r="P41" s="15"/>
    </row>
    <row r="42" spans="1:16" ht="15" x14ac:dyDescent="0.25">
      <c r="A42" s="15" t="s">
        <v>141</v>
      </c>
      <c r="B42" s="15"/>
      <c r="C42" s="15"/>
      <c r="D42" s="16">
        <f>'Rel to Acc'!D42-$D$70</f>
        <v>98.51864999999998</v>
      </c>
      <c r="E42" s="16">
        <f>'Rel to Acc'!E42-80.6</f>
        <v>-1.3797755096334186E-3</v>
      </c>
      <c r="F42" s="16">
        <f>'data from JD'!F42+'data from JD'!P42/1000</f>
        <v>6.1090199999782993</v>
      </c>
      <c r="G42" s="16">
        <f>'Rel to Acc'!G42-104.7</f>
        <v>-5.6499878544968851E-4</v>
      </c>
      <c r="H42" s="16"/>
      <c r="I42" s="17"/>
      <c r="J42" s="17"/>
      <c r="K42" s="15"/>
      <c r="L42" s="15"/>
      <c r="M42" s="15"/>
      <c r="N42" s="15"/>
      <c r="O42" s="15"/>
      <c r="P42" s="15"/>
    </row>
    <row r="43" spans="1:16" ht="15" x14ac:dyDescent="0.25">
      <c r="A43" s="15" t="s">
        <v>142</v>
      </c>
      <c r="B43" s="15"/>
      <c r="C43" s="15"/>
      <c r="D43" s="16">
        <f>'Rel to Acc'!D43-$D$70</f>
        <v>103.31464999999997</v>
      </c>
      <c r="E43" s="16">
        <f>'Rel to Acc'!E43-80.6</f>
        <v>7.7977550964192233E-4</v>
      </c>
      <c r="F43" s="16">
        <f>'data from JD'!F45+'data from JD'!P45/1000</f>
        <v>0.17992000000029104</v>
      </c>
      <c r="G43" s="16">
        <f>'Rel to Acc'!G43-104.7</f>
        <v>5.6499878544968851E-4</v>
      </c>
      <c r="H43" s="16"/>
      <c r="I43" s="17"/>
      <c r="J43" s="17"/>
      <c r="K43" s="15"/>
      <c r="L43" s="15"/>
      <c r="M43" s="15"/>
      <c r="N43" s="15"/>
      <c r="O43" s="15"/>
      <c r="P43" s="15"/>
    </row>
    <row r="44" spans="1:16" ht="15" x14ac:dyDescent="0.25">
      <c r="A44" s="15" t="s">
        <v>63</v>
      </c>
      <c r="B44" s="15" t="s">
        <v>45</v>
      </c>
      <c r="C44" s="15"/>
      <c r="D44" s="16">
        <f>'Rel to Acc'!D44-$D$70</f>
        <v>101.14535000000001</v>
      </c>
      <c r="E44" s="16">
        <f>'Rel to Acc'!E44-80.6</f>
        <v>1.0300000000000864E-3</v>
      </c>
      <c r="F44" s="16">
        <f>'data from JD'!F42+'data from JD'!P42/1000</f>
        <v>6.1090199999782993</v>
      </c>
      <c r="G44" s="16">
        <f>'Rel to Acc'!G44-104.7</f>
        <v>-9.7999999999842657E-4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16" s="38" customFormat="1" ht="15" x14ac:dyDescent="0.25">
      <c r="A45" s="37" t="s">
        <v>195</v>
      </c>
      <c r="B45" s="37"/>
      <c r="C45" s="37"/>
      <c r="D45" s="39">
        <f>'Rel to Acc'!D45-$D$70</f>
        <v>99.528500000000008</v>
      </c>
      <c r="E45" s="39">
        <f>'Rel to Acc'!E45-80.6</f>
        <v>1.2931858526599171E-4</v>
      </c>
      <c r="F45" s="39">
        <f>'data from JD'!F43+'data from JD'!P43/1000</f>
        <v>0</v>
      </c>
      <c r="G45" s="39">
        <f>'Rel to Acc'!G45-104.7</f>
        <v>-8.1129168790994299E-5</v>
      </c>
      <c r="H45" s="39"/>
      <c r="I45" s="40"/>
      <c r="J45" s="40"/>
      <c r="K45" s="37"/>
      <c r="L45" s="37"/>
      <c r="M45" s="37"/>
      <c r="N45" s="37"/>
      <c r="O45" s="37"/>
      <c r="P45" s="37"/>
    </row>
    <row r="46" spans="1:16" s="38" customFormat="1" ht="15" x14ac:dyDescent="0.25">
      <c r="A46" s="37" t="s">
        <v>194</v>
      </c>
      <c r="B46" s="37" t="s">
        <v>151</v>
      </c>
      <c r="C46" s="37"/>
      <c r="D46" s="39">
        <f>'Rel to Acc'!D46-$D$70</f>
        <v>99.676249999999982</v>
      </c>
      <c r="E46" s="39">
        <f>'Rel to Acc'!E46-80.6</f>
        <v>1.5000000000497948E-4</v>
      </c>
      <c r="F46" s="39">
        <f>'data from JD'!F45+'data from JD'!P45/1000</f>
        <v>0.17992000000029104</v>
      </c>
      <c r="G46" s="39">
        <f>'Rel to Acc'!G46-104.7</f>
        <v>-9.0000000000145519E-5</v>
      </c>
      <c r="H46" s="39"/>
      <c r="I46" s="40"/>
      <c r="J46" s="40" t="s">
        <v>46</v>
      </c>
      <c r="K46" s="37"/>
      <c r="L46" s="37"/>
      <c r="M46" s="37"/>
      <c r="N46" s="37"/>
      <c r="O46" s="37"/>
      <c r="P46" s="37"/>
    </row>
    <row r="47" spans="1:16" s="38" customFormat="1" ht="15" x14ac:dyDescent="0.25">
      <c r="A47" s="37" t="s">
        <v>196</v>
      </c>
      <c r="B47" s="37"/>
      <c r="C47" s="37"/>
      <c r="D47" s="39">
        <f>'Rel to Acc'!D47-$D$70</f>
        <v>99.823999999999955</v>
      </c>
      <c r="E47" s="39">
        <f>'Rel to Acc'!E47-80.6</f>
        <v>1.7068141474396725E-4</v>
      </c>
      <c r="F47" s="39">
        <f>'data from JD'!F46+'data from JD'!P46/1000</f>
        <v>0</v>
      </c>
      <c r="G47" s="39">
        <f>'Rel to Acc'!G47-104.7</f>
        <v>-9.8870831209296739E-5</v>
      </c>
      <c r="H47" s="39"/>
      <c r="I47" s="40"/>
      <c r="J47" s="40"/>
      <c r="K47" s="37"/>
      <c r="L47" s="37"/>
      <c r="M47" s="37"/>
      <c r="N47" s="37"/>
      <c r="O47" s="37"/>
      <c r="P47" s="37"/>
    </row>
    <row r="48" spans="1:16" s="46" customFormat="1" ht="15" x14ac:dyDescent="0.25">
      <c r="A48" s="42" t="s">
        <v>152</v>
      </c>
      <c r="B48" s="42"/>
      <c r="C48" s="42"/>
      <c r="D48" s="43">
        <f>'Rel to Acc'!D48-$D$70</f>
        <v>99.870429999999999</v>
      </c>
      <c r="E48" s="43">
        <f>'Rel to Acc'!E48-80.6</f>
        <v>1.2903568112960784E-3</v>
      </c>
      <c r="F48" s="43">
        <f>'data from JD'!F48+'data from JD'!P48/1000</f>
        <v>0</v>
      </c>
      <c r="G48" s="43">
        <f>'Rel to Acc'!G48-104.7</f>
        <v>1.9910138784382525E-3</v>
      </c>
      <c r="H48" s="43"/>
      <c r="I48" s="45"/>
      <c r="J48" s="45"/>
      <c r="K48" s="42"/>
      <c r="L48" s="42"/>
      <c r="M48" s="42"/>
      <c r="N48" s="42"/>
      <c r="O48" s="42"/>
      <c r="P48" s="42"/>
    </row>
    <row r="49" spans="1:16" s="46" customFormat="1" ht="15" x14ac:dyDescent="0.25">
      <c r="A49" s="42" t="s">
        <v>80</v>
      </c>
      <c r="B49" s="42" t="s">
        <v>18</v>
      </c>
      <c r="C49" s="43" t="s">
        <v>46</v>
      </c>
      <c r="D49" s="43">
        <f>'Rel to Acc'!D49-$D$70</f>
        <v>99.32396</v>
      </c>
      <c r="E49" s="43"/>
      <c r="F49" s="43">
        <f>'data from JD'!F49+'data from JD'!P49/1000</f>
        <v>1.23E-3</v>
      </c>
      <c r="G49" s="43"/>
      <c r="H49" s="43"/>
      <c r="I49" s="43">
        <f>ATAN(((G51-G49)/(D51-D49))*180/3.1415)</f>
        <v>9.4480533169375172E-2</v>
      </c>
      <c r="J49" s="45">
        <v>-11.25</v>
      </c>
      <c r="K49" s="42"/>
      <c r="L49" s="42"/>
      <c r="M49" s="42"/>
      <c r="N49" s="42"/>
      <c r="O49" s="42"/>
      <c r="P49" s="42"/>
    </row>
    <row r="50" spans="1:16" s="46" customFormat="1" ht="15" x14ac:dyDescent="0.25">
      <c r="A50" s="42" t="s">
        <v>92</v>
      </c>
      <c r="B50" s="42"/>
      <c r="C50" s="43"/>
      <c r="D50" s="43">
        <f>'Rel to Acc'!D50-$D$70</f>
        <v>99.411260000000027</v>
      </c>
      <c r="E50" s="43">
        <f>'Rel to Acc'!E50-80.6</f>
        <v>1.0496154236250277E-4</v>
      </c>
      <c r="F50" s="43">
        <f>'data from JD'!F50+'data from JD'!P50/1000</f>
        <v>1.23E-3</v>
      </c>
      <c r="G50" s="43">
        <f>'Rel to Acc'!G50-104.7</f>
        <v>-1.0850791374963364E-3</v>
      </c>
      <c r="H50" s="43"/>
      <c r="I50" s="45"/>
      <c r="J50" s="45"/>
      <c r="K50" s="42"/>
      <c r="L50" s="42"/>
      <c r="M50" s="42"/>
      <c r="N50" s="42"/>
      <c r="O50" s="42"/>
      <c r="P50" s="42"/>
    </row>
    <row r="51" spans="1:16" s="46" customFormat="1" ht="15" x14ac:dyDescent="0.25">
      <c r="A51" s="42" t="s">
        <v>93</v>
      </c>
      <c r="B51" s="42"/>
      <c r="C51" s="43"/>
      <c r="D51" s="43">
        <f>'Rel to Acc'!D51-$D$70</f>
        <v>99.996359999999981</v>
      </c>
      <c r="E51" s="43">
        <f>'Rel to Acc'!E51-80.6</f>
        <v>1.7941724618992794E-3</v>
      </c>
      <c r="F51" s="43">
        <f>'data from JD'!F51+'data from JD'!P51/1000</f>
        <v>-4.4000000000000002E-4</v>
      </c>
      <c r="G51" s="43">
        <f>'Rel to Acc'!G51-104.7</f>
        <v>1.1120634088257475E-3</v>
      </c>
      <c r="H51" s="43"/>
      <c r="I51" s="45"/>
      <c r="J51" s="45"/>
      <c r="K51" s="42"/>
      <c r="L51" s="42"/>
      <c r="M51" s="42"/>
      <c r="N51" s="42"/>
      <c r="O51" s="42"/>
      <c r="P51" s="42"/>
    </row>
    <row r="52" spans="1:16" ht="15" x14ac:dyDescent="0.25">
      <c r="A52" s="15" t="s">
        <v>111</v>
      </c>
      <c r="B52" s="15"/>
      <c r="C52" s="15"/>
      <c r="D52" s="16">
        <f>'Rel to Acc'!D52-$D$70</f>
        <v>100.84944000000002</v>
      </c>
      <c r="E52" s="16">
        <f>'Rel to Acc'!E52-80.6</f>
        <v>-9.0000000000145519E-4</v>
      </c>
      <c r="F52" s="16" t="e">
        <f>'data from JD'!#REF!+'data from JD'!#REF!/1000</f>
        <v>#REF!</v>
      </c>
      <c r="G52" s="16">
        <f>'Rel to Acc'!G52-104.7</f>
        <v>3.2899999999358442E-4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/>
      <c r="N52" s="15"/>
      <c r="O52" s="15"/>
      <c r="P52" s="15"/>
    </row>
    <row r="53" spans="1:16" ht="15" x14ac:dyDescent="0.25">
      <c r="A53" s="15" t="s">
        <v>112</v>
      </c>
      <c r="B53" s="15"/>
      <c r="C53" s="15"/>
      <c r="D53" s="16">
        <f>'Rel to Acc'!D53-$D$70</f>
        <v>101.43513999999999</v>
      </c>
      <c r="E53" s="16">
        <f>'Rel to Acc'!E53-80.6</f>
        <v>-6.900000000058526E-4</v>
      </c>
      <c r="F53" s="16">
        <f>'data from JD'!F56+'data from JD'!P56/1000</f>
        <v>6.4096799999598364</v>
      </c>
      <c r="G53" s="16">
        <f>'Rel to Acc'!G53-104.7</f>
        <v>-5.7999999995672624E-5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/>
      <c r="N53" s="15"/>
      <c r="O53" s="15"/>
      <c r="P53" s="15"/>
    </row>
    <row r="54" spans="1:16" ht="15" x14ac:dyDescent="0.25">
      <c r="A54" s="15" t="s">
        <v>113</v>
      </c>
      <c r="B54" s="15"/>
      <c r="C54" s="15"/>
      <c r="D54" s="16">
        <f>'Rel to Acc'!D54-$D$70</f>
        <v>102.02103</v>
      </c>
      <c r="E54" s="16">
        <f>'Rel to Acc'!E54-80.6</f>
        <v>1.0000000003174137E-5</v>
      </c>
      <c r="F54" s="16">
        <f>'data from JD'!F57+'data from JD'!P57/1000</f>
        <v>0.17997900000029105</v>
      </c>
      <c r="G54" s="16">
        <f>'Rel to Acc'!G54-104.7</f>
        <v>-3.2500000000368345E-4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/>
      <c r="N54" s="15"/>
      <c r="O54" s="15"/>
      <c r="P54" s="15"/>
    </row>
    <row r="55" spans="1:16" ht="15" x14ac:dyDescent="0.25">
      <c r="A55" s="15" t="s">
        <v>114</v>
      </c>
      <c r="B55" s="15"/>
      <c r="C55" s="15"/>
      <c r="D55" s="16">
        <f>'Rel to Acc'!D55-$D$70</f>
        <v>102.40778</v>
      </c>
      <c r="E55" s="16">
        <f>'Rel to Acc'!E55-80.6</f>
        <v>1.8000000000029104E-4</v>
      </c>
      <c r="F55" s="16">
        <f>'data from JD'!F58+'data from JD'!P58/1000</f>
        <v>0.18225100000029104</v>
      </c>
      <c r="G55" s="16">
        <f>'Rel to Acc'!G55-104.7</f>
        <v>2.3099999999942611E-4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/>
      <c r="N55" s="15"/>
      <c r="O55" s="15"/>
      <c r="P55" s="15"/>
    </row>
    <row r="56" spans="1:16" ht="15" x14ac:dyDescent="0.25">
      <c r="A56" s="15" t="s">
        <v>64</v>
      </c>
      <c r="B56" s="15" t="s">
        <v>17</v>
      </c>
      <c r="C56" s="15"/>
      <c r="D56" s="16">
        <f>'Rel to Acc'!D56-$D$70</f>
        <v>99.953449999999975</v>
      </c>
      <c r="E56" s="16">
        <f>'Rel to Acc'!E56-80.6</f>
        <v>0</v>
      </c>
      <c r="F56" s="16">
        <f>'data from JD'!F56+'data from JD'!P56/1000</f>
        <v>6.4096799999598364</v>
      </c>
      <c r="G56" s="16">
        <f>'Rel to Acc'!G56-104.7</f>
        <v>-7.9999999999813554E-4</v>
      </c>
      <c r="H56" s="16">
        <f>(ATAN((E57-E58)/(D57-D58)))*180/3.1415</f>
        <v>8.0000000003391455E-3</v>
      </c>
      <c r="I56" s="16">
        <f>(ATAN((G57-G58)/(D57-D58)))*180/3.1415</f>
        <v>-2.1799999999808983E-2</v>
      </c>
      <c r="J56" s="17">
        <f>'Rel to Acc'!J56</f>
        <v>4.4999999999999998E-2</v>
      </c>
      <c r="K56" s="15"/>
      <c r="L56" s="15"/>
      <c r="M56" s="15"/>
      <c r="N56" s="15"/>
      <c r="O56" s="15"/>
      <c r="P56" s="15"/>
    </row>
    <row r="57" spans="1:16" ht="15" x14ac:dyDescent="0.25">
      <c r="A57" s="15" t="s">
        <v>148</v>
      </c>
      <c r="B57" s="15"/>
      <c r="C57" s="15"/>
      <c r="D57" s="16">
        <f>'Rel to Acc'!D57-$D$70</f>
        <v>99.203449999999975</v>
      </c>
      <c r="E57" s="16">
        <f>'Rel to Acc'!E57-80.6</f>
        <v>-1.0471666735156759E-4</v>
      </c>
      <c r="F57" s="16">
        <f>'data from JD'!F57+'data from JD'!P57/1000</f>
        <v>0.17997900000029105</v>
      </c>
      <c r="G57" s="16">
        <f>'Rel to Acc'!G57-104.7</f>
        <v>-5.146470695649441E-4</v>
      </c>
      <c r="H57" s="16"/>
      <c r="I57" s="17"/>
      <c r="J57" s="17"/>
      <c r="K57" s="15"/>
      <c r="L57" s="15"/>
      <c r="M57" s="15"/>
      <c r="N57" s="15"/>
      <c r="O57" s="15"/>
      <c r="P57" s="15"/>
    </row>
    <row r="58" spans="1:16" ht="15" x14ac:dyDescent="0.25">
      <c r="A58" s="15" t="s">
        <v>149</v>
      </c>
      <c r="B58" s="15"/>
      <c r="C58" s="15"/>
      <c r="D58" s="16">
        <f>'Rel to Acc'!D58-$D$70</f>
        <v>100.70344999999998</v>
      </c>
      <c r="E58" s="16">
        <f>'Rel to Acc'!E58-80.6</f>
        <v>1.0471666735156759E-4</v>
      </c>
      <c r="F58" s="16">
        <f>'data from JD'!F58+'data from JD'!P58/1000</f>
        <v>0.18225100000029104</v>
      </c>
      <c r="G58" s="16">
        <f>'Rel to Acc'!G58-104.7</f>
        <v>-1.085352930431327E-3</v>
      </c>
      <c r="H58" s="16"/>
      <c r="I58" s="17"/>
      <c r="J58" s="17"/>
      <c r="K58" s="15"/>
      <c r="L58" s="15"/>
      <c r="M58" s="15"/>
      <c r="N58" s="15"/>
      <c r="O58" s="15"/>
      <c r="P58" s="15"/>
    </row>
    <row r="59" spans="1:16" s="46" customFormat="1" ht="15" x14ac:dyDescent="0.25">
      <c r="A59" s="42" t="s">
        <v>65</v>
      </c>
      <c r="B59" s="42" t="s">
        <v>15</v>
      </c>
      <c r="C59" s="42"/>
      <c r="D59" s="43">
        <f>'Rel to Acc'!D59-$D$70</f>
        <v>105.27638000000002</v>
      </c>
      <c r="E59" s="43">
        <f>'Rel to Acc'!E59-80.6</f>
        <v>6.0100000000034015E-3</v>
      </c>
      <c r="F59" s="43">
        <f>'data from JD'!F57+'data from JD'!P57/1000</f>
        <v>0.17997900000029105</v>
      </c>
      <c r="G59" s="43">
        <f>'Rel to Acc'!G59-104.7</f>
        <v>3.0999999999892225E-4</v>
      </c>
      <c r="H59" s="43">
        <f>'Rel to Acc'!H59</f>
        <v>-4.8399999999999999E-2</v>
      </c>
      <c r="I59" s="43">
        <f>'Rel to Acc'!I59</f>
        <v>2.64E-2</v>
      </c>
      <c r="J59" s="43">
        <f>'Rel to Acc'!J59</f>
        <v>-1.8599999999999998E-2</v>
      </c>
      <c r="K59" s="42"/>
      <c r="L59" s="42"/>
      <c r="M59" s="42"/>
      <c r="N59" s="42"/>
      <c r="O59" s="42"/>
      <c r="P59" s="42"/>
    </row>
    <row r="60" spans="1:16" s="46" customFormat="1" ht="15" x14ac:dyDescent="0.25">
      <c r="A60" s="42" t="s">
        <v>66</v>
      </c>
      <c r="B60" s="42" t="s">
        <v>16</v>
      </c>
      <c r="C60" s="42"/>
      <c r="D60" s="43">
        <f>'Rel to Acc'!D60-$D$70</f>
        <v>105.08525000000003</v>
      </c>
      <c r="E60" s="43">
        <f>'Rel to Acc'!E60-80.6</f>
        <v>3.7999999999982492E-3</v>
      </c>
      <c r="F60" s="43">
        <f>'data from JD'!F58+'data from JD'!P58/1000</f>
        <v>0.18225100000029104</v>
      </c>
      <c r="G60" s="43">
        <f>'Rel to Acc'!G60-104.7</f>
        <v>2.582000000003859E-3</v>
      </c>
      <c r="H60" s="43">
        <f>'Rel to Acc'!H60</f>
        <v>6.7909999999999998E-2</v>
      </c>
      <c r="I60" s="43">
        <f>'Rel to Acc'!I60</f>
        <v>2.726E-2</v>
      </c>
      <c r="J60" s="43">
        <f>'Rel to Acc'!J60</f>
        <v>-0.185</v>
      </c>
      <c r="K60" s="42"/>
      <c r="L60" s="42"/>
      <c r="M60" s="42"/>
      <c r="N60" s="42"/>
      <c r="O60" s="42"/>
      <c r="P60" s="42"/>
    </row>
    <row r="61" spans="1:16" s="38" customFormat="1" ht="15" x14ac:dyDescent="0.25">
      <c r="A61" s="37" t="s">
        <v>252</v>
      </c>
      <c r="B61" s="37"/>
      <c r="C61" s="37"/>
      <c r="D61" s="39">
        <f>'Rel to Acc'!D61-$D$70</f>
        <v>111.82040999999998</v>
      </c>
      <c r="E61" s="39">
        <f>'Rel to Acc'!E61-80.6</f>
        <v>-2.8999999999257398E-4</v>
      </c>
      <c r="F61" s="39">
        <f>'data from JD'!F59+'data from JD'!P59/1000</f>
        <v>0</v>
      </c>
      <c r="G61" s="39">
        <f>'Rel to Acc'!G61-104.7</f>
        <v>1.2999999999863121E-4</v>
      </c>
      <c r="H61" s="39">
        <f>'Rel to Acc'!H61</f>
        <v>5.042E-2</v>
      </c>
      <c r="I61" s="39">
        <f>'Rel to Acc'!I61</f>
        <v>-1.6899999999999998E-2</v>
      </c>
      <c r="J61" s="39">
        <f>'Rel to Acc'!J61</f>
        <v>-1.9480000000000001E-2</v>
      </c>
      <c r="K61" s="37"/>
      <c r="L61" s="37"/>
      <c r="M61" s="37"/>
      <c r="N61" s="37"/>
      <c r="O61" s="37"/>
      <c r="P61" s="37"/>
    </row>
    <row r="62" spans="1:16" x14ac:dyDescent="0.3">
      <c r="A62" s="15" t="s">
        <v>258</v>
      </c>
      <c r="B62" s="15"/>
      <c r="D62" s="16">
        <f>'Rel to Acc'!D62-$D$70</f>
        <v>-299.11115000000001</v>
      </c>
      <c r="E62" s="16">
        <f>'Rel to Acc'!E62-80.6</f>
        <v>-80.599999999999994</v>
      </c>
      <c r="F62" s="16">
        <f>'data from JD'!F60+'data from JD'!P60/1000</f>
        <v>0</v>
      </c>
      <c r="G62" s="16">
        <f>'Rel to Acc'!G62-104.7</f>
        <v>-104.7</v>
      </c>
      <c r="H62" s="15">
        <f>'Rel to Acc'!H62</f>
        <v>0</v>
      </c>
      <c r="I62" s="15">
        <f>'Rel to Acc'!I62</f>
        <v>0</v>
      </c>
      <c r="J62" s="15">
        <f>'Rel to Acc'!J62</f>
        <v>0</v>
      </c>
    </row>
    <row r="63" spans="1:16" s="46" customFormat="1" x14ac:dyDescent="0.3">
      <c r="A63" s="59" t="s">
        <v>260</v>
      </c>
      <c r="B63" s="60" t="s">
        <v>261</v>
      </c>
      <c r="D63" s="60">
        <f>'Rel to Acc'!D63-$D$70</f>
        <v>115.29564999999997</v>
      </c>
      <c r="E63" s="60">
        <f>'Rel to Acc'!E63-80.6</f>
        <v>-1.8999999998925432E-4</v>
      </c>
      <c r="F63" s="60">
        <f>'data from JD'!F61+'data from JD'!P61/1000</f>
        <v>0</v>
      </c>
      <c r="G63" s="60">
        <f>'Rel to Acc'!G63-104.7</f>
        <v>3.2999999999105967E-4</v>
      </c>
      <c r="H63" s="42">
        <f>'Rel to Acc'!H63</f>
        <v>0.1168</v>
      </c>
      <c r="I63" s="42">
        <f>'Rel to Acc'!I63</f>
        <v>0.1065</v>
      </c>
      <c r="J63" s="42" t="str">
        <f>'Rel to Acc'!J63</f>
        <v xml:space="preserve"> </v>
      </c>
    </row>
    <row r="64" spans="1:16" s="38" customFormat="1" x14ac:dyDescent="0.3">
      <c r="A64" s="37" t="s">
        <v>282</v>
      </c>
      <c r="B64" s="39" t="s">
        <v>264</v>
      </c>
      <c r="C64" s="37"/>
      <c r="D64" s="39">
        <f>'Rel to Acc'!D64-$D$70</f>
        <v>104.87090999999998</v>
      </c>
      <c r="E64" s="39">
        <f>'Rel to Acc'!E64-80.6</f>
        <v>7.6800000000076807E-3</v>
      </c>
      <c r="F64" s="39">
        <f>'data from JD'!F62+'data from JD'!P62/1000</f>
        <v>0</v>
      </c>
      <c r="G64" s="39">
        <f>'Rel to Acc'!G64-104.7</f>
        <v>-0.81810000000000116</v>
      </c>
      <c r="H64" s="37">
        <f>'Rel to Acc'!H64</f>
        <v>-0.1003</v>
      </c>
      <c r="I64" s="37">
        <f>'Rel to Acc'!I64</f>
        <v>-7.9100000000000004E-2</v>
      </c>
      <c r="J64" s="37">
        <f>'Rel to Acc'!J64</f>
        <v>3.8100000000000002E-2</v>
      </c>
    </row>
    <row r="65" spans="1:10" s="38" customFormat="1" x14ac:dyDescent="0.3">
      <c r="A65" s="37" t="s">
        <v>283</v>
      </c>
      <c r="B65" s="39" t="s">
        <v>265</v>
      </c>
      <c r="C65" s="37"/>
      <c r="D65" s="39">
        <f>'Rel to Acc'!D65-$D$70</f>
        <v>104.87144999999998</v>
      </c>
      <c r="E65" s="39">
        <f>'Rel to Acc'!E65-80.6</f>
        <v>8.3300000000008367E-3</v>
      </c>
      <c r="F65" s="39">
        <f>'data from JD'!F63+'data from JD'!P63/1000</f>
        <v>0</v>
      </c>
      <c r="G65" s="39">
        <f>'Rel to Acc'!G65-104.7</f>
        <v>-0.30340999999999951</v>
      </c>
      <c r="H65" s="37">
        <f>'Rel to Acc'!H65</f>
        <v>-9.6299999999999997E-2</v>
      </c>
      <c r="I65" s="37">
        <f>'Rel to Acc'!I65</f>
        <v>-0.21429999999999999</v>
      </c>
      <c r="J65" s="37">
        <f>'Rel to Acc'!J65</f>
        <v>3.5499999999999997E-2</v>
      </c>
    </row>
    <row r="66" spans="1:10" s="38" customFormat="1" x14ac:dyDescent="0.3">
      <c r="A66" s="37" t="s">
        <v>275</v>
      </c>
      <c r="B66" s="39"/>
      <c r="C66" s="37"/>
      <c r="D66" s="39">
        <f>'Rel to Acc'!D66-$D$70</f>
        <v>104.83724999999998</v>
      </c>
      <c r="E66" s="39">
        <f>'Rel to Acc'!E66-80.6</f>
        <v>-3.0123099999999994</v>
      </c>
      <c r="F66" s="39">
        <f>'data from JD'!F64+'data from JD'!P64/1000</f>
        <v>0</v>
      </c>
      <c r="G66" s="39">
        <f>'Rel to Acc'!G66-104.7</f>
        <v>-0.30509999999999593</v>
      </c>
      <c r="H66" s="37">
        <f>'Rel to Acc'!H66</f>
        <v>-0.1641</v>
      </c>
      <c r="I66" s="37">
        <f>'Rel to Acc'!I66</f>
        <v>0.23799999999999999</v>
      </c>
      <c r="J66" s="37">
        <f>'Rel to Acc'!J66</f>
        <v>4.0599999999999997E-2</v>
      </c>
    </row>
    <row r="67" spans="1:10" s="33" customFormat="1" x14ac:dyDescent="0.3">
      <c r="A67" s="47"/>
      <c r="B67" s="24"/>
      <c r="D67" s="24"/>
      <c r="E67" s="24"/>
      <c r="F67" s="24"/>
      <c r="G67" s="24"/>
      <c r="H67" s="47"/>
      <c r="I67" s="47"/>
      <c r="J67" s="47"/>
    </row>
    <row r="68" spans="1:10" ht="15.75" x14ac:dyDescent="0.25">
      <c r="A68" s="10" t="s">
        <v>81</v>
      </c>
      <c r="D68" s="4">
        <f>'Rel to Acc'!D42+0.508</f>
        <v>398.13779999999997</v>
      </c>
      <c r="E68" s="2">
        <v>80.599999999999994</v>
      </c>
      <c r="F68" s="2"/>
      <c r="G68" s="2">
        <v>104.7</v>
      </c>
    </row>
    <row r="69" spans="1:10" s="33" customFormat="1" ht="15.6" x14ac:dyDescent="0.3">
      <c r="A69" s="10"/>
      <c r="E69" s="2"/>
      <c r="F69" s="2"/>
      <c r="G69" s="2"/>
    </row>
    <row r="70" spans="1:10" s="49" customFormat="1" x14ac:dyDescent="0.3">
      <c r="B70" s="49" t="s">
        <v>267</v>
      </c>
      <c r="D70" s="49">
        <f>'Rel to Acc'!D15</f>
        <v>299.11115000000001</v>
      </c>
      <c r="E70" s="49" t="s">
        <v>46</v>
      </c>
      <c r="G70" s="49" t="s">
        <v>46</v>
      </c>
    </row>
    <row r="71" spans="1:10" s="38" customFormat="1" x14ac:dyDescent="0.3">
      <c r="A71" s="37" t="s">
        <v>287</v>
      </c>
    </row>
    <row r="72" spans="1:10" x14ac:dyDescent="0.3">
      <c r="A72" s="35" t="s">
        <v>46</v>
      </c>
    </row>
    <row r="73" spans="1:10" x14ac:dyDescent="0.3">
      <c r="A73" s="36" t="s">
        <v>46</v>
      </c>
    </row>
    <row r="74" spans="1:10" x14ac:dyDescent="0.3">
      <c r="A74" s="36" t="s">
        <v>269</v>
      </c>
    </row>
    <row r="75" spans="1:10" x14ac:dyDescent="0.3">
      <c r="A75" s="36" t="s">
        <v>46</v>
      </c>
    </row>
    <row r="76" spans="1:10" x14ac:dyDescent="0.3">
      <c r="A76" s="36" t="s">
        <v>266</v>
      </c>
    </row>
    <row r="77" spans="1:10" x14ac:dyDescent="0.3">
      <c r="A77" s="36"/>
    </row>
  </sheetData>
  <mergeCells count="2">
    <mergeCell ref="A2:D5"/>
    <mergeCell ref="L10:P10"/>
  </mergeCells>
  <pageMargins left="0.7" right="0.7" top="0.75" bottom="0.75" header="0.3" footer="0.3"/>
  <pageSetup paperSize="17" scale="9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6"/>
  <sheetViews>
    <sheetView topLeftCell="A43" workbookViewId="0">
      <selection activeCell="A70" sqref="A70"/>
    </sheetView>
  </sheetViews>
  <sheetFormatPr defaultColWidth="9.109375" defaultRowHeight="14.4" x14ac:dyDescent="0.3"/>
  <cols>
    <col min="1" max="1" width="38" style="4" customWidth="1"/>
    <col min="2" max="2" width="12.5546875" style="4" customWidth="1"/>
    <col min="3" max="3" width="2" style="4" customWidth="1"/>
    <col min="4" max="4" width="11.6640625" style="4" customWidth="1"/>
    <col min="5" max="5" width="13.88671875" style="4" bestFit="1" customWidth="1"/>
    <col min="6" max="6" width="11.88671875" style="4" hidden="1" customWidth="1"/>
    <col min="7" max="7" width="11.109375" style="4" customWidth="1"/>
    <col min="8" max="10" width="9.109375" style="4"/>
    <col min="11" max="11" width="2.109375" style="4" customWidth="1"/>
    <col min="12" max="16384" width="9.109375" style="4"/>
  </cols>
  <sheetData>
    <row r="1" spans="1:16" ht="15" customHeight="1" x14ac:dyDescent="0.3">
      <c r="A1" s="33" t="s">
        <v>259</v>
      </c>
    </row>
    <row r="2" spans="1:16" x14ac:dyDescent="0.3">
      <c r="A2" s="61" t="s">
        <v>89</v>
      </c>
      <c r="B2" s="61"/>
      <c r="C2" s="61"/>
      <c r="D2" s="61"/>
    </row>
    <row r="3" spans="1:16" x14ac:dyDescent="0.3">
      <c r="A3" s="61"/>
      <c r="B3" s="61"/>
      <c r="C3" s="61"/>
      <c r="D3" s="61"/>
    </row>
    <row r="4" spans="1:16" x14ac:dyDescent="0.3">
      <c r="A4" s="61"/>
      <c r="B4" s="61"/>
      <c r="C4" s="61"/>
      <c r="D4" s="61"/>
    </row>
    <row r="5" spans="1:16" x14ac:dyDescent="0.3">
      <c r="A5" s="62"/>
      <c r="B5" s="62"/>
      <c r="C5" s="62"/>
      <c r="D5" s="62"/>
    </row>
    <row r="6" spans="1:16" x14ac:dyDescent="0.3">
      <c r="A6" s="62"/>
      <c r="B6" s="62"/>
      <c r="C6" s="62"/>
      <c r="D6" s="62"/>
    </row>
    <row r="10" spans="1:16" ht="15" x14ac:dyDescent="0.25">
      <c r="A10" s="20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0" t="s">
        <v>36</v>
      </c>
      <c r="J10" s="15"/>
      <c r="K10" s="14"/>
      <c r="L10" s="63" t="s">
        <v>48</v>
      </c>
      <c r="M10" s="63"/>
      <c r="N10" s="63"/>
      <c r="O10" s="63"/>
      <c r="P10" s="63"/>
    </row>
    <row r="11" spans="1:16" ht="15" x14ac:dyDescent="0.25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ht="15" x14ac:dyDescent="0.25">
      <c r="A12" s="15" t="s">
        <v>49</v>
      </c>
      <c r="B12" s="15" t="s">
        <v>0</v>
      </c>
      <c r="C12" s="15"/>
      <c r="D12" s="16">
        <f>'Rel to Acc'!D12-'Rel to HD 0,0'!$D$68</f>
        <v>-114.62376</v>
      </c>
      <c r="E12" s="16">
        <f>'Rel to Acc'!E12-80.6</f>
        <v>-9.0000000000145519E-5</v>
      </c>
      <c r="F12" s="16">
        <f>'data from JD'!F12+'data from JD'!P12/1000</f>
        <v>1.84E-4</v>
      </c>
      <c r="G12" s="16">
        <f>'Rel to Acc'!G12-104.7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ht="15" x14ac:dyDescent="0.25">
      <c r="A13" s="15" t="s">
        <v>50</v>
      </c>
      <c r="B13" s="15" t="s">
        <v>24</v>
      </c>
      <c r="C13" s="15"/>
      <c r="D13" s="16">
        <f>'Rel to Acc'!D13-'Rel to HD 0,0'!$D$68</f>
        <v>-100.31875999999994</v>
      </c>
      <c r="E13" s="16">
        <f>'Rel to Acc'!E13-80.6</f>
        <v>2.0000000006348273E-5</v>
      </c>
      <c r="F13" s="16">
        <f>'data from JD'!F13+'data from JD'!P13/1000</f>
        <v>-8.9999999999999985E-6</v>
      </c>
      <c r="G13" s="16">
        <f>'Rel to Acc'!G13-104.7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ht="15" x14ac:dyDescent="0.25">
      <c r="A14" s="15" t="s">
        <v>155</v>
      </c>
      <c r="B14" s="15" t="s">
        <v>1</v>
      </c>
      <c r="C14" s="15"/>
      <c r="D14" s="16">
        <f>'Rel to Acc'!D14-'Rel to HD 0,0'!$D$68</f>
        <v>-99.051549999999963</v>
      </c>
      <c r="E14" s="16"/>
      <c r="F14" s="16">
        <f>'data from JD'!F14+'data from JD'!P14/1000</f>
        <v>-8.8999999999999995E-5</v>
      </c>
      <c r="G14" s="16"/>
      <c r="H14" s="16"/>
      <c r="I14" s="17"/>
      <c r="J14" s="17"/>
      <c r="K14" s="15"/>
      <c r="L14" s="15"/>
      <c r="M14" s="15"/>
      <c r="N14" s="15"/>
      <c r="O14" s="15"/>
      <c r="P14" s="15"/>
    </row>
    <row r="15" spans="1:16" ht="15" x14ac:dyDescent="0.25">
      <c r="A15" s="15" t="s">
        <v>156</v>
      </c>
      <c r="B15" s="15"/>
      <c r="C15" s="15"/>
      <c r="D15" s="16">
        <f>'Rel to Acc'!D15-'Rel to HD 0,0'!$D$68</f>
        <v>-99.026649999999961</v>
      </c>
      <c r="E15" s="16"/>
      <c r="F15" s="16"/>
      <c r="G15" s="16"/>
      <c r="H15" s="16"/>
      <c r="I15" s="17"/>
      <c r="J15" s="17"/>
      <c r="K15" s="15"/>
      <c r="L15" s="15"/>
      <c r="M15" s="15"/>
      <c r="N15" s="15"/>
      <c r="O15" s="15"/>
      <c r="P15" s="15"/>
    </row>
    <row r="16" spans="1:16" ht="15" x14ac:dyDescent="0.25">
      <c r="A16" s="15" t="s">
        <v>51</v>
      </c>
      <c r="B16" s="15" t="s">
        <v>12</v>
      </c>
      <c r="C16" s="15"/>
      <c r="D16" s="16">
        <f>'Rel to Acc'!D16-'Rel to HD 0,0'!$D$68</f>
        <v>-98.423669999999959</v>
      </c>
      <c r="E16" s="16">
        <f>'Rel to Acc'!E16-80.6</f>
        <v>2.6000000001147328E-4</v>
      </c>
      <c r="F16" s="16">
        <f>'data from JD'!F16+'data from JD'!P16/1000</f>
        <v>6.3399519999660399</v>
      </c>
      <c r="G16" s="16">
        <f>'Rel to Acc'!G16-104.7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ht="15" x14ac:dyDescent="0.25">
      <c r="A17" s="15" t="s">
        <v>165</v>
      </c>
      <c r="B17" s="15"/>
      <c r="C17" s="15"/>
      <c r="D17" s="16">
        <f>'Rel to Acc'!D17-'Rel to HD 0,0'!$D$68</f>
        <v>-97.97288999999995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ht="15" x14ac:dyDescent="0.25">
      <c r="A18" s="15" t="s">
        <v>88</v>
      </c>
      <c r="B18" s="15" t="s">
        <v>2</v>
      </c>
      <c r="C18" s="15"/>
      <c r="D18" s="16">
        <f>'Rel to Acc'!D18-'Rel to HD 0,0'!$D$68</f>
        <v>-92.749419999999986</v>
      </c>
      <c r="E18" s="16">
        <f>'Rel to Acc'!E18-80.6</f>
        <v>-0.29766999999999655</v>
      </c>
      <c r="F18" s="16">
        <f>'data from JD'!F18+'data from JD'!P18/1000</f>
        <v>-0.57007399998197383</v>
      </c>
      <c r="G18" s="16">
        <f>'Rel to Acc'!G18-104.7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ht="15" x14ac:dyDescent="0.25">
      <c r="A19" s="15" t="s">
        <v>162</v>
      </c>
      <c r="B19" s="15"/>
      <c r="C19" s="15"/>
      <c r="D19" s="16">
        <f>'Rel to Acc'!D19-$D$68</f>
        <v>-95.851288786574344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ht="15" x14ac:dyDescent="0.25">
      <c r="A20" s="15" t="s">
        <v>72</v>
      </c>
      <c r="B20" s="15" t="s">
        <v>4</v>
      </c>
      <c r="C20" s="15"/>
      <c r="D20" s="16">
        <f>'Rel to Acc'!D20-'Rel to HD 0,0'!$D$68</f>
        <v>-95.038319999999942</v>
      </c>
      <c r="E20" s="16">
        <f>'Rel to Acc'!E20-80.6</f>
        <v>-0.88205999999999563</v>
      </c>
      <c r="F20" s="16">
        <f>'data from JD'!F20+'data from JD'!P20/1000</f>
        <v>-2.7500000000000002E-4</v>
      </c>
      <c r="G20" s="16">
        <f>'Rel to Acc'!G20-104.7</f>
        <v>6.9969999999997867E-2</v>
      </c>
      <c r="H20" s="16">
        <f>'Rel to Acc'!H20</f>
        <v>-8.0449907090024517</v>
      </c>
      <c r="I20" s="16">
        <f>'Rel to Acc'!I20</f>
        <v>-7.1393711111308105E-3</v>
      </c>
      <c r="J20" s="16">
        <f>'Rel to Acc'!J20</f>
        <v>-1.1378328311305591E-2</v>
      </c>
      <c r="K20" s="15"/>
      <c r="L20" s="15"/>
      <c r="M20" s="15"/>
      <c r="N20" s="15"/>
      <c r="O20" s="15"/>
      <c r="P20" s="15"/>
    </row>
    <row r="21" spans="1:16" ht="15" x14ac:dyDescent="0.25">
      <c r="A21" s="15" t="s">
        <v>73</v>
      </c>
      <c r="B21" s="15" t="s">
        <v>5</v>
      </c>
      <c r="C21" s="15"/>
      <c r="D21" s="16">
        <f>'Rel to Acc'!D21-'Rel to HD 0,0'!$D$68</f>
        <v>-93.749069999999961</v>
      </c>
      <c r="E21" s="16">
        <f>'Rel to Acc'!E21-80.6</f>
        <v>-1.0632799999999918</v>
      </c>
      <c r="F21" s="16">
        <f>'data from JD'!F21+'data from JD'!P21/1000</f>
        <v>-1.75E-4</v>
      </c>
      <c r="G21" s="16">
        <f>'Rel to Acc'!G21-104.7</f>
        <v>7.0059999999998013E-2</v>
      </c>
      <c r="H21" s="16">
        <f>'Rel to Acc'!H21</f>
        <v>-8.0499647158416092</v>
      </c>
      <c r="I21" s="16">
        <f>'Rel to Acc'!I21</f>
        <v>-4.0328556835919349E-3</v>
      </c>
      <c r="J21" s="16">
        <f>'Rel to Acc'!J21</f>
        <v>-0.21295835331764326</v>
      </c>
      <c r="K21" s="15"/>
      <c r="L21" s="15"/>
      <c r="M21" s="15"/>
      <c r="N21" s="15"/>
      <c r="O21" s="15"/>
      <c r="P21" s="15"/>
    </row>
    <row r="22" spans="1:16" ht="15" x14ac:dyDescent="0.25">
      <c r="A22" s="15" t="s">
        <v>74</v>
      </c>
      <c r="B22" s="15" t="s">
        <v>6</v>
      </c>
      <c r="C22" s="15"/>
      <c r="D22" s="16">
        <f>'Rel to Acc'!D22-'Rel to HD 0,0'!$D$68</f>
        <v>-92.468009079999945</v>
      </c>
      <c r="E22" s="16">
        <f>'Rel to Acc'!E22-80.6</f>
        <v>-1.2458421899999905</v>
      </c>
      <c r="F22" s="16">
        <f>'data from JD'!F22+'data from JD'!P22/1000</f>
        <v>0</v>
      </c>
      <c r="G22" s="16">
        <f>'Rel to Acc'!G22-104.7</f>
        <v>7.0294340000003785E-2</v>
      </c>
      <c r="H22" s="16">
        <f>'Rel to Acc'!H22</f>
        <v>-8.0972930165940973</v>
      </c>
      <c r="I22" s="16">
        <f>'Rel to Acc'!I22</f>
        <v>3.9426660429168023E-2</v>
      </c>
      <c r="J22" s="16">
        <f>'Rel to Acc'!J22</f>
        <v>6.6413330920329333E-2</v>
      </c>
      <c r="K22" s="15"/>
      <c r="L22" s="15"/>
      <c r="M22" s="15"/>
      <c r="N22" s="15"/>
      <c r="O22" s="15"/>
      <c r="P22" s="15"/>
    </row>
    <row r="23" spans="1:16" ht="15" x14ac:dyDescent="0.25">
      <c r="A23" s="15" t="s">
        <v>75</v>
      </c>
      <c r="B23" s="15" t="s">
        <v>7</v>
      </c>
      <c r="C23" s="15"/>
      <c r="D23" s="16">
        <f>'Rel to Acc'!D23-'Rel to HD 0,0'!$D$68</f>
        <v>-91.47855186999999</v>
      </c>
      <c r="E23" s="16">
        <f>'Rel to Acc'!E23-80.6</f>
        <v>-1.3852442599999932</v>
      </c>
      <c r="F23" s="16">
        <f>'data from JD'!F23+'data from JD'!P23/1000</f>
        <v>7.4999999999999993E-5</v>
      </c>
      <c r="G23" s="16">
        <f>'Rel to Acc'!G23-104.7</f>
        <v>7.0247949999995285E-2</v>
      </c>
      <c r="H23" s="16">
        <f>'Rel to Acc'!H23</f>
        <v>-8.0164809023229786</v>
      </c>
      <c r="I23" s="16">
        <f>'Rel to Acc'!I23</f>
        <v>-2.705771214530469E-2</v>
      </c>
      <c r="J23" s="16">
        <f>'Rel to Acc'!J23</f>
        <v>-0.13892182645740128</v>
      </c>
      <c r="K23" s="15"/>
      <c r="L23" s="15"/>
      <c r="M23" s="15"/>
      <c r="N23" s="15"/>
      <c r="O23" s="15"/>
      <c r="P23" s="15"/>
    </row>
    <row r="24" spans="1:16" ht="15" x14ac:dyDescent="0.25">
      <c r="A24" s="15" t="s">
        <v>76</v>
      </c>
      <c r="B24" s="15" t="s">
        <v>8</v>
      </c>
      <c r="C24" s="15"/>
      <c r="D24" s="16">
        <f>'Rel to Acc'!D24-'Rel to HD 0,0'!$D$68</f>
        <v>-90.433516189999978</v>
      </c>
      <c r="E24" s="16">
        <f>'Rel to Acc'!E24-80.6</f>
        <v>-1.5321682199999884</v>
      </c>
      <c r="F24" s="16">
        <f>'data from JD'!F24+'data from JD'!P24/1000</f>
        <v>-2.2499999999999999E-4</v>
      </c>
      <c r="G24" s="16">
        <f>'Rel to Acc'!G24-104.7</f>
        <v>6.9802339999995411E-2</v>
      </c>
      <c r="H24" s="16">
        <f>'Rel to Acc'!H24</f>
        <v>-8.1219318911421308</v>
      </c>
      <c r="I24" s="16">
        <f>'Rel to Acc'!I24</f>
        <v>-8.8322313335489136E-3</v>
      </c>
      <c r="J24" s="16">
        <f>'Rel to Acc'!J24</f>
        <v>-0.21263713474690324</v>
      </c>
      <c r="K24" s="15"/>
      <c r="L24" s="15"/>
      <c r="M24" s="15"/>
      <c r="N24" s="15"/>
      <c r="O24" s="15"/>
      <c r="P24" s="15"/>
    </row>
    <row r="25" spans="1:16" ht="15" x14ac:dyDescent="0.25">
      <c r="A25" s="15" t="s">
        <v>77</v>
      </c>
      <c r="B25" s="15" t="s">
        <v>9</v>
      </c>
      <c r="C25" s="15"/>
      <c r="D25" s="16">
        <f>'Rel to Acc'!D25-'Rel to HD 0,0'!$D$68</f>
        <v>-89.237859999999955</v>
      </c>
      <c r="E25" s="16">
        <f>'Rel to Acc'!E25-80.6</f>
        <v>-1.7007100000000008</v>
      </c>
      <c r="F25" s="16">
        <f>'data from JD'!F25+'data from JD'!P25/1000</f>
        <v>-5.0000000000000001E-4</v>
      </c>
      <c r="G25" s="16">
        <f>'Rel to Acc'!G25-104.7</f>
        <v>6.9189999999991869E-2</v>
      </c>
      <c r="H25" s="16">
        <f>'Rel to Acc'!H25</f>
        <v>-8.0937395766408056</v>
      </c>
      <c r="I25" s="16">
        <f>'Rel to Acc'!I25</f>
        <v>3.3280790462276548E-2</v>
      </c>
      <c r="J25" s="16">
        <f>'Rel to Acc'!J25</f>
        <v>-0.26761994223792479</v>
      </c>
      <c r="K25" s="15"/>
      <c r="L25" s="15"/>
      <c r="M25" s="15"/>
      <c r="N25" s="15"/>
      <c r="O25" s="15"/>
      <c r="P25" s="15"/>
    </row>
    <row r="26" spans="1:16" ht="15" x14ac:dyDescent="0.25">
      <c r="A26" s="15" t="s">
        <v>78</v>
      </c>
      <c r="B26" s="15" t="s">
        <v>10</v>
      </c>
      <c r="C26" s="15"/>
      <c r="D26" s="16">
        <f>'Rel to Acc'!D26-'Rel to HD 0,0'!$D$68</f>
        <v>-87.994789999999966</v>
      </c>
      <c r="E26" s="16">
        <f>'Rel to Acc'!E26-80.6</f>
        <v>-1.8779799999999938</v>
      </c>
      <c r="F26" s="16">
        <f>'data from JD'!F26+'data from JD'!P26/1000</f>
        <v>4.4999999999999999E-4</v>
      </c>
      <c r="G26" s="16">
        <f>'Rel to Acc'!G26-104.7</f>
        <v>7.0170000000004507E-2</v>
      </c>
      <c r="H26" s="16">
        <f>'Rel to Acc'!H26</f>
        <v>-8.0610361783406557</v>
      </c>
      <c r="I26" s="16">
        <f>'Rel to Acc'!I26</f>
        <v>-1.043013430950851E-2</v>
      </c>
      <c r="J26" s="16">
        <f>'Rel to Acc'!J26</f>
        <v>-3.7950370389948297E-3</v>
      </c>
      <c r="K26" s="15"/>
      <c r="L26" s="15"/>
      <c r="M26" s="15"/>
      <c r="N26" s="15"/>
      <c r="O26" s="15"/>
      <c r="P26" s="15"/>
    </row>
    <row r="27" spans="1:16" ht="15" x14ac:dyDescent="0.25">
      <c r="A27" s="15" t="s">
        <v>79</v>
      </c>
      <c r="B27" s="15" t="s">
        <v>11</v>
      </c>
      <c r="C27" s="15"/>
      <c r="D27" s="16">
        <f>'Rel to Acc'!D27-'Rel to HD 0,0'!$D$68</f>
        <v>-86.573279999999954</v>
      </c>
      <c r="E27" s="16">
        <f>'Rel to Acc'!E27-80.6</f>
        <v>-2.074079999999995</v>
      </c>
      <c r="F27" s="16">
        <f>'data from JD'!F27+'data from JD'!P27/1000</f>
        <v>1.25E-4</v>
      </c>
      <c r="G27" s="16">
        <f>'Rel to Acc'!G27-104.7</f>
        <v>7.0099999999996498E-2</v>
      </c>
      <c r="H27" s="16">
        <f>'Rel to Acc'!H27</f>
        <v>-8.0435622717000008</v>
      </c>
      <c r="I27" s="16">
        <f>'Rel to Acc'!I27</f>
        <v>-1.6094320299999999E-2</v>
      </c>
      <c r="J27" s="16">
        <f>'Rel to Acc'!J27</f>
        <v>-0.18133323034000001</v>
      </c>
      <c r="K27" s="15"/>
      <c r="L27" s="15"/>
      <c r="M27" s="15"/>
      <c r="N27" s="15"/>
      <c r="O27" s="15"/>
      <c r="P27" s="15"/>
    </row>
    <row r="28" spans="1:16" ht="15" x14ac:dyDescent="0.25">
      <c r="A28" s="15" t="s">
        <v>43</v>
      </c>
      <c r="B28" s="15" t="s">
        <v>42</v>
      </c>
      <c r="C28" s="15"/>
      <c r="D28" s="16">
        <f>'Rel to Acc'!D28-'Rel to HD 0,0'!$D$68</f>
        <v>-91.614539999999977</v>
      </c>
      <c r="E28" s="16">
        <f>'Rel to Acc'!E28-80.6</f>
        <v>-1.1668200000000013</v>
      </c>
      <c r="F28" s="16">
        <f>'data from JD'!F28+'data from JD'!P28/1000</f>
        <v>-0.91003700003305099</v>
      </c>
      <c r="G28" s="16">
        <f>'Rel to Acc'!G28-104.7</f>
        <v>7.5300000000027012E-3</v>
      </c>
      <c r="H28" s="16">
        <f>'Rel to Acc'!H28</f>
        <v>-8.0512999999999995</v>
      </c>
      <c r="I28" s="16">
        <f>'Rel to Acc'!I28</f>
        <v>2E-3</v>
      </c>
      <c r="J28" s="16">
        <f>'Rel to Acc'!J28</f>
        <v>6.6799999999999998E-2</v>
      </c>
      <c r="K28" s="15"/>
      <c r="L28" s="15"/>
      <c r="M28" s="15"/>
      <c r="N28" s="15"/>
      <c r="O28" s="15"/>
      <c r="P28" s="15"/>
    </row>
    <row r="29" spans="1:16" ht="15" x14ac:dyDescent="0.25">
      <c r="A29" s="15" t="s">
        <v>44</v>
      </c>
      <c r="B29" s="15"/>
      <c r="C29" s="15"/>
      <c r="D29" s="16">
        <f>'Rel to Acc'!D29-'Rel to HD 0,0'!$D$68</f>
        <v>-23.867799999999988</v>
      </c>
      <c r="E29" s="16">
        <f>'Rel to Acc'!E29-80.6</f>
        <v>7.1499999999957708E-4</v>
      </c>
      <c r="F29" s="16">
        <f>'data from JD'!F29+'data from JD'!P29/1000</f>
        <v>4.7599999999999997E-4</v>
      </c>
      <c r="G29" s="16">
        <f>'Rel to Acc'!G29-104.7</f>
        <v>4.7600000000613818E-4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ht="15" x14ac:dyDescent="0.25">
      <c r="A30" s="15" t="s">
        <v>52</v>
      </c>
      <c r="B30" s="15" t="s">
        <v>25</v>
      </c>
      <c r="C30" s="15"/>
      <c r="D30" s="16">
        <f>'Rel to Acc'!D30-'Rel to HD 0,0'!$D$68</f>
        <v>-23.652319999999975</v>
      </c>
      <c r="E30" s="16">
        <f>'Rel to Acc'!E30-80.6</f>
        <v>-4.9999999987448973E-5</v>
      </c>
      <c r="F30" s="16">
        <f>'data from JD'!F30+'data from JD'!P30/1000</f>
        <v>-0.89004400002670281</v>
      </c>
      <c r="G30" s="16">
        <f>'Rel to Acc'!G30-104.7</f>
        <v>1.9999999992137418E-5</v>
      </c>
      <c r="H30" s="16">
        <f>'data from JD'!L30+'data from JD'!R30</f>
        <v>-2.5799999999999998E-3</v>
      </c>
      <c r="I30" s="17">
        <v>1.49E-2</v>
      </c>
      <c r="J30" s="17">
        <v>6.8799999999999998E-3</v>
      </c>
      <c r="K30" s="15"/>
      <c r="L30" s="15"/>
      <c r="M30" s="15"/>
      <c r="N30" s="15"/>
      <c r="O30" s="15"/>
      <c r="P30" s="15"/>
    </row>
    <row r="31" spans="1:16" ht="15" x14ac:dyDescent="0.25">
      <c r="A31" s="15" t="s">
        <v>53</v>
      </c>
      <c r="B31" s="15" t="s">
        <v>26</v>
      </c>
      <c r="C31" s="15"/>
      <c r="D31" s="16">
        <f>'Rel to Acc'!D31-'Rel to HD 0,0'!$D$68</f>
        <v>-17.765219999999943</v>
      </c>
      <c r="E31" s="16">
        <f>'Rel to Acc'!E31-80.6</f>
        <v>3.7000000000375621E-4</v>
      </c>
      <c r="F31" s="16">
        <f>'data from JD'!F31+'data from JD'!P31/1000</f>
        <v>-0.88995200002670272</v>
      </c>
      <c r="G31" s="16">
        <f>'Rel to Acc'!G31-104.7</f>
        <v>-3.0999999999892225E-4</v>
      </c>
      <c r="H31" s="16">
        <f>'data from JD'!L31+'data from JD'!R31</f>
        <v>-2.0629999999999999E-2</v>
      </c>
      <c r="I31" s="17">
        <v>1.375E-2</v>
      </c>
      <c r="J31" s="17">
        <v>1.5469999999999999E-2</v>
      </c>
      <c r="K31" s="15"/>
      <c r="L31" s="15"/>
      <c r="M31" s="15"/>
      <c r="N31" s="15"/>
      <c r="O31" s="15"/>
      <c r="P31" s="15"/>
    </row>
    <row r="32" spans="1:16" ht="15" x14ac:dyDescent="0.25">
      <c r="A32" s="15" t="s">
        <v>54</v>
      </c>
      <c r="B32" s="15" t="s">
        <v>27</v>
      </c>
      <c r="C32" s="15"/>
      <c r="D32" s="16">
        <f>'Rel to Acc'!D32-'Rel to HD 0,0'!$D$68</f>
        <v>-21.35391999999996</v>
      </c>
      <c r="E32" s="16">
        <f>'Rel to Acc'!E32-80.6</f>
        <v>3.5000000001161879E-4</v>
      </c>
      <c r="F32" s="16">
        <f>'data from JD'!F32+'data from JD'!P32/1000</f>
        <v>-8.9999999999999985E-6</v>
      </c>
      <c r="G32" s="16">
        <f>'Rel to Acc'!G32-104.7</f>
        <v>-4.3000000000859018E-4</v>
      </c>
      <c r="H32" s="16">
        <f>'data from JD'!L32+'data from JD'!R32</f>
        <v>-8.5999999999999998E-4</v>
      </c>
      <c r="I32" s="17">
        <v>3.15E-3</v>
      </c>
      <c r="J32" s="17">
        <v>2.8649999999999998E-2</v>
      </c>
      <c r="K32" s="15"/>
      <c r="L32" s="15"/>
      <c r="M32" s="15"/>
      <c r="N32" s="15"/>
      <c r="O32" s="15"/>
      <c r="P32" s="15"/>
    </row>
    <row r="33" spans="1:16" ht="15" x14ac:dyDescent="0.25">
      <c r="A33" s="15" t="s">
        <v>55</v>
      </c>
      <c r="B33" s="15" t="s">
        <v>28</v>
      </c>
      <c r="C33" s="15"/>
      <c r="D33" s="16">
        <f>'Rel to Acc'!D33-'Rel to HD 0,0'!$D$68</f>
        <v>-16.998463999999956</v>
      </c>
      <c r="E33" s="16">
        <f>'Rel to Acc'!E33-80.6</f>
        <v>1.0000000003174137E-5</v>
      </c>
      <c r="F33" s="16">
        <f>'data from JD'!F33+'data from JD'!P33/1000</f>
        <v>3.1999999999999999E-5</v>
      </c>
      <c r="G33" s="16">
        <f>'Rel to Acc'!G33-104.7</f>
        <v>3.2000000004472895E-5</v>
      </c>
      <c r="H33" s="16">
        <f>'data from JD'!L33+'data from JD'!R33</f>
        <v>-7.7299999999999999E-3</v>
      </c>
      <c r="I33" s="17">
        <v>2.034E-2</v>
      </c>
      <c r="J33" s="17">
        <v>-5.4400000000000004E-3</v>
      </c>
      <c r="K33" s="15"/>
      <c r="L33" s="15"/>
      <c r="M33" s="15"/>
      <c r="N33" s="15"/>
      <c r="O33" s="15"/>
      <c r="P33" s="15"/>
    </row>
    <row r="34" spans="1:16" ht="15" x14ac:dyDescent="0.25">
      <c r="A34" s="15" t="s">
        <v>161</v>
      </c>
      <c r="B34" s="15"/>
      <c r="C34" s="15"/>
      <c r="D34" s="16">
        <f>'Rel to Acc'!D34-'Rel to HD 0,0'!$D$68</f>
        <v>-15.075249999999983</v>
      </c>
      <c r="E34" s="16">
        <f>'Rel to Acc'!E34-80.6</f>
        <v>1.0000000003174137E-5</v>
      </c>
      <c r="F34" s="16">
        <f>'data from JD'!F35+'data from JD'!P35/1000</f>
        <v>-0.12002400003808963</v>
      </c>
      <c r="G34" s="16">
        <f>'Rel to Acc'!G34-104.7</f>
        <v>-3.4999999999740794E-4</v>
      </c>
      <c r="H34" s="16"/>
      <c r="I34" s="17"/>
      <c r="J34" s="17"/>
      <c r="K34" s="15"/>
      <c r="L34" s="15"/>
      <c r="M34" s="15"/>
      <c r="N34" s="15"/>
      <c r="O34" s="15"/>
      <c r="P34" s="15"/>
    </row>
    <row r="35" spans="1:16" ht="15" x14ac:dyDescent="0.25">
      <c r="A35" s="15" t="s">
        <v>56</v>
      </c>
      <c r="B35" s="15" t="s">
        <v>22</v>
      </c>
      <c r="C35" s="15"/>
      <c r="D35" s="16">
        <f>'Rel to Acc'!D35-'Rel to HD 0,0'!$D$68</f>
        <v>-12.907069999999976</v>
      </c>
      <c r="E35" s="16">
        <f>'Rel to Acc'!E35-80.6</f>
        <v>3.9999999998485691E-5</v>
      </c>
      <c r="F35" s="16">
        <f>'data from JD'!F35+'data from JD'!P35/1000</f>
        <v>-0.12002400003808963</v>
      </c>
      <c r="G35" s="16">
        <f>'Rel to Acc'!G35-104.7</f>
        <v>-2.3999999996249244E-5</v>
      </c>
      <c r="H35" s="16">
        <f>'data from JD'!L35+'data from JD'!R35</f>
        <v>-1.261E-2</v>
      </c>
      <c r="I35" s="17">
        <v>-2.2630000000000001E-2</v>
      </c>
      <c r="J35" s="17">
        <v>7.45E-3</v>
      </c>
      <c r="K35" s="15"/>
      <c r="L35" s="15">
        <v>5270</v>
      </c>
      <c r="M35" s="15">
        <v>10002</v>
      </c>
      <c r="N35" s="15">
        <v>16845</v>
      </c>
      <c r="O35" s="15">
        <v>20638</v>
      </c>
      <c r="P35" s="15">
        <v>24431</v>
      </c>
    </row>
    <row r="36" spans="1:16" s="49" customFormat="1" ht="15" x14ac:dyDescent="0.25">
      <c r="A36" s="25" t="s">
        <v>57</v>
      </c>
      <c r="B36" s="25" t="s">
        <v>21</v>
      </c>
      <c r="C36" s="25"/>
      <c r="D36" s="52">
        <f>'Rel to Acc'!D36-'Rel to HD 0,0'!$D$68</f>
        <v>-11.370469999999955</v>
      </c>
      <c r="E36" s="52">
        <f>'Rel to Acc'!E36-80.6</f>
        <v>-9.9999999989108801E-5</v>
      </c>
      <c r="F36" s="52">
        <f>'data from JD'!F36+'data from JD'!P36/1000</f>
        <v>0.17991300000029103</v>
      </c>
      <c r="G36" s="52">
        <f>'Rel to Acc'!G36-104.7</f>
        <v>-4.3999999999755346E-4</v>
      </c>
      <c r="H36" s="52">
        <f>'data from JD'!L36+'data from JD'!R36</f>
        <v>-1.15E-3</v>
      </c>
      <c r="I36" s="53">
        <v>8.5900000000000004E-3</v>
      </c>
      <c r="J36" s="53">
        <v>5.6999999999999998E-4</v>
      </c>
      <c r="K36" s="25"/>
      <c r="L36" s="25"/>
      <c r="M36" s="25"/>
      <c r="N36" s="25"/>
      <c r="O36" s="25"/>
      <c r="P36" s="25"/>
    </row>
    <row r="37" spans="1:16" s="49" customFormat="1" ht="15" x14ac:dyDescent="0.25">
      <c r="A37" s="25" t="s">
        <v>58</v>
      </c>
      <c r="B37" s="25" t="s">
        <v>19</v>
      </c>
      <c r="C37" s="25"/>
      <c r="D37" s="52">
        <f>'Rel to Acc'!D37-'Rel to HD 0,0'!$D$68</f>
        <v>-8.4430499999999711</v>
      </c>
      <c r="E37" s="52">
        <f>'Rel to Acc'!E37-80.6</f>
        <v>-0.23858999999998787</v>
      </c>
      <c r="F37" s="52">
        <f>'data from JD'!F37+'data from JD'!P37/1000</f>
        <v>0.18153199999524153</v>
      </c>
      <c r="G37" s="52">
        <f>'Rel to Acc'!G37-104.7</f>
        <v>1.0000000003174137E-5</v>
      </c>
      <c r="H37" s="52">
        <f>'data from JD'!L37+'data from JD'!R37</f>
        <v>-4.6595800000000001</v>
      </c>
      <c r="I37" s="53">
        <v>8.0500000000000002E-2</v>
      </c>
      <c r="J37" s="53">
        <v>-0.15642</v>
      </c>
      <c r="K37" s="25"/>
      <c r="L37" s="25"/>
      <c r="M37" s="25"/>
      <c r="N37" s="25"/>
      <c r="O37" s="25"/>
      <c r="P37" s="25"/>
    </row>
    <row r="38" spans="1:16" s="49" customFormat="1" ht="15" x14ac:dyDescent="0.25">
      <c r="A38" s="25" t="s">
        <v>59</v>
      </c>
      <c r="B38" s="25" t="s">
        <v>20</v>
      </c>
      <c r="C38" s="25"/>
      <c r="D38" s="52">
        <f>'Rel to Acc'!D38-'Rel to HD 0,0'!$D$68</f>
        <v>-8.443589999999972</v>
      </c>
      <c r="E38" s="52">
        <f>'Rel to Acc'!E38-80.6</f>
        <v>0.23852000000000828</v>
      </c>
      <c r="F38" s="52">
        <f>'data from JD'!F38+'data from JD'!P38/1000</f>
        <v>0.18081299999524153</v>
      </c>
      <c r="G38" s="52">
        <f>'Rel to Acc'!G38-104.7</f>
        <v>-2.0000000006348273E-5</v>
      </c>
      <c r="H38" s="52">
        <f>'data from JD'!L38+'data from JD'!R38</f>
        <v>4.5707700000000004</v>
      </c>
      <c r="I38" s="53">
        <v>-0.13464999999999999</v>
      </c>
      <c r="J38" s="53">
        <v>3.0939999999999999E-2</v>
      </c>
      <c r="K38" s="25"/>
      <c r="L38" s="25"/>
      <c r="M38" s="25"/>
      <c r="N38" s="25"/>
      <c r="O38" s="25"/>
      <c r="P38" s="25"/>
    </row>
    <row r="39" spans="1:16" s="49" customFormat="1" ht="15" x14ac:dyDescent="0.25">
      <c r="A39" s="25" t="s">
        <v>60</v>
      </c>
      <c r="B39" s="52" t="s">
        <v>86</v>
      </c>
      <c r="C39" s="25"/>
      <c r="D39" s="52">
        <f>'Rel to Acc'!D39-'Rel to HD 0,0'!$D$68</f>
        <v>-7.9542999999999893</v>
      </c>
      <c r="E39" s="52">
        <f>'Rel to Acc'!E39-80.6</f>
        <v>-0.27482999999999436</v>
      </c>
      <c r="F39" s="52">
        <f>'data from JD'!F39+'data from JD'!P39/1000</f>
        <v>0.18167999999524154</v>
      </c>
      <c r="G39" s="52">
        <f>'Rel to Acc'!G39-104.7</f>
        <v>2.6699999999948432E-3</v>
      </c>
      <c r="H39" s="52">
        <f>'Rel to Acc'!H39</f>
        <v>-4.6928999999999998</v>
      </c>
      <c r="I39" s="53"/>
      <c r="J39" s="53"/>
      <c r="K39" s="25"/>
      <c r="L39" s="25"/>
      <c r="M39" s="25"/>
      <c r="N39" s="25"/>
      <c r="O39" s="25"/>
      <c r="P39" s="25"/>
    </row>
    <row r="40" spans="1:16" s="49" customFormat="1" ht="15" x14ac:dyDescent="0.25">
      <c r="A40" s="25" t="s">
        <v>61</v>
      </c>
      <c r="B40" s="52" t="s">
        <v>85</v>
      </c>
      <c r="C40" s="25"/>
      <c r="D40" s="52">
        <f>'Rel to Acc'!D40-'Rel to HD 0,0'!$D$68</f>
        <v>-7.954309999999964</v>
      </c>
      <c r="E40" s="52">
        <f>'Rel to Acc'!E40-80.6</f>
        <v>0.27509000000000583</v>
      </c>
      <c r="F40" s="52">
        <f>'data from JD'!F40+'data from JD'!P40/1000</f>
        <v>0.18207999999524152</v>
      </c>
      <c r="G40" s="52">
        <f>'Rel to Acc'!G40-104.7</f>
        <v>8.6999999999193278E-4</v>
      </c>
      <c r="H40" s="52">
        <f>'Rel to Acc'!H40</f>
        <v>4.7812999999999999</v>
      </c>
      <c r="I40" s="53"/>
      <c r="J40" s="53"/>
      <c r="K40" s="25"/>
      <c r="L40" s="25"/>
      <c r="M40" s="25"/>
      <c r="N40" s="25"/>
      <c r="O40" s="25"/>
      <c r="P40" s="25"/>
    </row>
    <row r="41" spans="1:16" x14ac:dyDescent="0.3">
      <c r="A41" s="15" t="s">
        <v>62</v>
      </c>
      <c r="B41" s="15" t="s">
        <v>23</v>
      </c>
      <c r="C41" s="15"/>
      <c r="D41" s="16">
        <f>'Rel to Acc'!D41-'Rel to HD 0,0'!$D$68</f>
        <v>1.8900000000000432</v>
      </c>
      <c r="E41" s="16">
        <f>'Rel to Acc'!E41-80.6</f>
        <v>-2.9999999999574811E-4</v>
      </c>
      <c r="F41" s="16">
        <f>'data from JD'!F41+'data from JD'!P41/1000</f>
        <v>6.0598799999340072</v>
      </c>
      <c r="G41" s="16">
        <f>'Rel to Acc'!G41-104.7</f>
        <v>0</v>
      </c>
      <c r="H41" s="16"/>
      <c r="I41" s="17"/>
      <c r="J41" s="17"/>
      <c r="K41" s="15"/>
      <c r="L41" s="15"/>
      <c r="M41" s="15"/>
      <c r="N41" s="15"/>
      <c r="O41" s="15"/>
      <c r="P41" s="15"/>
    </row>
    <row r="42" spans="1:16" x14ac:dyDescent="0.3">
      <c r="A42" s="15" t="s">
        <v>141</v>
      </c>
      <c r="B42" s="15"/>
      <c r="C42" s="15"/>
      <c r="D42" s="16">
        <f>'Rel to Acc'!D42-'Rel to HD 0,0'!$D$68</f>
        <v>-0.50799999999998136</v>
      </c>
      <c r="E42" s="16">
        <f>'Rel to Acc'!E42-80.6</f>
        <v>-1.3797755096334186E-3</v>
      </c>
      <c r="F42" s="16">
        <f>'data from JD'!F42+'data from JD'!P42/1000</f>
        <v>6.1090199999782993</v>
      </c>
      <c r="G42" s="16">
        <f>'Rel to Acc'!G42-104.7</f>
        <v>-5.6499878544968851E-4</v>
      </c>
      <c r="H42" s="16"/>
      <c r="I42" s="17"/>
      <c r="J42" s="17"/>
      <c r="K42" s="15"/>
      <c r="L42" s="15"/>
      <c r="M42" s="15"/>
      <c r="N42" s="15"/>
      <c r="O42" s="15"/>
      <c r="P42" s="15"/>
    </row>
    <row r="43" spans="1:16" x14ac:dyDescent="0.3">
      <c r="A43" s="15" t="s">
        <v>142</v>
      </c>
      <c r="B43" s="15"/>
      <c r="C43" s="15"/>
      <c r="D43" s="16">
        <f>'Rel to Acc'!D43-'Rel to HD 0,0'!$D$68</f>
        <v>4.2880000000000109</v>
      </c>
      <c r="E43" s="16">
        <f>'Rel to Acc'!E43-80.6</f>
        <v>7.7977550964192233E-4</v>
      </c>
      <c r="F43" s="16">
        <f>'data from JD'!F45+'data from JD'!P45/1000</f>
        <v>0.17992000000029104</v>
      </c>
      <c r="G43" s="16">
        <f>'Rel to Acc'!G43-104.7</f>
        <v>5.6499878544968851E-4</v>
      </c>
      <c r="H43" s="16"/>
      <c r="I43" s="17"/>
      <c r="J43" s="17"/>
      <c r="K43" s="15"/>
      <c r="L43" s="15"/>
      <c r="M43" s="15"/>
      <c r="N43" s="15"/>
      <c r="O43" s="15"/>
      <c r="P43" s="15"/>
    </row>
    <row r="44" spans="1:16" x14ac:dyDescent="0.3">
      <c r="A44" s="15" t="s">
        <v>63</v>
      </c>
      <c r="B44" s="15" t="s">
        <v>45</v>
      </c>
      <c r="C44" s="15"/>
      <c r="D44" s="16">
        <f>'Rel to Acc'!D44-'Rel to HD 0,0'!$D$68</f>
        <v>2.1187000000000467</v>
      </c>
      <c r="E44" s="16">
        <f>'Rel to Acc'!E44-80.6</f>
        <v>1.0300000000000864E-3</v>
      </c>
      <c r="F44" s="16">
        <f>'data from JD'!F42+'data from JD'!P42/1000</f>
        <v>6.1090199999782993</v>
      </c>
      <c r="G44" s="16">
        <f>'Rel to Acc'!G44-104.7</f>
        <v>-9.7999999999842657E-4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16" s="38" customFormat="1" x14ac:dyDescent="0.3">
      <c r="A45" s="37" t="s">
        <v>271</v>
      </c>
      <c r="B45" s="37"/>
      <c r="C45" s="37"/>
      <c r="D45" s="39">
        <f>'Rel to Acc'!D45-'Rel to HD 0,0'!$D$68</f>
        <v>0.5018500000000472</v>
      </c>
      <c r="E45" s="39">
        <f>'Rel to Acc'!E45-80.6</f>
        <v>1.2931858526599171E-4</v>
      </c>
      <c r="F45" s="39">
        <f>'data from JD'!F43+'data from JD'!P43/1000</f>
        <v>0</v>
      </c>
      <c r="G45" s="39">
        <f>'Rel to Acc'!G45-104.7</f>
        <v>-8.1129168790994299E-5</v>
      </c>
      <c r="H45" s="39"/>
      <c r="I45" s="40"/>
      <c r="J45" s="40"/>
      <c r="K45" s="37"/>
      <c r="L45" s="37"/>
      <c r="M45" s="37"/>
      <c r="N45" s="37"/>
      <c r="O45" s="37"/>
      <c r="P45" s="37"/>
    </row>
    <row r="46" spans="1:16" s="38" customFormat="1" x14ac:dyDescent="0.3">
      <c r="A46" s="37" t="s">
        <v>270</v>
      </c>
      <c r="B46" s="37" t="s">
        <v>151</v>
      </c>
      <c r="C46" s="37"/>
      <c r="D46" s="39">
        <f>'Rel to Acc'!D46-'Rel to HD 0,0'!$D$68</f>
        <v>0.64960000000002083</v>
      </c>
      <c r="E46" s="39">
        <f>'Rel to Acc'!E46-80.6</f>
        <v>1.5000000000497948E-4</v>
      </c>
      <c r="F46" s="39">
        <f>'data from JD'!F45+'data from JD'!P45/1000</f>
        <v>0.17992000000029104</v>
      </c>
      <c r="G46" s="39">
        <f>'Rel to Acc'!G46-104.7</f>
        <v>-9.0000000000145519E-5</v>
      </c>
      <c r="H46" s="39"/>
      <c r="I46" s="40"/>
      <c r="J46" s="40" t="s">
        <v>46</v>
      </c>
      <c r="K46" s="37"/>
      <c r="L46" s="37"/>
      <c r="M46" s="37"/>
      <c r="N46" s="37"/>
      <c r="O46" s="37"/>
      <c r="P46" s="37"/>
    </row>
    <row r="47" spans="1:16" s="38" customFormat="1" x14ac:dyDescent="0.3">
      <c r="A47" s="37" t="s">
        <v>272</v>
      </c>
      <c r="B47" s="37"/>
      <c r="C47" s="37"/>
      <c r="D47" s="39">
        <f>'Rel to Acc'!D47-'Rel to HD 0,0'!$D$68</f>
        <v>0.79734999999999445</v>
      </c>
      <c r="E47" s="39">
        <f>'Rel to Acc'!E47-80.6</f>
        <v>1.7068141474396725E-4</v>
      </c>
      <c r="F47" s="39">
        <f>'data from JD'!F46+'data from JD'!P46/1000</f>
        <v>0</v>
      </c>
      <c r="G47" s="39">
        <f>'Rel to Acc'!G47-104.7</f>
        <v>-9.8870831209296739E-5</v>
      </c>
      <c r="H47" s="39"/>
      <c r="I47" s="40"/>
      <c r="J47" s="40"/>
      <c r="K47" s="37"/>
      <c r="L47" s="37"/>
      <c r="M47" s="37"/>
      <c r="N47" s="37"/>
      <c r="O47" s="37"/>
      <c r="P47" s="37"/>
    </row>
    <row r="48" spans="1:16" s="49" customFormat="1" x14ac:dyDescent="0.3">
      <c r="A48" s="25" t="s">
        <v>152</v>
      </c>
      <c r="B48" s="25"/>
      <c r="C48" s="25"/>
      <c r="D48" s="52">
        <f>'Rel to Acc'!D48-'Rel to HD 0,0'!$D$68</f>
        <v>0.84378000000003794</v>
      </c>
      <c r="E48" s="52">
        <f>'Rel to Acc'!E48-80.6</f>
        <v>1.2903568112960784E-3</v>
      </c>
      <c r="F48" s="52">
        <f>'data from JD'!F48+'data from JD'!P48/1000</f>
        <v>0</v>
      </c>
      <c r="G48" s="52">
        <f>'Rel to Acc'!G48-104.7</f>
        <v>1.9910138784382525E-3</v>
      </c>
      <c r="H48" s="52"/>
      <c r="I48" s="53"/>
      <c r="J48" s="53"/>
      <c r="K48" s="25"/>
      <c r="L48" s="25"/>
      <c r="M48" s="25"/>
      <c r="N48" s="25"/>
      <c r="O48" s="25"/>
      <c r="P48" s="25"/>
    </row>
    <row r="49" spans="1:16" s="49" customFormat="1" x14ac:dyDescent="0.3">
      <c r="A49" s="25" t="s">
        <v>80</v>
      </c>
      <c r="B49" s="25" t="s">
        <v>18</v>
      </c>
      <c r="C49" s="52" t="s">
        <v>46</v>
      </c>
      <c r="D49" s="52">
        <f>'Rel to Acc'!D49-'Rel to HD 0,0'!$D$68</f>
        <v>0.2973100000000386</v>
      </c>
      <c r="E49" s="52"/>
      <c r="F49" s="52">
        <f>'data from JD'!F49+'data from JD'!P49/1000</f>
        <v>1.23E-3</v>
      </c>
      <c r="G49" s="52"/>
      <c r="H49" s="52"/>
      <c r="I49" s="52">
        <f>ATAN(((G51-G49)/(D51-D49))*180/3.1415)</f>
        <v>9.4480533169375172E-2</v>
      </c>
      <c r="J49" s="53">
        <v>-11.25</v>
      </c>
      <c r="K49" s="25"/>
      <c r="L49" s="25"/>
      <c r="M49" s="25"/>
      <c r="N49" s="25"/>
      <c r="O49" s="25"/>
      <c r="P49" s="25"/>
    </row>
    <row r="50" spans="1:16" s="49" customFormat="1" x14ac:dyDescent="0.3">
      <c r="A50" s="25" t="s">
        <v>92</v>
      </c>
      <c r="B50" s="25"/>
      <c r="C50" s="52"/>
      <c r="D50" s="52">
        <f>'Rel to Acc'!D50-'Rel to HD 0,0'!$D$68</f>
        <v>0.38461000000006607</v>
      </c>
      <c r="E50" s="52">
        <f>'Rel to Acc'!E50-80.6</f>
        <v>1.0496154236250277E-4</v>
      </c>
      <c r="F50" s="52">
        <f>'data from JD'!F50+'data from JD'!P50/1000</f>
        <v>1.23E-3</v>
      </c>
      <c r="G50" s="52">
        <f>'Rel to Acc'!G50-104.7</f>
        <v>-1.0850791374963364E-3</v>
      </c>
      <c r="H50" s="52"/>
      <c r="I50" s="52"/>
      <c r="J50" s="53"/>
      <c r="K50" s="25"/>
      <c r="L50" s="25"/>
      <c r="M50" s="25"/>
      <c r="N50" s="25"/>
      <c r="O50" s="25"/>
      <c r="P50" s="25"/>
    </row>
    <row r="51" spans="1:16" s="49" customFormat="1" x14ac:dyDescent="0.3">
      <c r="A51" s="25" t="s">
        <v>93</v>
      </c>
      <c r="B51" s="25"/>
      <c r="C51" s="52"/>
      <c r="D51" s="52">
        <f>'Rel to Acc'!D51-'Rel to HD 0,0'!$D$68</f>
        <v>0.9697100000000205</v>
      </c>
      <c r="E51" s="52">
        <f>'Rel to Acc'!E51-80.6</f>
        <v>1.7941724618992794E-3</v>
      </c>
      <c r="F51" s="52">
        <f>'data from JD'!F51+'data from JD'!P51/1000</f>
        <v>-4.4000000000000002E-4</v>
      </c>
      <c r="G51" s="52">
        <f>'Rel to Acc'!G51-104.7</f>
        <v>1.1120634088257475E-3</v>
      </c>
      <c r="H51" s="52"/>
      <c r="I51" s="52"/>
      <c r="J51" s="53"/>
      <c r="K51" s="25"/>
      <c r="L51" s="25"/>
      <c r="M51" s="25"/>
      <c r="N51" s="25"/>
      <c r="O51" s="25"/>
      <c r="P51" s="25"/>
    </row>
    <row r="52" spans="1:16" x14ac:dyDescent="0.3">
      <c r="A52" s="15" t="s">
        <v>111</v>
      </c>
      <c r="B52" s="15"/>
      <c r="C52" s="15"/>
      <c r="D52" s="16">
        <f>'Rel to Acc'!D52-'Rel to HD 0,0'!$D$68</f>
        <v>1.8227900000000545</v>
      </c>
      <c r="E52" s="16">
        <f>'Rel to Acc'!E52-80.6</f>
        <v>-9.0000000000145519E-4</v>
      </c>
      <c r="F52" s="16" t="e">
        <f>'data from JD'!#REF!+'data from JD'!#REF!/1000</f>
        <v>#REF!</v>
      </c>
      <c r="G52" s="16">
        <f>'Rel to Acc'!G52-104.7</f>
        <v>3.2899999999358442E-4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>
        <v>1.8225199999999973</v>
      </c>
      <c r="N52" s="16">
        <f>D52-M52</f>
        <v>2.7000000005727998E-4</v>
      </c>
      <c r="O52" s="15"/>
      <c r="P52" s="15"/>
    </row>
    <row r="53" spans="1:16" x14ac:dyDescent="0.3">
      <c r="A53" s="15" t="s">
        <v>112</v>
      </c>
      <c r="B53" s="15"/>
      <c r="C53" s="15"/>
      <c r="D53" s="16">
        <f>'Rel to Acc'!D53-'Rel to HD 0,0'!$D$68</f>
        <v>2.4084900000000289</v>
      </c>
      <c r="E53" s="16">
        <f>'Rel to Acc'!E53-80.6</f>
        <v>-6.900000000058526E-4</v>
      </c>
      <c r="F53" s="16">
        <f>'data from JD'!F56+'data from JD'!P56/1000</f>
        <v>6.4096799999598364</v>
      </c>
      <c r="G53" s="16">
        <f>'Rel to Acc'!G53-104.7</f>
        <v>-5.7999999995672624E-5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>
        <v>2.4082200000000284</v>
      </c>
      <c r="N53" s="16">
        <f t="shared" ref="N53:N55" si="0">D53-M53</f>
        <v>2.7000000000043656E-4</v>
      </c>
      <c r="O53" s="15"/>
      <c r="P53" s="15"/>
    </row>
    <row r="54" spans="1:16" x14ac:dyDescent="0.3">
      <c r="A54" s="15" t="s">
        <v>113</v>
      </c>
      <c r="B54" s="15"/>
      <c r="C54" s="15"/>
      <c r="D54" s="16">
        <f>'Rel to Acc'!D54-'Rel to HD 0,0'!$D$68</f>
        <v>2.9943800000000351</v>
      </c>
      <c r="E54" s="16">
        <f>'Rel to Acc'!E54-80.6</f>
        <v>1.0000000003174137E-5</v>
      </c>
      <c r="F54" s="16">
        <f>'data from JD'!F57+'data from JD'!P57/1000</f>
        <v>0.17997900000029105</v>
      </c>
      <c r="G54" s="16">
        <f>'Rel to Acc'!G54-104.7</f>
        <v>-3.2500000000368345E-4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>
        <v>2.9941099999999778</v>
      </c>
      <c r="N54" s="16">
        <f t="shared" si="0"/>
        <v>2.7000000005727998E-4</v>
      </c>
      <c r="O54" s="15"/>
      <c r="P54" s="15"/>
    </row>
    <row r="55" spans="1:16" x14ac:dyDescent="0.3">
      <c r="A55" s="15" t="s">
        <v>114</v>
      </c>
      <c r="B55" s="15"/>
      <c r="C55" s="15"/>
      <c r="D55" s="16">
        <f>'Rel to Acc'!D55-'Rel to HD 0,0'!$D$68</f>
        <v>3.3811300000000415</v>
      </c>
      <c r="E55" s="16">
        <f>'Rel to Acc'!E55-80.6</f>
        <v>1.8000000000029104E-4</v>
      </c>
      <c r="F55" s="16">
        <f>'data from JD'!F58+'data from JD'!P58/1000</f>
        <v>0.18225100000029104</v>
      </c>
      <c r="G55" s="16">
        <f>'Rel to Acc'!G55-104.7</f>
        <v>2.3099999999942611E-4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>
        <v>3.3808599999999842</v>
      </c>
      <c r="N55" s="16">
        <f t="shared" si="0"/>
        <v>2.7000000005727998E-4</v>
      </c>
      <c r="O55" s="15"/>
      <c r="P55" s="15"/>
    </row>
    <row r="56" spans="1:16" x14ac:dyDescent="0.3">
      <c r="A56" s="15" t="s">
        <v>64</v>
      </c>
      <c r="B56" s="15" t="s">
        <v>17</v>
      </c>
      <c r="C56" s="15"/>
      <c r="D56" s="16">
        <f>'Rel to Acc'!D56-'Rel to HD 0,0'!$D$68</f>
        <v>0.92680000000001428</v>
      </c>
      <c r="E56" s="16">
        <f>'Rel to Acc'!E56-80.6</f>
        <v>0</v>
      </c>
      <c r="F56" s="16">
        <f>'data from JD'!F56+'data from JD'!P56/1000</f>
        <v>6.4096799999598364</v>
      </c>
      <c r="G56" s="16">
        <f>'Rel to Acc'!G56-104.7</f>
        <v>-7.9999999999813554E-4</v>
      </c>
      <c r="H56" s="16">
        <f>(ATAN((E57-E58)/(D57-D58)))*180/3.1415</f>
        <v>8.0000000003391455E-3</v>
      </c>
      <c r="I56" s="16">
        <f>(ATAN((G57-G58)/(D57-D58)))*180/3.1415</f>
        <v>-2.1799999999808983E-2</v>
      </c>
      <c r="J56" s="17">
        <f>'Rel to Acc'!J56</f>
        <v>4.4999999999999998E-2</v>
      </c>
      <c r="K56" s="15"/>
      <c r="L56" s="15"/>
      <c r="M56" s="15"/>
      <c r="N56" s="15"/>
      <c r="O56" s="15"/>
      <c r="P56" s="15"/>
    </row>
    <row r="57" spans="1:16" x14ac:dyDescent="0.3">
      <c r="A57" s="15" t="s">
        <v>148</v>
      </c>
      <c r="B57" s="15"/>
      <c r="C57" s="15"/>
      <c r="D57" s="16">
        <f>'Rel to Acc'!D57-'Rel to HD 0,0'!$D$68</f>
        <v>0.17680000000001428</v>
      </c>
      <c r="E57" s="16">
        <f>'Rel to Acc'!E57-80.6</f>
        <v>-1.0471666735156759E-4</v>
      </c>
      <c r="F57" s="16">
        <f>'data from JD'!F57+'data from JD'!P57/1000</f>
        <v>0.17997900000029105</v>
      </c>
      <c r="G57" s="16">
        <f>'Rel to Acc'!G57-104.7</f>
        <v>-5.146470695649441E-4</v>
      </c>
      <c r="H57" s="16"/>
      <c r="I57" s="17"/>
      <c r="J57" s="17"/>
      <c r="K57" s="15"/>
      <c r="L57" s="15"/>
      <c r="M57" s="15"/>
      <c r="N57" s="15"/>
      <c r="O57" s="15"/>
      <c r="P57" s="15"/>
    </row>
    <row r="58" spans="1:16" x14ac:dyDescent="0.3">
      <c r="A58" s="15" t="s">
        <v>149</v>
      </c>
      <c r="B58" s="15"/>
      <c r="C58" s="15"/>
      <c r="D58" s="16">
        <f>'Rel to Acc'!D58-'Rel to HD 0,0'!$D$68</f>
        <v>1.6768000000000143</v>
      </c>
      <c r="E58" s="16">
        <f>'Rel to Acc'!E58-80.6</f>
        <v>1.0471666735156759E-4</v>
      </c>
      <c r="F58" s="16">
        <f>'data from JD'!F58+'data from JD'!P58/1000</f>
        <v>0.18225100000029104</v>
      </c>
      <c r="G58" s="16">
        <f>'Rel to Acc'!G58-104.7</f>
        <v>-1.085352930431327E-3</v>
      </c>
      <c r="H58" s="16"/>
      <c r="I58" s="17"/>
      <c r="J58" s="17"/>
      <c r="K58" s="15"/>
      <c r="L58" s="15"/>
      <c r="M58" s="15"/>
      <c r="N58" s="15"/>
      <c r="O58" s="15"/>
      <c r="P58" s="15"/>
    </row>
    <row r="59" spans="1:16" s="46" customFormat="1" x14ac:dyDescent="0.3">
      <c r="A59" s="42" t="s">
        <v>65</v>
      </c>
      <c r="B59" s="42" t="s">
        <v>15</v>
      </c>
      <c r="C59" s="42"/>
      <c r="D59" s="43">
        <f>'Rel to Acc'!D59-'Rel to HD 0,0'!$D$68</f>
        <v>6.2497300000000564</v>
      </c>
      <c r="E59" s="43">
        <f>'Rel to Acc'!E59-80.6</f>
        <v>6.0100000000034015E-3</v>
      </c>
      <c r="F59" s="43">
        <f>'data from JD'!F57+'data from JD'!P57/1000</f>
        <v>0.17997900000029105</v>
      </c>
      <c r="G59" s="43">
        <f>'Rel to Acc'!G59-104.7</f>
        <v>3.0999999999892225E-4</v>
      </c>
      <c r="H59" s="43">
        <f>'data from JD'!L57+'data from JD'!R57</f>
        <v>-7.0190000000000002E-2</v>
      </c>
      <c r="I59" s="45">
        <v>4.1829999999999999E-2</v>
      </c>
      <c r="J59" s="45">
        <v>-1.49E-2</v>
      </c>
      <c r="K59" s="42"/>
      <c r="L59" s="42"/>
      <c r="M59" s="42"/>
      <c r="N59" s="42"/>
      <c r="O59" s="42"/>
      <c r="P59" s="42"/>
    </row>
    <row r="60" spans="1:16" s="46" customFormat="1" x14ac:dyDescent="0.3">
      <c r="A60" s="42" t="s">
        <v>66</v>
      </c>
      <c r="B60" s="42" t="s">
        <v>16</v>
      </c>
      <c r="C60" s="42"/>
      <c r="D60" s="43">
        <f>'Rel to Acc'!D60-'Rel to HD 0,0'!$D$68</f>
        <v>6.0586000000000695</v>
      </c>
      <c r="E60" s="43">
        <f>'Rel to Acc'!E60-80.6</f>
        <v>3.7999999999982492E-3</v>
      </c>
      <c r="F60" s="43">
        <f>'data from JD'!F58+'data from JD'!P58/1000</f>
        <v>0.18225100000029104</v>
      </c>
      <c r="G60" s="43">
        <f>'Rel to Acc'!G60-104.7</f>
        <v>2.582000000003859E-3</v>
      </c>
      <c r="H60" s="43">
        <f>'Rel to Acc'!H60</f>
        <v>6.7909999999999998E-2</v>
      </c>
      <c r="I60" s="43">
        <f>'Rel to Acc'!I60</f>
        <v>2.726E-2</v>
      </c>
      <c r="J60" s="43">
        <f>'Rel to Acc'!J60</f>
        <v>-0.185</v>
      </c>
      <c r="K60" s="42"/>
      <c r="L60" s="42"/>
      <c r="M60" s="42"/>
      <c r="N60" s="42"/>
      <c r="O60" s="42"/>
      <c r="P60" s="42"/>
    </row>
    <row r="61" spans="1:16" s="38" customFormat="1" x14ac:dyDescent="0.3">
      <c r="A61" s="37" t="s">
        <v>252</v>
      </c>
      <c r="B61" s="37"/>
      <c r="C61" s="37"/>
      <c r="D61" s="39">
        <f>'Rel to Acc'!D61-'Rel to HD 0,0'!$D$68</f>
        <v>12.79376000000002</v>
      </c>
      <c r="E61" s="39">
        <f>'Rel to Acc'!E61-80.6</f>
        <v>-2.8999999999257398E-4</v>
      </c>
      <c r="F61" s="39">
        <f>'data from JD'!F59+'data from JD'!P59/1000</f>
        <v>0</v>
      </c>
      <c r="G61" s="39">
        <f>'Rel to Acc'!G61-104.7</f>
        <v>1.2999999999863121E-4</v>
      </c>
      <c r="H61" s="39">
        <f>'Rel to Acc'!H61</f>
        <v>5.042E-2</v>
      </c>
      <c r="I61" s="39">
        <f>'Rel to Acc'!I61</f>
        <v>-1.6899999999999998E-2</v>
      </c>
      <c r="J61" s="39">
        <f>'Rel to Acc'!J61</f>
        <v>-1.9480000000000001E-2</v>
      </c>
      <c r="K61" s="37"/>
      <c r="L61" s="37"/>
      <c r="M61" s="37"/>
      <c r="N61" s="37"/>
      <c r="O61" s="37"/>
      <c r="P61" s="37"/>
    </row>
    <row r="62" spans="1:16" x14ac:dyDescent="0.3">
      <c r="A62" s="15" t="s">
        <v>258</v>
      </c>
      <c r="B62" s="15"/>
      <c r="D62" s="16">
        <f>'Rel to Acc'!D62-'Rel to HD 0,0'!$D$68</f>
        <v>-398.13779999999997</v>
      </c>
      <c r="E62" s="16">
        <f>'Rel to Acc'!E62-80.6</f>
        <v>-80.599999999999994</v>
      </c>
      <c r="G62" s="16">
        <f>'Rel to Acc'!G62-104.7</f>
        <v>-104.7</v>
      </c>
    </row>
    <row r="63" spans="1:16" s="46" customFormat="1" x14ac:dyDescent="0.3">
      <c r="A63" s="59" t="s">
        <v>260</v>
      </c>
      <c r="B63" s="60" t="s">
        <v>261</v>
      </c>
      <c r="D63" s="60">
        <f>'Rel to Acc'!D63-'Rel to HD 0,0'!$D$68</f>
        <v>16.269000000000005</v>
      </c>
      <c r="E63" s="60">
        <f>'Rel to Acc'!E63-80.6</f>
        <v>-1.8999999998925432E-4</v>
      </c>
      <c r="G63" s="60">
        <f>'Rel to Acc'!G63-104.7</f>
        <v>3.2999999999105967E-4</v>
      </c>
      <c r="H63" s="59">
        <f>'Rel to Acc'!H63</f>
        <v>0.1168</v>
      </c>
      <c r="I63" s="59">
        <f>'Rel to Acc'!I63</f>
        <v>0.1065</v>
      </c>
      <c r="J63" s="59" t="str">
        <f>'Rel to Acc'!J63</f>
        <v xml:space="preserve"> </v>
      </c>
    </row>
    <row r="64" spans="1:16" s="38" customFormat="1" x14ac:dyDescent="0.3">
      <c r="A64" s="37" t="s">
        <v>277</v>
      </c>
      <c r="B64" s="39" t="s">
        <v>264</v>
      </c>
      <c r="C64" s="37"/>
      <c r="D64" s="39">
        <f>'Rel to Acc'!D64-'Rel to HD 0,0'!$D$68</f>
        <v>5.8442600000000198</v>
      </c>
      <c r="E64" s="39">
        <f>'Rel to Acc'!E64-80.6</f>
        <v>7.6800000000076807E-3</v>
      </c>
      <c r="F64" s="37"/>
      <c r="G64" s="39">
        <f>'Rel to Acc'!G64-104.7</f>
        <v>-0.81810000000000116</v>
      </c>
      <c r="H64" s="37">
        <f>'Rel to Acc'!H64</f>
        <v>-0.1003</v>
      </c>
      <c r="I64" s="37">
        <f>'Rel to Acc'!I64</f>
        <v>-7.9100000000000004E-2</v>
      </c>
      <c r="J64" s="37">
        <f>'Rel to Acc'!J64</f>
        <v>3.8100000000000002E-2</v>
      </c>
    </row>
    <row r="65" spans="1:13" s="38" customFormat="1" x14ac:dyDescent="0.3">
      <c r="A65" s="37" t="s">
        <v>278</v>
      </c>
      <c r="B65" s="39" t="s">
        <v>265</v>
      </c>
      <c r="C65" s="37"/>
      <c r="D65" s="39">
        <f>'Rel to Acc'!D65-'Rel to HD 0,0'!$D$68</f>
        <v>5.8448000000000206</v>
      </c>
      <c r="E65" s="39">
        <f>'Rel to Acc'!E65-80.6</f>
        <v>8.3300000000008367E-3</v>
      </c>
      <c r="F65" s="37"/>
      <c r="G65" s="39">
        <f>'Rel to Acc'!G65-104.7</f>
        <v>-0.30340999999999951</v>
      </c>
      <c r="H65" s="37">
        <f>'Rel to Acc'!H65</f>
        <v>-9.6299999999999997E-2</v>
      </c>
      <c r="I65" s="37">
        <f>'Rel to Acc'!I65</f>
        <v>-0.21429999999999999</v>
      </c>
      <c r="J65" s="37">
        <f>'Rel to Acc'!J65</f>
        <v>3.5499999999999997E-2</v>
      </c>
      <c r="M65" s="41">
        <f>D61-D46</f>
        <v>12.144159999999999</v>
      </c>
    </row>
    <row r="66" spans="1:13" s="38" customFormat="1" x14ac:dyDescent="0.3">
      <c r="A66" s="37" t="s">
        <v>275</v>
      </c>
      <c r="B66" s="39"/>
      <c r="C66" s="37"/>
      <c r="D66" s="39">
        <f>'Rel to Acc'!D66-'Rel to HD 0,0'!$D$68</f>
        <v>5.8106000000000222</v>
      </c>
      <c r="E66" s="39">
        <f>'Rel to Acc'!E66-80.6</f>
        <v>-3.0123099999999994</v>
      </c>
      <c r="F66" s="37"/>
      <c r="G66" s="39">
        <f>'Rel to Acc'!G66-104.7</f>
        <v>-0.30509999999999593</v>
      </c>
      <c r="H66" s="37">
        <f>'Rel to Acc'!H66</f>
        <v>-0.1641</v>
      </c>
      <c r="I66" s="37">
        <f>'Rel to Acc'!I66</f>
        <v>0.23799999999999999</v>
      </c>
      <c r="J66" s="37">
        <f>'Rel to Acc'!J66</f>
        <v>4.0599999999999997E-2</v>
      </c>
    </row>
    <row r="67" spans="1:13" s="33" customFormat="1" x14ac:dyDescent="0.3">
      <c r="A67" s="47"/>
      <c r="B67" s="24"/>
      <c r="D67" s="24"/>
      <c r="E67" s="24"/>
      <c r="G67" s="24"/>
      <c r="H67" s="47"/>
      <c r="I67" s="47"/>
      <c r="J67" s="47"/>
      <c r="L67" s="2">
        <f>-3.0186+E65</f>
        <v>-3.0102699999999993</v>
      </c>
    </row>
    <row r="68" spans="1:13" ht="15.6" x14ac:dyDescent="0.3">
      <c r="A68" s="10" t="s">
        <v>176</v>
      </c>
      <c r="D68" s="4">
        <f>'Rel to Acc'!D68</f>
        <v>398.13779999999997</v>
      </c>
      <c r="E68" s="4">
        <v>80.599999999999994</v>
      </c>
      <c r="G68" s="4">
        <v>104.7</v>
      </c>
    </row>
    <row r="69" spans="1:13" s="33" customFormat="1" ht="15.6" x14ac:dyDescent="0.3">
      <c r="A69" s="10"/>
    </row>
    <row r="70" spans="1:13" s="38" customFormat="1" x14ac:dyDescent="0.3">
      <c r="A70" s="37" t="s">
        <v>287</v>
      </c>
    </row>
    <row r="71" spans="1:13" x14ac:dyDescent="0.3">
      <c r="A71" s="35" t="s">
        <v>46</v>
      </c>
    </row>
    <row r="72" spans="1:13" x14ac:dyDescent="0.3">
      <c r="A72" s="36" t="s">
        <v>46</v>
      </c>
    </row>
    <row r="73" spans="1:13" x14ac:dyDescent="0.3">
      <c r="A73" s="36" t="s">
        <v>269</v>
      </c>
    </row>
    <row r="74" spans="1:13" x14ac:dyDescent="0.3">
      <c r="A74" s="36" t="s">
        <v>46</v>
      </c>
    </row>
    <row r="75" spans="1:13" x14ac:dyDescent="0.3">
      <c r="A75" s="36" t="s">
        <v>266</v>
      </c>
    </row>
    <row r="76" spans="1:13" x14ac:dyDescent="0.3">
      <c r="A76" s="36" t="s">
        <v>46</v>
      </c>
    </row>
  </sheetData>
  <mergeCells count="2">
    <mergeCell ref="L10:P10"/>
    <mergeCell ref="A2:D6"/>
  </mergeCells>
  <pageMargins left="0.7" right="0.7" top="0.75" bottom="0.75" header="0.3" footer="0.3"/>
  <pageSetup paperSize="17" scale="9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6"/>
  <sheetViews>
    <sheetView topLeftCell="A43" workbookViewId="0">
      <selection activeCell="A71" sqref="A71"/>
    </sheetView>
  </sheetViews>
  <sheetFormatPr defaultColWidth="9.109375" defaultRowHeight="14.4" x14ac:dyDescent="0.3"/>
  <cols>
    <col min="1" max="1" width="38" style="4" customWidth="1"/>
    <col min="2" max="2" width="12.5546875" style="4" customWidth="1"/>
    <col min="3" max="3" width="2" style="4" customWidth="1"/>
    <col min="4" max="4" width="11.6640625" style="4" customWidth="1"/>
    <col min="5" max="5" width="13.88671875" style="4" bestFit="1" customWidth="1"/>
    <col min="6" max="6" width="11.88671875" style="4" hidden="1" customWidth="1"/>
    <col min="7" max="7" width="11.109375" style="4" customWidth="1"/>
    <col min="8" max="10" width="9.109375" style="4"/>
    <col min="11" max="11" width="2.109375" style="4" customWidth="1"/>
    <col min="12" max="16384" width="9.109375" style="4"/>
  </cols>
  <sheetData>
    <row r="1" spans="1:16" ht="15" customHeight="1" x14ac:dyDescent="0.3">
      <c r="A1" s="33" t="s">
        <v>259</v>
      </c>
    </row>
    <row r="2" spans="1:16" x14ac:dyDescent="0.3">
      <c r="A2" s="61" t="s">
        <v>67</v>
      </c>
      <c r="B2" s="61"/>
      <c r="C2" s="61"/>
      <c r="D2" s="61"/>
    </row>
    <row r="3" spans="1:16" x14ac:dyDescent="0.3">
      <c r="A3" s="61"/>
      <c r="B3" s="61"/>
      <c r="C3" s="61"/>
      <c r="D3" s="61"/>
    </row>
    <row r="4" spans="1:16" x14ac:dyDescent="0.3">
      <c r="A4" s="61"/>
      <c r="B4" s="61"/>
      <c r="C4" s="61"/>
      <c r="D4" s="61"/>
    </row>
    <row r="5" spans="1:16" x14ac:dyDescent="0.3">
      <c r="A5" s="62"/>
      <c r="B5" s="62"/>
      <c r="C5" s="62"/>
      <c r="D5" s="62"/>
    </row>
    <row r="10" spans="1:16" ht="15" x14ac:dyDescent="0.25">
      <c r="A10" s="20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0" t="s">
        <v>36</v>
      </c>
      <c r="J10" s="15"/>
      <c r="K10" s="14"/>
      <c r="L10" s="63" t="s">
        <v>48</v>
      </c>
      <c r="M10" s="63"/>
      <c r="N10" s="63"/>
      <c r="O10" s="63"/>
      <c r="P10" s="63"/>
    </row>
    <row r="11" spans="1:16" ht="15" x14ac:dyDescent="0.25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ht="15" x14ac:dyDescent="0.25">
      <c r="A12" s="15" t="s">
        <v>49</v>
      </c>
      <c r="B12" s="15" t="s">
        <v>0</v>
      </c>
      <c r="C12" s="15"/>
      <c r="D12" s="16">
        <f>'Rel to Acc'!D12-$D$69</f>
        <v>-116.51376000000005</v>
      </c>
      <c r="E12" s="16">
        <f>'Rel to Acc'!E12-E$69</f>
        <v>2.0999999999560259E-4</v>
      </c>
      <c r="F12" s="16">
        <f>'data from JD'!F12+'data from JD'!P12/1000</f>
        <v>1.84E-4</v>
      </c>
      <c r="G12" s="16">
        <f>'Rel to Acc'!G12-G$69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ht="15" x14ac:dyDescent="0.25">
      <c r="A13" s="15" t="s">
        <v>50</v>
      </c>
      <c r="B13" s="15" t="s">
        <v>24</v>
      </c>
      <c r="C13" s="15"/>
      <c r="D13" s="16">
        <f>'Rel to Acc'!D13-$D$69</f>
        <v>-102.20875999999998</v>
      </c>
      <c r="E13" s="16">
        <f>'Rel to Acc'!E13-E$69</f>
        <v>3.2000000000209639E-4</v>
      </c>
      <c r="F13" s="16">
        <f>'data from JD'!F13+'data from JD'!P13/1000</f>
        <v>-8.9999999999999985E-6</v>
      </c>
      <c r="G13" s="16">
        <f>'Rel to Acc'!G13-G$69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ht="15" x14ac:dyDescent="0.25">
      <c r="A14" s="15" t="s">
        <v>155</v>
      </c>
      <c r="B14" s="15" t="s">
        <v>1</v>
      </c>
      <c r="C14" s="15"/>
      <c r="D14" s="16">
        <f>'Rel to Acc'!D14-$D$69</f>
        <v>-100.94155000000001</v>
      </c>
      <c r="E14" s="16"/>
      <c r="F14" s="16"/>
      <c r="G14" s="16"/>
      <c r="H14" s="16"/>
      <c r="I14" s="17"/>
      <c r="J14" s="17"/>
      <c r="K14" s="15"/>
      <c r="L14" s="15"/>
      <c r="M14" s="15"/>
      <c r="N14" s="15"/>
      <c r="O14" s="15"/>
      <c r="P14" s="15"/>
    </row>
    <row r="15" spans="1:16" ht="15" x14ac:dyDescent="0.25">
      <c r="A15" s="15" t="s">
        <v>156</v>
      </c>
      <c r="B15" s="15"/>
      <c r="C15" s="15"/>
      <c r="D15" s="16">
        <f>'Rel to Acc'!D15-$D$69</f>
        <v>-100.91665</v>
      </c>
      <c r="E15" s="16"/>
      <c r="F15" s="16"/>
      <c r="G15" s="16"/>
      <c r="H15" s="16"/>
      <c r="I15" s="17"/>
      <c r="J15" s="17"/>
      <c r="K15" s="15"/>
      <c r="L15" s="15"/>
      <c r="M15" s="15"/>
      <c r="N15" s="15"/>
      <c r="O15" s="15"/>
      <c r="P15" s="15"/>
    </row>
    <row r="16" spans="1:16" ht="15" x14ac:dyDescent="0.25">
      <c r="A16" s="15" t="s">
        <v>51</v>
      </c>
      <c r="B16" s="15" t="s">
        <v>12</v>
      </c>
      <c r="C16" s="15"/>
      <c r="D16" s="16">
        <f>'Rel to Acc'!D16-$D$69</f>
        <v>-100.31367</v>
      </c>
      <c r="E16" s="16">
        <f>'Rel to Acc'!E16-E$69</f>
        <v>5.6000000000722139E-4</v>
      </c>
      <c r="F16" s="16">
        <f>'data from JD'!F16+'data from JD'!P16/1000</f>
        <v>6.3399519999660399</v>
      </c>
      <c r="G16" s="16">
        <f>'Rel to Acc'!G16-G$69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ht="15" x14ac:dyDescent="0.25">
      <c r="A17" s="15" t="s">
        <v>165</v>
      </c>
      <c r="B17" s="15"/>
      <c r="C17" s="15"/>
      <c r="D17" s="16">
        <f>'Rel to Acc'!D17-$D$69</f>
        <v>-99.862889999999993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ht="15" x14ac:dyDescent="0.25">
      <c r="A18" s="15" t="s">
        <v>3</v>
      </c>
      <c r="B18" s="15" t="s">
        <v>2</v>
      </c>
      <c r="C18" s="15"/>
      <c r="D18" s="16">
        <f>'Rel to Acc'!D18-$D$69</f>
        <v>-94.63942000000003</v>
      </c>
      <c r="E18" s="16">
        <f>'Rel to Acc'!E18-E$69</f>
        <v>-0.2973700000000008</v>
      </c>
      <c r="F18" s="16">
        <f>'data from JD'!F18+'data from JD'!P18/1000</f>
        <v>-0.57007399998197383</v>
      </c>
      <c r="G18" s="16">
        <f>'Rel to Acc'!G18-G$69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ht="15" x14ac:dyDescent="0.25">
      <c r="A19" s="15" t="s">
        <v>162</v>
      </c>
      <c r="B19" s="15"/>
      <c r="C19" s="15"/>
      <c r="D19" s="16">
        <f>'Rel to Acc'!D19-$D$69</f>
        <v>-97.741288786574387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ht="15" x14ac:dyDescent="0.25">
      <c r="A20" s="15" t="s">
        <v>72</v>
      </c>
      <c r="B20" s="15" t="s">
        <v>4</v>
      </c>
      <c r="C20" s="15"/>
      <c r="D20" s="16">
        <f>'Rel to Acc'!D20-$D$69</f>
        <v>-96.928319999999985</v>
      </c>
      <c r="E20" s="16">
        <f>'Rel to Acc'!E20-E$69</f>
        <v>-0.88175999999999988</v>
      </c>
      <c r="F20" s="16">
        <f>'data from JD'!F20+'data from JD'!P20/1000</f>
        <v>-2.7500000000000002E-4</v>
      </c>
      <c r="G20" s="16">
        <f>'Rel to Acc'!G20-G$69</f>
        <v>6.9969999999997867E-2</v>
      </c>
      <c r="H20" s="16">
        <f>'Rel to Acc'!H20</f>
        <v>-8.0449907090024517</v>
      </c>
      <c r="I20" s="16">
        <f>'Rel to Acc'!I20</f>
        <v>-7.1393711111308105E-3</v>
      </c>
      <c r="J20" s="16">
        <f>'Rel to Acc'!J20</f>
        <v>-1.1378328311305591E-2</v>
      </c>
      <c r="K20" s="15"/>
      <c r="L20" s="15"/>
      <c r="M20" s="15"/>
      <c r="N20" s="15"/>
      <c r="O20" s="15"/>
      <c r="P20" s="15"/>
    </row>
    <row r="21" spans="1:16" ht="15" x14ac:dyDescent="0.25">
      <c r="A21" s="15" t="s">
        <v>73</v>
      </c>
      <c r="B21" s="15" t="s">
        <v>5</v>
      </c>
      <c r="C21" s="15"/>
      <c r="D21" s="16">
        <f>'Rel to Acc'!D21-$D$69</f>
        <v>-95.639070000000004</v>
      </c>
      <c r="E21" s="16">
        <f>'Rel to Acc'!E21-E$69</f>
        <v>-1.062979999999996</v>
      </c>
      <c r="F21" s="16">
        <f>'data from JD'!F21+'data from JD'!P21/1000</f>
        <v>-1.75E-4</v>
      </c>
      <c r="G21" s="16">
        <f>'Rel to Acc'!G21-G$69</f>
        <v>7.0059999999998013E-2</v>
      </c>
      <c r="H21" s="16">
        <f>'Rel to Acc'!H21</f>
        <v>-8.0499647158416092</v>
      </c>
      <c r="I21" s="16">
        <f>'Rel to Acc'!I21</f>
        <v>-4.0328556835919349E-3</v>
      </c>
      <c r="J21" s="16">
        <f>'Rel to Acc'!J21</f>
        <v>-0.21295835331764326</v>
      </c>
      <c r="K21" s="15"/>
      <c r="L21" s="15"/>
      <c r="M21" s="15"/>
      <c r="N21" s="15"/>
      <c r="O21" s="15"/>
      <c r="P21" s="15"/>
    </row>
    <row r="22" spans="1:16" ht="15" x14ac:dyDescent="0.25">
      <c r="A22" s="15" t="s">
        <v>74</v>
      </c>
      <c r="B22" s="15" t="s">
        <v>6</v>
      </c>
      <c r="C22" s="15"/>
      <c r="D22" s="16">
        <f>'Rel to Acc'!D22-$D$69</f>
        <v>-94.358009079999988</v>
      </c>
      <c r="E22" s="16">
        <f>'Rel to Acc'!E22-E$69</f>
        <v>-1.2455421899999948</v>
      </c>
      <c r="F22" s="16">
        <f>'data from JD'!F22+'data from JD'!P22/1000</f>
        <v>0</v>
      </c>
      <c r="G22" s="16">
        <f>'Rel to Acc'!G22-G$69</f>
        <v>7.0294340000003785E-2</v>
      </c>
      <c r="H22" s="16">
        <f>'Rel to Acc'!H22</f>
        <v>-8.0972930165940973</v>
      </c>
      <c r="I22" s="16">
        <f>'Rel to Acc'!I22</f>
        <v>3.9426660429168023E-2</v>
      </c>
      <c r="J22" s="16">
        <f>'Rel to Acc'!J22</f>
        <v>6.6413330920329333E-2</v>
      </c>
      <c r="K22" s="15"/>
      <c r="L22" s="15"/>
      <c r="M22" s="15"/>
      <c r="N22" s="15"/>
      <c r="O22" s="15"/>
      <c r="P22" s="15"/>
    </row>
    <row r="23" spans="1:16" ht="15" x14ac:dyDescent="0.25">
      <c r="A23" s="15" t="s">
        <v>75</v>
      </c>
      <c r="B23" s="15" t="s">
        <v>7</v>
      </c>
      <c r="C23" s="15"/>
      <c r="D23" s="16">
        <f>'Rel to Acc'!D23-$D$69</f>
        <v>-93.368551870000033</v>
      </c>
      <c r="E23" s="16">
        <f>'Rel to Acc'!E23-E$69</f>
        <v>-1.3849442599999975</v>
      </c>
      <c r="F23" s="16">
        <f>'data from JD'!F23+'data from JD'!P23/1000</f>
        <v>7.4999999999999993E-5</v>
      </c>
      <c r="G23" s="16">
        <f>'Rel to Acc'!G23-G$69</f>
        <v>7.0247949999995285E-2</v>
      </c>
      <c r="H23" s="16">
        <f>'Rel to Acc'!H23</f>
        <v>-8.0164809023229786</v>
      </c>
      <c r="I23" s="16">
        <f>'Rel to Acc'!I23</f>
        <v>-2.705771214530469E-2</v>
      </c>
      <c r="J23" s="16">
        <f>'Rel to Acc'!J23</f>
        <v>-0.13892182645740128</v>
      </c>
      <c r="K23" s="15"/>
      <c r="L23" s="15"/>
      <c r="M23" s="15"/>
      <c r="N23" s="15"/>
      <c r="O23" s="15"/>
      <c r="P23" s="15"/>
    </row>
    <row r="24" spans="1:16" ht="15" x14ac:dyDescent="0.25">
      <c r="A24" s="15" t="s">
        <v>76</v>
      </c>
      <c r="B24" s="15" t="s">
        <v>8</v>
      </c>
      <c r="C24" s="15"/>
      <c r="D24" s="16">
        <f>'Rel to Acc'!D24-$D$69</f>
        <v>-92.323516190000021</v>
      </c>
      <c r="E24" s="16">
        <f>'Rel to Acc'!E24-E$69</f>
        <v>-1.5318682199999927</v>
      </c>
      <c r="F24" s="16">
        <f>'data from JD'!F24+'data from JD'!P24/1000</f>
        <v>-2.2499999999999999E-4</v>
      </c>
      <c r="G24" s="16">
        <f>'Rel to Acc'!G24-G$69</f>
        <v>6.9802339999995411E-2</v>
      </c>
      <c r="H24" s="16">
        <f>'Rel to Acc'!H24</f>
        <v>-8.1219318911421308</v>
      </c>
      <c r="I24" s="16">
        <f>'Rel to Acc'!I24</f>
        <v>-8.8322313335489136E-3</v>
      </c>
      <c r="J24" s="16">
        <f>'Rel to Acc'!J24</f>
        <v>-0.21263713474690324</v>
      </c>
      <c r="K24" s="15"/>
      <c r="L24" s="15"/>
      <c r="M24" s="15"/>
      <c r="N24" s="15"/>
      <c r="O24" s="15"/>
      <c r="P24" s="15"/>
    </row>
    <row r="25" spans="1:16" ht="15" x14ac:dyDescent="0.25">
      <c r="A25" s="15" t="s">
        <v>77</v>
      </c>
      <c r="B25" s="15" t="s">
        <v>9</v>
      </c>
      <c r="C25" s="15"/>
      <c r="D25" s="16">
        <f>'Rel to Acc'!D25-$D$69</f>
        <v>-91.127859999999998</v>
      </c>
      <c r="E25" s="16">
        <f>'Rel to Acc'!E25-E$69</f>
        <v>-1.7004100000000051</v>
      </c>
      <c r="F25" s="16">
        <f>'data from JD'!F25+'data from JD'!P25/1000</f>
        <v>-5.0000000000000001E-4</v>
      </c>
      <c r="G25" s="16">
        <f>'Rel to Acc'!G25-G$69</f>
        <v>6.9189999999991869E-2</v>
      </c>
      <c r="H25" s="16">
        <f>'Rel to Acc'!H25</f>
        <v>-8.0937395766408056</v>
      </c>
      <c r="I25" s="16">
        <f>'Rel to Acc'!I25</f>
        <v>3.3280790462276548E-2</v>
      </c>
      <c r="J25" s="16">
        <f>'Rel to Acc'!J25</f>
        <v>-0.26761994223792479</v>
      </c>
      <c r="K25" s="15"/>
      <c r="L25" s="15"/>
      <c r="M25" s="15"/>
      <c r="N25" s="15"/>
      <c r="O25" s="15"/>
      <c r="P25" s="15"/>
    </row>
    <row r="26" spans="1:16" ht="15" x14ac:dyDescent="0.25">
      <c r="A26" s="15" t="s">
        <v>78</v>
      </c>
      <c r="B26" s="15" t="s">
        <v>10</v>
      </c>
      <c r="C26" s="15"/>
      <c r="D26" s="16">
        <f>'Rel to Acc'!D26-$D$69</f>
        <v>-89.88479000000001</v>
      </c>
      <c r="E26" s="16">
        <f>'Rel to Acc'!E26-E$69</f>
        <v>-1.877679999999998</v>
      </c>
      <c r="F26" s="16">
        <f>'data from JD'!F26+'data from JD'!P26/1000</f>
        <v>4.4999999999999999E-4</v>
      </c>
      <c r="G26" s="16">
        <f>'Rel to Acc'!G26-G$69</f>
        <v>7.0170000000004507E-2</v>
      </c>
      <c r="H26" s="16">
        <f>'Rel to Acc'!H26</f>
        <v>-8.0610361783406557</v>
      </c>
      <c r="I26" s="16">
        <f>'Rel to Acc'!I26</f>
        <v>-1.043013430950851E-2</v>
      </c>
      <c r="J26" s="16">
        <f>'Rel to Acc'!J26</f>
        <v>-3.7950370389948297E-3</v>
      </c>
      <c r="K26" s="15"/>
      <c r="L26" s="15"/>
      <c r="M26" s="15"/>
      <c r="N26" s="15"/>
      <c r="O26" s="15"/>
      <c r="P26" s="15"/>
    </row>
    <row r="27" spans="1:16" ht="15" x14ac:dyDescent="0.25">
      <c r="A27" s="15" t="s">
        <v>79</v>
      </c>
      <c r="B27" s="15" t="s">
        <v>11</v>
      </c>
      <c r="C27" s="15"/>
      <c r="D27" s="16">
        <f>'Rel to Acc'!D27-$D$69</f>
        <v>-88.463279999999997</v>
      </c>
      <c r="E27" s="16">
        <f>'Rel to Acc'!E27-E$69</f>
        <v>-2.0737799999999993</v>
      </c>
      <c r="F27" s="16">
        <f>'data from JD'!F27+'data from JD'!P27/1000</f>
        <v>1.25E-4</v>
      </c>
      <c r="G27" s="16">
        <f>'Rel to Acc'!G27-G$69</f>
        <v>7.0099999999996498E-2</v>
      </c>
      <c r="H27" s="16">
        <f>'Rel to Acc'!H27</f>
        <v>-8.0435622717000008</v>
      </c>
      <c r="I27" s="16">
        <f>'Rel to Acc'!I27</f>
        <v>-1.6094320299999999E-2</v>
      </c>
      <c r="J27" s="16">
        <f>'Rel to Acc'!J27</f>
        <v>-0.18133323034000001</v>
      </c>
      <c r="K27" s="15"/>
      <c r="L27" s="15"/>
      <c r="M27" s="15"/>
      <c r="N27" s="15"/>
      <c r="O27" s="15"/>
      <c r="P27" s="15"/>
    </row>
    <row r="28" spans="1:16" ht="15" x14ac:dyDescent="0.25">
      <c r="A28" s="15" t="s">
        <v>43</v>
      </c>
      <c r="B28" s="15" t="s">
        <v>42</v>
      </c>
      <c r="C28" s="15"/>
      <c r="D28" s="16">
        <f>'Rel to Acc'!D28-$D$69</f>
        <v>-93.50454000000002</v>
      </c>
      <c r="E28" s="16">
        <f>'Rel to Acc'!E28-E$69</f>
        <v>-1.1665200000000056</v>
      </c>
      <c r="F28" s="16">
        <f>'data from JD'!F28+'data from JD'!P28/1000</f>
        <v>-0.91003700003305099</v>
      </c>
      <c r="G28" s="16">
        <f>'Rel to Acc'!G28-G$69</f>
        <v>7.5300000000027012E-3</v>
      </c>
      <c r="H28" s="16">
        <f>'Rel to Acc'!H28</f>
        <v>-8.0512999999999995</v>
      </c>
      <c r="I28" s="16">
        <f>'Rel to Acc'!I28</f>
        <v>2E-3</v>
      </c>
      <c r="J28" s="16">
        <f>'Rel to Acc'!J28</f>
        <v>6.6799999999999998E-2</v>
      </c>
      <c r="K28" s="15"/>
      <c r="L28" s="15"/>
      <c r="M28" s="15"/>
      <c r="N28" s="15"/>
      <c r="O28" s="15"/>
      <c r="P28" s="15"/>
    </row>
    <row r="29" spans="1:16" ht="15" x14ac:dyDescent="0.25">
      <c r="A29" s="15" t="s">
        <v>44</v>
      </c>
      <c r="B29" s="15"/>
      <c r="C29" s="15"/>
      <c r="D29" s="16">
        <f>'Rel to Acc'!D29-$D$69</f>
        <v>-25.757800000000032</v>
      </c>
      <c r="E29" s="16">
        <f>'Rel to Acc'!E29-E$69</f>
        <v>1.0149999999953252E-3</v>
      </c>
      <c r="F29" s="16">
        <f>'data from JD'!F29+'data from JD'!P29/1000</f>
        <v>4.7599999999999997E-4</v>
      </c>
      <c r="G29" s="16">
        <f>'Rel to Acc'!G29-G$69</f>
        <v>4.7600000000613818E-4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ht="15" x14ac:dyDescent="0.25">
      <c r="A30" s="15" t="s">
        <v>52</v>
      </c>
      <c r="B30" s="15" t="s">
        <v>25</v>
      </c>
      <c r="C30" s="15"/>
      <c r="D30" s="16">
        <f>'Rel to Acc'!D30-$D$69</f>
        <v>-25.542320000000018</v>
      </c>
      <c r="E30" s="16">
        <f>'Rel to Acc'!E30-E$69</f>
        <v>2.5000000000829914E-4</v>
      </c>
      <c r="F30" s="16">
        <f>'data from JD'!F30+'data from JD'!P30/1000</f>
        <v>-0.89004400002670281</v>
      </c>
      <c r="G30" s="16">
        <f>'Rel to Acc'!G30-G$69</f>
        <v>1.9999999992137418E-5</v>
      </c>
      <c r="H30" s="16">
        <f>'data from JD'!L30+'data from JD'!R30</f>
        <v>-2.5799999999999998E-3</v>
      </c>
      <c r="I30" s="17">
        <v>1.49E-2</v>
      </c>
      <c r="J30" s="17">
        <v>6.8799999999999998E-3</v>
      </c>
      <c r="K30" s="15"/>
      <c r="L30" s="15"/>
      <c r="M30" s="15"/>
      <c r="N30" s="15"/>
      <c r="O30" s="15"/>
      <c r="P30" s="15"/>
    </row>
    <row r="31" spans="1:16" ht="15" x14ac:dyDescent="0.25">
      <c r="A31" s="15" t="s">
        <v>53</v>
      </c>
      <c r="B31" s="15" t="s">
        <v>26</v>
      </c>
      <c r="C31" s="15"/>
      <c r="D31" s="16">
        <f>'Rel to Acc'!D31-$D$69</f>
        <v>-19.655219999999986</v>
      </c>
      <c r="E31" s="16">
        <f>'Rel to Acc'!E31-E$69</f>
        <v>6.6999999999950433E-4</v>
      </c>
      <c r="F31" s="16">
        <f>'data from JD'!F31+'data from JD'!P31/1000</f>
        <v>-0.88995200002670272</v>
      </c>
      <c r="G31" s="16">
        <f>'Rel to Acc'!G31-G$69</f>
        <v>-3.0999999999892225E-4</v>
      </c>
      <c r="H31" s="16">
        <f>'data from JD'!L31+'data from JD'!R31</f>
        <v>-2.0629999999999999E-2</v>
      </c>
      <c r="I31" s="17">
        <v>1.375E-2</v>
      </c>
      <c r="J31" s="17">
        <v>1.5469999999999999E-2</v>
      </c>
      <c r="K31" s="15"/>
      <c r="L31" s="15"/>
      <c r="M31" s="15"/>
      <c r="N31" s="15"/>
      <c r="O31" s="15"/>
      <c r="P31" s="15"/>
    </row>
    <row r="32" spans="1:16" x14ac:dyDescent="0.3">
      <c r="A32" s="15" t="s">
        <v>54</v>
      </c>
      <c r="B32" s="15" t="s">
        <v>27</v>
      </c>
      <c r="C32" s="15"/>
      <c r="D32" s="16">
        <f>'Rel to Acc'!D32-$D$69</f>
        <v>-23.243920000000003</v>
      </c>
      <c r="E32" s="16">
        <f>'Rel to Acc'!E32-E$69</f>
        <v>6.5000000000736691E-4</v>
      </c>
      <c r="F32" s="16">
        <f>'data from JD'!F32+'data from JD'!P32/1000</f>
        <v>-8.9999999999999985E-6</v>
      </c>
      <c r="G32" s="16">
        <f>'Rel to Acc'!G32-G$69</f>
        <v>-4.3000000000859018E-4</v>
      </c>
      <c r="H32" s="16">
        <f>'data from JD'!L32+'data from JD'!R32</f>
        <v>-8.5999999999999998E-4</v>
      </c>
      <c r="I32" s="17">
        <v>3.15E-3</v>
      </c>
      <c r="J32" s="17">
        <v>2.8649999999999998E-2</v>
      </c>
      <c r="K32" s="15"/>
      <c r="L32" s="15"/>
      <c r="M32" s="15"/>
      <c r="N32" s="15"/>
      <c r="O32" s="15"/>
      <c r="P32" s="15"/>
    </row>
    <row r="33" spans="1:16" x14ac:dyDescent="0.3">
      <c r="A33" s="15" t="s">
        <v>55</v>
      </c>
      <c r="B33" s="15" t="s">
        <v>28</v>
      </c>
      <c r="C33" s="15"/>
      <c r="D33" s="16">
        <f>'Rel to Acc'!D33-$D$69</f>
        <v>-18.888463999999999</v>
      </c>
      <c r="E33" s="16">
        <f>'Rel to Acc'!E33-E$69</f>
        <v>3.0999999999892225E-4</v>
      </c>
      <c r="F33" s="16">
        <f>'data from JD'!F33+'data from JD'!P33/1000</f>
        <v>3.1999999999999999E-5</v>
      </c>
      <c r="G33" s="16">
        <f>'Rel to Acc'!G33-G$69</f>
        <v>3.2000000004472895E-5</v>
      </c>
      <c r="H33" s="16">
        <f>'data from JD'!L33+'data from JD'!R33</f>
        <v>-7.7299999999999999E-3</v>
      </c>
      <c r="I33" s="17">
        <v>2.034E-2</v>
      </c>
      <c r="J33" s="17">
        <v>-5.4400000000000004E-3</v>
      </c>
      <c r="K33" s="15"/>
      <c r="L33" s="15"/>
      <c r="M33" s="15"/>
      <c r="N33" s="15"/>
      <c r="O33" s="15"/>
      <c r="P33" s="15"/>
    </row>
    <row r="34" spans="1:16" x14ac:dyDescent="0.3">
      <c r="A34" s="15" t="s">
        <v>161</v>
      </c>
      <c r="B34" s="15"/>
      <c r="C34" s="15"/>
      <c r="D34" s="16">
        <f>'Rel to Acc'!D34-$D$69</f>
        <v>-16.965250000000026</v>
      </c>
      <c r="E34" s="16">
        <f>'Rel to Acc'!E34-E$69</f>
        <v>3.0999999999892225E-4</v>
      </c>
      <c r="F34" s="16">
        <f>'data from JD'!F35+'data from JD'!P35/1000</f>
        <v>-0.12002400003808963</v>
      </c>
      <c r="G34" s="16">
        <f>'Rel to Acc'!G34-G$69</f>
        <v>-3.4999999999740794E-4</v>
      </c>
      <c r="H34" s="16"/>
      <c r="I34" s="17"/>
      <c r="J34" s="17"/>
      <c r="K34" s="15"/>
      <c r="L34" s="15"/>
      <c r="M34" s="15"/>
      <c r="N34" s="15"/>
      <c r="O34" s="15"/>
      <c r="P34" s="15"/>
    </row>
    <row r="35" spans="1:16" s="33" customFormat="1" ht="15" customHeight="1" x14ac:dyDescent="0.3">
      <c r="A35" s="15" t="s">
        <v>56</v>
      </c>
      <c r="B35" s="15" t="s">
        <v>22</v>
      </c>
      <c r="C35" s="15"/>
      <c r="D35" s="16">
        <f>'Rel to Acc'!D35-$D$69</f>
        <v>-14.797070000000019</v>
      </c>
      <c r="E35" s="16">
        <f>'Rel to Acc'!E35-E$69</f>
        <v>3.399999999942338E-4</v>
      </c>
      <c r="F35" s="16">
        <f>'data from JD'!F36+'data from JD'!P36/1000</f>
        <v>0.17991300000029103</v>
      </c>
      <c r="G35" s="16">
        <f>'Rel to Acc'!G35-G$69</f>
        <v>-2.3999999996249244E-5</v>
      </c>
      <c r="H35" s="16">
        <f>'data from JD'!L35+'data from JD'!R35</f>
        <v>-1.261E-2</v>
      </c>
      <c r="I35" s="17">
        <v>-2.2630000000000001E-2</v>
      </c>
      <c r="J35" s="17">
        <v>7.45E-3</v>
      </c>
      <c r="K35" s="15"/>
      <c r="L35" s="15">
        <v>5270</v>
      </c>
      <c r="M35" s="15">
        <v>10002</v>
      </c>
      <c r="N35" s="15">
        <v>16845</v>
      </c>
      <c r="O35" s="15">
        <v>20638</v>
      </c>
      <c r="P35" s="15">
        <v>24431</v>
      </c>
    </row>
    <row r="36" spans="1:16" s="38" customFormat="1" x14ac:dyDescent="0.3">
      <c r="A36" s="37" t="s">
        <v>57</v>
      </c>
      <c r="B36" s="37" t="s">
        <v>21</v>
      </c>
      <c r="C36" s="37"/>
      <c r="D36" s="39">
        <f>'Rel to Acc'!D36-$D$69</f>
        <v>-13.260469999999998</v>
      </c>
      <c r="E36" s="39">
        <f>'Rel to Acc'!E36-E$69</f>
        <v>2.0000000000663931E-4</v>
      </c>
      <c r="F36" s="39">
        <f>'data from JD'!F37+'data from JD'!P37/1000</f>
        <v>0.18153199999524153</v>
      </c>
      <c r="G36" s="39">
        <f>'Rel to Acc'!G36-G$69</f>
        <v>-4.3999999999755346E-4</v>
      </c>
      <c r="H36" s="39">
        <f>'data from JD'!L36+'data from JD'!R36</f>
        <v>-1.15E-3</v>
      </c>
      <c r="I36" s="40">
        <v>8.5900000000000004E-3</v>
      </c>
      <c r="J36" s="40">
        <v>5.6999999999999998E-4</v>
      </c>
      <c r="K36" s="37"/>
      <c r="L36" s="37"/>
      <c r="M36" s="37"/>
      <c r="N36" s="37"/>
      <c r="O36" s="37"/>
      <c r="P36" s="37"/>
    </row>
    <row r="37" spans="1:16" s="38" customFormat="1" x14ac:dyDescent="0.3">
      <c r="A37" s="37" t="s">
        <v>58</v>
      </c>
      <c r="B37" s="37" t="s">
        <v>19</v>
      </c>
      <c r="C37" s="37"/>
      <c r="D37" s="39">
        <f>'Rel to Acc'!D37-$D$69</f>
        <v>-10.333050000000014</v>
      </c>
      <c r="E37" s="39">
        <f>'Rel to Acc'!E37-E$69</f>
        <v>-0.23828999999999212</v>
      </c>
      <c r="F37" s="39">
        <f>'data from JD'!F38+'data from JD'!P38/1000</f>
        <v>0.18081299999524153</v>
      </c>
      <c r="G37" s="39">
        <f>'Rel to Acc'!G37-G$69</f>
        <v>1.0000000003174137E-5</v>
      </c>
      <c r="H37" s="39">
        <f>'data from JD'!L37+'data from JD'!R37</f>
        <v>-4.6595800000000001</v>
      </c>
      <c r="I37" s="40">
        <v>8.0500000000000002E-2</v>
      </c>
      <c r="J37" s="40">
        <v>-0.15642</v>
      </c>
      <c r="K37" s="37"/>
      <c r="L37" s="37"/>
      <c r="M37" s="37"/>
      <c r="N37" s="37"/>
      <c r="O37" s="37"/>
      <c r="P37" s="37"/>
    </row>
    <row r="38" spans="1:16" s="38" customFormat="1" x14ac:dyDescent="0.3">
      <c r="A38" s="37" t="s">
        <v>59</v>
      </c>
      <c r="B38" s="37" t="s">
        <v>20</v>
      </c>
      <c r="C38" s="37"/>
      <c r="D38" s="39">
        <f>'Rel to Acc'!D38-$D$69</f>
        <v>-10.333590000000015</v>
      </c>
      <c r="E38" s="39">
        <f>'Rel to Acc'!E38-E$69</f>
        <v>0.23882000000000403</v>
      </c>
      <c r="F38" s="39">
        <f>'data from JD'!F39+'data from JD'!P39/1000</f>
        <v>0.18167999999524154</v>
      </c>
      <c r="G38" s="39">
        <f>'Rel to Acc'!G38-G$69</f>
        <v>-2.0000000006348273E-5</v>
      </c>
      <c r="H38" s="39">
        <f>'data from JD'!L38+'data from JD'!R38</f>
        <v>4.5707700000000004</v>
      </c>
      <c r="I38" s="40">
        <v>-0.13464999999999999</v>
      </c>
      <c r="J38" s="40">
        <v>3.0939999999999999E-2</v>
      </c>
      <c r="K38" s="37"/>
      <c r="L38" s="37"/>
      <c r="M38" s="37"/>
      <c r="N38" s="37"/>
      <c r="O38" s="37"/>
      <c r="P38" s="37"/>
    </row>
    <row r="39" spans="1:16" s="38" customFormat="1" x14ac:dyDescent="0.3">
      <c r="A39" s="37" t="s">
        <v>60</v>
      </c>
      <c r="B39" s="39" t="s">
        <v>86</v>
      </c>
      <c r="C39" s="37"/>
      <c r="D39" s="39">
        <f>'Rel to Acc'!D39-$D$69</f>
        <v>-9.8443000000000325</v>
      </c>
      <c r="E39" s="39">
        <f>'Rel to Acc'!E39-E$69</f>
        <v>-0.27452999999999861</v>
      </c>
      <c r="F39" s="39">
        <f>'data from JD'!F40+'data from JD'!P40/1000</f>
        <v>0.18207999999524152</v>
      </c>
      <c r="G39" s="39">
        <f>'Rel to Acc'!G39-G$69</f>
        <v>2.6699999999948432E-3</v>
      </c>
      <c r="H39" s="39">
        <f>'Rel to Acc'!H39</f>
        <v>-4.6928999999999998</v>
      </c>
      <c r="I39" s="40"/>
      <c r="J39" s="40"/>
      <c r="K39" s="37"/>
      <c r="L39" s="37"/>
      <c r="M39" s="37"/>
      <c r="N39" s="37"/>
      <c r="O39" s="37"/>
      <c r="P39" s="37"/>
    </row>
    <row r="40" spans="1:16" s="38" customFormat="1" x14ac:dyDescent="0.3">
      <c r="A40" s="37" t="s">
        <v>61</v>
      </c>
      <c r="B40" s="39" t="s">
        <v>85</v>
      </c>
      <c r="C40" s="37"/>
      <c r="D40" s="39">
        <f>'Rel to Acc'!D40-$D$69</f>
        <v>-9.8443100000000072</v>
      </c>
      <c r="E40" s="39">
        <f>'Rel to Acc'!E40-E$69</f>
        <v>0.27539000000000158</v>
      </c>
      <c r="F40" s="39">
        <f>'data from JD'!F41+'data from JD'!P41/1000</f>
        <v>6.0598799999340072</v>
      </c>
      <c r="G40" s="39">
        <f>'Rel to Acc'!G40-G$69</f>
        <v>8.6999999999193278E-4</v>
      </c>
      <c r="H40" s="39">
        <f>'Rel to Acc'!H40</f>
        <v>4.7812999999999999</v>
      </c>
      <c r="I40" s="40"/>
      <c r="J40" s="40"/>
      <c r="K40" s="37"/>
      <c r="L40" s="37"/>
      <c r="M40" s="37"/>
      <c r="N40" s="37"/>
      <c r="O40" s="37"/>
      <c r="P40" s="37"/>
    </row>
    <row r="41" spans="1:16" x14ac:dyDescent="0.3">
      <c r="A41" s="15" t="s">
        <v>62</v>
      </c>
      <c r="B41" s="15" t="s">
        <v>23</v>
      </c>
      <c r="C41" s="15"/>
      <c r="D41" s="16">
        <f>'Rel to Acc'!D41-$D$69</f>
        <v>0</v>
      </c>
      <c r="E41" s="16">
        <f>'Rel to Acc'!E41-E$69</f>
        <v>0</v>
      </c>
      <c r="F41" s="16">
        <f>'data from JD'!F42+'data from JD'!P42/1000</f>
        <v>6.1090199999782993</v>
      </c>
      <c r="G41" s="16">
        <f>'Rel to Acc'!G41-G$69</f>
        <v>0</v>
      </c>
      <c r="H41" s="16"/>
      <c r="I41" s="17"/>
      <c r="J41" s="17"/>
      <c r="K41" s="15"/>
      <c r="L41" s="15"/>
      <c r="M41" s="15"/>
      <c r="N41" s="15"/>
      <c r="O41" s="15"/>
      <c r="P41" s="15"/>
    </row>
    <row r="42" spans="1:16" x14ac:dyDescent="0.3">
      <c r="A42" s="15" t="s">
        <v>141</v>
      </c>
      <c r="B42" s="15"/>
      <c r="C42" s="15"/>
      <c r="D42" s="16">
        <f>'Rel to Acc'!D42-$D$69</f>
        <v>-2.3980000000000246</v>
      </c>
      <c r="E42" s="16">
        <f>'Rel to Acc'!E42-E$69</f>
        <v>-1.0797755096376704E-3</v>
      </c>
      <c r="F42" s="16">
        <f>'data from JD'!F45+'data from JD'!P45/1000</f>
        <v>0.17992000000029104</v>
      </c>
      <c r="G42" s="16">
        <f>'Rel to Acc'!G42-G$69</f>
        <v>-5.6499878544968851E-4</v>
      </c>
      <c r="H42" s="16"/>
      <c r="I42" s="17"/>
      <c r="J42" s="17"/>
      <c r="K42" s="15"/>
      <c r="L42" s="15"/>
      <c r="M42" s="15"/>
      <c r="N42" s="15"/>
      <c r="O42" s="15"/>
      <c r="P42" s="15"/>
    </row>
    <row r="43" spans="1:16" x14ac:dyDescent="0.3">
      <c r="A43" s="15" t="s">
        <v>142</v>
      </c>
      <c r="B43" s="15"/>
      <c r="C43" s="15"/>
      <c r="D43" s="16">
        <f>'Rel to Acc'!D43-$D$69</f>
        <v>2.3979999999999677</v>
      </c>
      <c r="E43" s="16">
        <f>'Rel to Acc'!E43-E$69</f>
        <v>1.0797755096376704E-3</v>
      </c>
      <c r="F43" s="16">
        <f>'data from JD'!F48+'data from JD'!P48/1000</f>
        <v>0</v>
      </c>
      <c r="G43" s="16">
        <f>'Rel to Acc'!G43-G$69</f>
        <v>5.6499878544968851E-4</v>
      </c>
      <c r="H43" s="16"/>
      <c r="I43" s="17"/>
      <c r="J43" s="17"/>
      <c r="K43" s="15"/>
      <c r="L43" s="15"/>
      <c r="M43" s="15"/>
      <c r="N43" s="15"/>
      <c r="O43" s="15"/>
      <c r="P43" s="15"/>
    </row>
    <row r="44" spans="1:16" x14ac:dyDescent="0.3">
      <c r="A44" s="15" t="s">
        <v>63</v>
      </c>
      <c r="B44" s="15" t="s">
        <v>45</v>
      </c>
      <c r="C44" s="15"/>
      <c r="D44" s="16">
        <f>'Rel to Acc'!D44-$D$69</f>
        <v>0.22870000000000346</v>
      </c>
      <c r="E44" s="16">
        <f>'Rel to Acc'!E44-E$69</f>
        <v>1.3299999999958345E-3</v>
      </c>
      <c r="F44" s="16">
        <f>'data from JD'!F49+'data from JD'!P49/1000</f>
        <v>1.23E-3</v>
      </c>
      <c r="G44" s="16">
        <f>'Rel to Acc'!G44-G$69</f>
        <v>-9.7999999999842657E-4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16" s="38" customFormat="1" x14ac:dyDescent="0.3">
      <c r="A45" s="37" t="s">
        <v>195</v>
      </c>
      <c r="B45" s="37"/>
      <c r="C45" s="37"/>
      <c r="D45" s="39">
        <f>'Rel to Acc'!D45-$D$69</f>
        <v>-1.388149999999996</v>
      </c>
      <c r="E45" s="39">
        <f>'Rel to Acc'!E45-E$69</f>
        <v>4.2931858526173983E-4</v>
      </c>
      <c r="F45" s="39">
        <f>'data from JD'!F50+'data from JD'!P50/1000</f>
        <v>1.23E-3</v>
      </c>
      <c r="G45" s="39">
        <f>'Rel to Acc'!G45-G$69</f>
        <v>-8.1129168790994299E-5</v>
      </c>
      <c r="H45" s="39"/>
      <c r="I45" s="40"/>
      <c r="J45" s="40"/>
      <c r="K45" s="37"/>
      <c r="L45" s="37"/>
      <c r="M45" s="37"/>
      <c r="N45" s="37"/>
      <c r="O45" s="37"/>
      <c r="P45" s="37"/>
    </row>
    <row r="46" spans="1:16" s="38" customFormat="1" x14ac:dyDescent="0.3">
      <c r="A46" s="37" t="s">
        <v>194</v>
      </c>
      <c r="B46" s="37" t="s">
        <v>151</v>
      </c>
      <c r="C46" s="37"/>
      <c r="D46" s="39">
        <f>'Rel to Acc'!D46-$D$69</f>
        <v>-1.2404000000000224</v>
      </c>
      <c r="E46" s="39">
        <f>'Rel to Acc'!E46-E$69</f>
        <v>4.500000000007276E-4</v>
      </c>
      <c r="F46" s="39">
        <f>'data from JD'!F50+'data from JD'!P50/1000</f>
        <v>1.23E-3</v>
      </c>
      <c r="G46" s="39">
        <f>'Rel to Acc'!G46-G$69</f>
        <v>-9.0000000000145519E-5</v>
      </c>
      <c r="H46" s="39"/>
      <c r="I46" s="40"/>
      <c r="J46" s="40" t="s">
        <v>46</v>
      </c>
      <c r="K46" s="37"/>
      <c r="L46" s="37"/>
      <c r="M46" s="37"/>
      <c r="N46" s="37"/>
      <c r="O46" s="37"/>
      <c r="P46" s="37"/>
    </row>
    <row r="47" spans="1:16" s="38" customFormat="1" x14ac:dyDescent="0.3">
      <c r="A47" s="37" t="s">
        <v>196</v>
      </c>
      <c r="B47" s="37"/>
      <c r="C47" s="37"/>
      <c r="D47" s="39">
        <f>'Rel to Acc'!D47-$D$69</f>
        <v>-1.0926500000000487</v>
      </c>
      <c r="E47" s="39">
        <f>'Rel to Acc'!E47-E$69</f>
        <v>4.7068141473971536E-4</v>
      </c>
      <c r="F47" s="39">
        <f>'data from JD'!F52+'data from JD'!P52/1000</f>
        <v>9.3203290000024381</v>
      </c>
      <c r="G47" s="39">
        <f>'Rel to Acc'!G47-G$69</f>
        <v>-9.8870831209296739E-5</v>
      </c>
      <c r="H47" s="39"/>
      <c r="I47" s="40"/>
      <c r="J47" s="40"/>
      <c r="K47" s="37"/>
      <c r="L47" s="37"/>
      <c r="M47" s="37"/>
      <c r="N47" s="37"/>
      <c r="O47" s="37"/>
      <c r="P47" s="37"/>
    </row>
    <row r="48" spans="1:16" s="46" customFormat="1" x14ac:dyDescent="0.3">
      <c r="A48" s="42" t="s">
        <v>152</v>
      </c>
      <c r="B48" s="42"/>
      <c r="C48" s="42"/>
      <c r="D48" s="43">
        <f>'Rel to Acc'!D48-$D$69</f>
        <v>-1.0462200000000053</v>
      </c>
      <c r="E48" s="43">
        <f>'Rel to Acc'!E48-E$69</f>
        <v>1.5903568112918265E-3</v>
      </c>
      <c r="F48" s="43">
        <f>'data from JD'!F51+'data from JD'!P51/1000</f>
        <v>-4.4000000000000002E-4</v>
      </c>
      <c r="G48" s="43">
        <f>'Rel to Acc'!G48-G$69</f>
        <v>1.9910138784382525E-3</v>
      </c>
      <c r="H48" s="43"/>
      <c r="I48" s="45"/>
      <c r="J48" s="45"/>
      <c r="K48" s="42"/>
      <c r="L48" s="42"/>
      <c r="M48" s="42"/>
      <c r="N48" s="42"/>
      <c r="O48" s="42"/>
      <c r="P48" s="42"/>
    </row>
    <row r="49" spans="1:16" s="46" customFormat="1" x14ac:dyDescent="0.3">
      <c r="A49" s="42" t="s">
        <v>80</v>
      </c>
      <c r="B49" s="42" t="s">
        <v>18</v>
      </c>
      <c r="C49" s="43" t="s">
        <v>46</v>
      </c>
      <c r="D49" s="43">
        <f>'Rel to Acc'!D49-$D$69</f>
        <v>-1.5926900000000046</v>
      </c>
      <c r="E49" s="43"/>
      <c r="F49" s="43">
        <f>'data from JD'!F52+'data from JD'!P52/1000</f>
        <v>9.3203290000024381</v>
      </c>
      <c r="G49" s="43"/>
      <c r="H49" s="43"/>
      <c r="I49" s="43"/>
      <c r="J49" s="45"/>
      <c r="K49" s="42"/>
      <c r="L49" s="42"/>
      <c r="M49" s="42"/>
      <c r="N49" s="42"/>
      <c r="O49" s="42"/>
      <c r="P49" s="42"/>
    </row>
    <row r="50" spans="1:16" s="46" customFormat="1" x14ac:dyDescent="0.3">
      <c r="A50" s="42" t="s">
        <v>92</v>
      </c>
      <c r="B50" s="42"/>
      <c r="C50" s="43"/>
      <c r="D50" s="43">
        <f>'Rel to Acc'!D50-$D$69</f>
        <v>-1.5053899999999771</v>
      </c>
      <c r="E50" s="43">
        <f>'Rel to Acc'!E50-E$69</f>
        <v>4.0496154235825088E-4</v>
      </c>
      <c r="F50" s="43">
        <f>'data from JD'!F53+'data from JD'!P53/1000</f>
        <v>-5.8E-5</v>
      </c>
      <c r="G50" s="43">
        <f>'Rel to Acc'!G50-G$69</f>
        <v>-1.0850791374963364E-3</v>
      </c>
      <c r="H50" s="43"/>
      <c r="I50" s="45"/>
      <c r="J50" s="45"/>
      <c r="K50" s="42"/>
      <c r="L50" s="42"/>
      <c r="M50" s="42"/>
      <c r="N50" s="42"/>
      <c r="O50" s="42"/>
      <c r="P50" s="42"/>
    </row>
    <row r="51" spans="1:16" s="46" customFormat="1" x14ac:dyDescent="0.3">
      <c r="A51" s="42" t="s">
        <v>93</v>
      </c>
      <c r="B51" s="42"/>
      <c r="C51" s="43"/>
      <c r="D51" s="43">
        <f>'Rel to Acc'!D51-$D$69</f>
        <v>-0.9202900000000227</v>
      </c>
      <c r="E51" s="43">
        <f>'Rel to Acc'!E51-E$69</f>
        <v>2.0941724618950275E-3</v>
      </c>
      <c r="F51" s="43">
        <f>'data from JD'!F54+'data from JD'!P54/1000</f>
        <v>-3.2499999999999999E-4</v>
      </c>
      <c r="G51" s="43">
        <f>'Rel to Acc'!G51-G$69</f>
        <v>1.1120634088257475E-3</v>
      </c>
      <c r="H51" s="43"/>
      <c r="I51" s="45"/>
      <c r="J51" s="45"/>
      <c r="K51" s="42"/>
      <c r="L51" s="42"/>
      <c r="M51" s="42"/>
      <c r="N51" s="42"/>
      <c r="O51" s="42"/>
      <c r="P51" s="42"/>
    </row>
    <row r="52" spans="1:16" x14ac:dyDescent="0.3">
      <c r="A52" s="15" t="s">
        <v>111</v>
      </c>
      <c r="B52" s="15"/>
      <c r="C52" s="15"/>
      <c r="D52" s="16">
        <f>'Rel to Acc'!D52-$D$69</f>
        <v>-6.7209999999988668E-2</v>
      </c>
      <c r="E52" s="16">
        <f>'Rel to Acc'!E52-E$69</f>
        <v>-6.0000000000570708E-4</v>
      </c>
      <c r="F52" s="16">
        <f>'data from JD'!F55+'data from JD'!P55/1000</f>
        <v>8.450230999925239</v>
      </c>
      <c r="G52" s="16">
        <f>'Rel to Acc'!G52-G$69</f>
        <v>3.2899999999358442E-4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/>
      <c r="N52" s="15"/>
      <c r="O52" s="15"/>
      <c r="P52" s="15"/>
    </row>
    <row r="53" spans="1:16" x14ac:dyDescent="0.3">
      <c r="A53" s="15" t="s">
        <v>112</v>
      </c>
      <c r="B53" s="15"/>
      <c r="C53" s="15"/>
      <c r="D53" s="16">
        <f>'Rel to Acc'!D53-$D$69</f>
        <v>0.51848999999998568</v>
      </c>
      <c r="E53" s="16">
        <f>'Rel to Acc'!E53-E$69</f>
        <v>-3.9000000001010449E-4</v>
      </c>
      <c r="F53" s="16">
        <f>'data from JD'!F56+'data from JD'!P56/1000</f>
        <v>6.4096799999598364</v>
      </c>
      <c r="G53" s="16">
        <f>'Rel to Acc'!G53-G$69</f>
        <v>-5.7999999995672624E-5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/>
      <c r="N53" s="15"/>
      <c r="O53" s="15"/>
      <c r="P53" s="15"/>
    </row>
    <row r="54" spans="1:16" x14ac:dyDescent="0.3">
      <c r="A54" s="15" t="s">
        <v>113</v>
      </c>
      <c r="B54" s="15"/>
      <c r="C54" s="15"/>
      <c r="D54" s="16">
        <f>'Rel to Acc'!D54-$D$69</f>
        <v>1.1043799999999919</v>
      </c>
      <c r="E54" s="16">
        <f>'Rel to Acc'!E54-E$69</f>
        <v>3.0999999999892225E-4</v>
      </c>
      <c r="F54" s="16">
        <f>'data from JD'!F57+'data from JD'!P57/1000</f>
        <v>0.17997900000029105</v>
      </c>
      <c r="G54" s="16">
        <f>'Rel to Acc'!G54-G$69</f>
        <v>-3.2500000000368345E-4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/>
      <c r="N54" s="15"/>
      <c r="O54" s="15"/>
      <c r="P54" s="15"/>
    </row>
    <row r="55" spans="1:16" x14ac:dyDescent="0.3">
      <c r="A55" s="15" t="s">
        <v>114</v>
      </c>
      <c r="B55" s="15"/>
      <c r="C55" s="15"/>
      <c r="D55" s="16">
        <f>'Rel to Acc'!D55-$D$69</f>
        <v>1.4911299999999983</v>
      </c>
      <c r="E55" s="16">
        <f>'Rel to Acc'!E55-E$69</f>
        <v>4.7999999999603915E-4</v>
      </c>
      <c r="F55" s="16">
        <f>'data from JD'!F58+'data from JD'!P58/1000</f>
        <v>0.18225100000029104</v>
      </c>
      <c r="G55" s="16">
        <f>'Rel to Acc'!G55-G$69</f>
        <v>2.3099999999942611E-4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/>
      <c r="N55" s="15"/>
      <c r="O55" s="15"/>
      <c r="P55" s="15"/>
    </row>
    <row r="56" spans="1:16" x14ac:dyDescent="0.3">
      <c r="A56" s="15" t="s">
        <v>64</v>
      </c>
      <c r="B56" s="15" t="s">
        <v>17</v>
      </c>
      <c r="C56" s="15"/>
      <c r="D56" s="16">
        <f>'Rel to Acc'!D56-$D$69</f>
        <v>-0.96320000000002892</v>
      </c>
      <c r="E56" s="16">
        <f>'Rel to Acc'!E56-E$69</f>
        <v>2.9999999999574811E-4</v>
      </c>
      <c r="F56" s="16">
        <f>'data from JD'!F59+'data from JD'!P59/1000</f>
        <v>0</v>
      </c>
      <c r="G56" s="16">
        <f>'Rel to Acc'!G56-G$69</f>
        <v>-7.9999999999813554E-4</v>
      </c>
      <c r="H56" s="16">
        <f>(ATAN((E57-E58)/(D57-D58)))*180/3.1415</f>
        <v>8.0000000003391455E-3</v>
      </c>
      <c r="I56" s="16">
        <f>(ATAN((G57-G58)/(D57-D58)))*180/3.1415</f>
        <v>-2.1799999999808983E-2</v>
      </c>
      <c r="J56" s="17" t="s">
        <v>46</v>
      </c>
      <c r="K56" s="15"/>
      <c r="L56" s="15"/>
      <c r="M56" s="15"/>
      <c r="N56" s="15"/>
      <c r="O56" s="15"/>
      <c r="P56" s="15"/>
    </row>
    <row r="57" spans="1:16" x14ac:dyDescent="0.3">
      <c r="A57" s="15" t="s">
        <v>148</v>
      </c>
      <c r="B57" s="15"/>
      <c r="C57" s="15"/>
      <c r="D57" s="16">
        <f>'Rel to Acc'!D57-$D$69</f>
        <v>-1.7132000000000289</v>
      </c>
      <c r="E57" s="16">
        <f>'Rel to Acc'!E57-E$69</f>
        <v>1.9528333264418052E-4</v>
      </c>
      <c r="F57" s="16">
        <f>'data from JD'!F60+'data from JD'!P60/1000</f>
        <v>0</v>
      </c>
      <c r="G57" s="16">
        <f>'Rel to Acc'!G57-G$69</f>
        <v>-5.146470695649441E-4</v>
      </c>
      <c r="H57" s="16"/>
      <c r="I57" s="17"/>
      <c r="J57" s="17"/>
      <c r="K57" s="15"/>
      <c r="L57" s="15"/>
      <c r="M57" s="15"/>
      <c r="N57" s="15"/>
      <c r="O57" s="15"/>
      <c r="P57" s="15"/>
    </row>
    <row r="58" spans="1:16" x14ac:dyDescent="0.3">
      <c r="A58" s="15" t="s">
        <v>149</v>
      </c>
      <c r="B58" s="15"/>
      <c r="C58" s="15"/>
      <c r="D58" s="16">
        <f>'Rel to Acc'!D58-$D$69</f>
        <v>-0.21320000000002892</v>
      </c>
      <c r="E58" s="16">
        <f>'Rel to Acc'!E58-E$69</f>
        <v>4.0471666734731571E-4</v>
      </c>
      <c r="F58" s="16">
        <f>'data from JD'!F61+'data from JD'!P61/1000</f>
        <v>0</v>
      </c>
      <c r="G58" s="16">
        <f>'Rel to Acc'!G58-G$69</f>
        <v>-1.085352930431327E-3</v>
      </c>
      <c r="H58" s="16"/>
      <c r="I58" s="17"/>
      <c r="J58" s="17"/>
      <c r="K58" s="15"/>
      <c r="L58" s="15"/>
      <c r="M58" s="15"/>
      <c r="N58" s="15"/>
      <c r="O58" s="15"/>
      <c r="P58" s="15"/>
    </row>
    <row r="59" spans="1:16" s="46" customFormat="1" x14ac:dyDescent="0.3">
      <c r="A59" s="42" t="s">
        <v>65</v>
      </c>
      <c r="B59" s="42" t="s">
        <v>15</v>
      </c>
      <c r="C59" s="42"/>
      <c r="D59" s="43">
        <f>'Rel to Acc'!D59-$D$69</f>
        <v>4.3597300000000132</v>
      </c>
      <c r="E59" s="43">
        <f>'Rel to Acc'!E59-E$69</f>
        <v>6.3099999999991496E-3</v>
      </c>
      <c r="F59" s="43">
        <f>'data from JD'!F62+'data from JD'!P62/1000</f>
        <v>0</v>
      </c>
      <c r="G59" s="43">
        <f>'Rel to Acc'!G59-G$69</f>
        <v>3.0999999999892225E-4</v>
      </c>
      <c r="H59" s="43">
        <f>'data from JD'!L57+'data from JD'!R57</f>
        <v>-7.0190000000000002E-2</v>
      </c>
      <c r="I59" s="45">
        <v>4.1829999999999999E-2</v>
      </c>
      <c r="J59" s="45">
        <v>-1.49E-2</v>
      </c>
      <c r="K59" s="42"/>
      <c r="L59" s="42"/>
      <c r="M59" s="42"/>
      <c r="N59" s="42"/>
      <c r="O59" s="42"/>
      <c r="P59" s="42"/>
    </row>
    <row r="60" spans="1:16" s="46" customFormat="1" x14ac:dyDescent="0.3">
      <c r="A60" s="42" t="s">
        <v>66</v>
      </c>
      <c r="B60" s="42" t="s">
        <v>16</v>
      </c>
      <c r="C60" s="42"/>
      <c r="D60" s="43">
        <f>'Rel to Acc'!D60-$D$69</f>
        <v>4.1686000000000263</v>
      </c>
      <c r="E60" s="43">
        <f>'Rel to Acc'!E60-$E$69</f>
        <v>4.0999999999939973E-3</v>
      </c>
      <c r="F60" s="43">
        <f>'data from JD'!F63+'data from JD'!P63/1000</f>
        <v>0</v>
      </c>
      <c r="G60" s="43">
        <f>'Rel to Acc'!G60-$G$69</f>
        <v>2.582000000003859E-3</v>
      </c>
      <c r="H60" s="43">
        <f>'Rel to Acc'!H60</f>
        <v>6.7909999999999998E-2</v>
      </c>
      <c r="I60" s="43">
        <f>'Rel to Acc'!I60</f>
        <v>2.726E-2</v>
      </c>
      <c r="J60" s="43">
        <f>'Rel to Acc'!J60</f>
        <v>-0.185</v>
      </c>
      <c r="K60" s="42"/>
      <c r="L60" s="42"/>
      <c r="M60" s="42"/>
      <c r="N60" s="42"/>
      <c r="O60" s="42"/>
      <c r="P60" s="42"/>
    </row>
    <row r="61" spans="1:16" s="38" customFormat="1" x14ac:dyDescent="0.3">
      <c r="A61" s="37" t="s">
        <v>252</v>
      </c>
      <c r="B61" s="37"/>
      <c r="C61" s="37"/>
      <c r="D61" s="39">
        <f>'Rel to Acc'!D61-$D$69</f>
        <v>10.903759999999977</v>
      </c>
      <c r="E61" s="39">
        <f>'Rel to Acc'!E61-$E$69</f>
        <v>1.0000000003174137E-5</v>
      </c>
      <c r="F61" s="39">
        <f>'data from JD'!F64+'data from JD'!P64/1000</f>
        <v>0</v>
      </c>
      <c r="G61" s="39">
        <f>'Rel to Acc'!G61-$G$69</f>
        <v>1.2999999999863121E-4</v>
      </c>
      <c r="H61" s="39">
        <f>'Rel to Acc'!H61</f>
        <v>5.042E-2</v>
      </c>
      <c r="I61" s="39">
        <f>'Rel to Acc'!I61</f>
        <v>-1.6899999999999998E-2</v>
      </c>
      <c r="J61" s="39">
        <f>'Rel to Acc'!J61</f>
        <v>-1.9480000000000001E-2</v>
      </c>
      <c r="K61" s="37"/>
      <c r="L61" s="37"/>
      <c r="M61" s="37"/>
      <c r="N61" s="37"/>
      <c r="O61" s="37"/>
      <c r="P61" s="37"/>
    </row>
    <row r="62" spans="1:16" x14ac:dyDescent="0.3">
      <c r="A62" s="15" t="s">
        <v>258</v>
      </c>
      <c r="B62" s="15"/>
      <c r="D62" s="16">
        <f>'Rel to Acc'!D62-$D$69</f>
        <v>-400.02780000000001</v>
      </c>
      <c r="E62" s="16">
        <f>'Rel to Acc'!E62-$E$69</f>
        <v>-80.599699999999999</v>
      </c>
      <c r="F62" s="16">
        <f>'data from JD'!F65+'data from JD'!P65/1000</f>
        <v>0</v>
      </c>
      <c r="G62" s="16">
        <f>'Rel to Acc'!G62-$G$69</f>
        <v>-104.7</v>
      </c>
    </row>
    <row r="63" spans="1:16" s="46" customFormat="1" x14ac:dyDescent="0.3">
      <c r="A63" s="59" t="s">
        <v>260</v>
      </c>
      <c r="B63" s="60" t="s">
        <v>261</v>
      </c>
      <c r="D63" s="60">
        <f>'Rel to Acc'!D63-$D$69</f>
        <v>14.378999999999962</v>
      </c>
      <c r="E63" s="60">
        <f>'Rel to Acc'!E63-$E$69</f>
        <v>1.1000000000649379E-4</v>
      </c>
      <c r="F63" s="60">
        <f>'data from JD'!F66+'data from JD'!P66/1000</f>
        <v>0</v>
      </c>
      <c r="G63" s="60">
        <f>'Rel to Acc'!G63-$G$69</f>
        <v>3.2999999999105967E-4</v>
      </c>
      <c r="H63" s="59">
        <f>'Rel to Acc'!H63</f>
        <v>0.1168</v>
      </c>
      <c r="I63" s="59">
        <f>'Rel to Acc'!I63</f>
        <v>0.1065</v>
      </c>
      <c r="J63" s="59" t="str">
        <f>'Rel to Acc'!J63</f>
        <v xml:space="preserve"> </v>
      </c>
    </row>
    <row r="64" spans="1:16" s="38" customFormat="1" x14ac:dyDescent="0.3">
      <c r="A64" s="37" t="s">
        <v>262</v>
      </c>
      <c r="B64" s="39" t="s">
        <v>264</v>
      </c>
      <c r="C64" s="37"/>
      <c r="D64" s="39">
        <f>'Rel to Acc'!D64-$D$69</f>
        <v>3.9542599999999766</v>
      </c>
      <c r="E64" s="39">
        <f>'Rel to Acc'!E64-$E$69</f>
        <v>7.9800000000034288E-3</v>
      </c>
      <c r="F64" s="39">
        <f>'data from JD'!F67+'data from JD'!P67/1000</f>
        <v>0</v>
      </c>
      <c r="G64" s="39">
        <f>'Rel to Acc'!G64-$G$69</f>
        <v>-0.81810000000000116</v>
      </c>
      <c r="H64" s="37">
        <f>'Rel to Acc'!H64</f>
        <v>-0.1003</v>
      </c>
      <c r="I64" s="37">
        <f>'Rel to Acc'!I64</f>
        <v>-7.9100000000000004E-2</v>
      </c>
      <c r="J64" s="37">
        <f>'Rel to Acc'!J64</f>
        <v>3.8100000000000002E-2</v>
      </c>
    </row>
    <row r="65" spans="1:10" s="38" customFormat="1" x14ac:dyDescent="0.3">
      <c r="A65" s="37" t="s">
        <v>263</v>
      </c>
      <c r="B65" s="39" t="s">
        <v>265</v>
      </c>
      <c r="C65" s="37"/>
      <c r="D65" s="39">
        <f>'Rel to Acc'!D65-$D$69</f>
        <v>3.9547999999999774</v>
      </c>
      <c r="E65" s="39">
        <f>'Rel to Acc'!E65-$E$69</f>
        <v>8.6299999999965848E-3</v>
      </c>
      <c r="F65" s="39">
        <f>'data from JD'!F68+'data from JD'!P68/1000</f>
        <v>0</v>
      </c>
      <c r="G65" s="39">
        <f>'Rel to Acc'!G65-$G$69</f>
        <v>-0.30340999999999951</v>
      </c>
      <c r="H65" s="37">
        <f>'Rel to Acc'!H65</f>
        <v>-9.6299999999999997E-2</v>
      </c>
      <c r="I65" s="37">
        <f>'Rel to Acc'!I65</f>
        <v>-0.21429999999999999</v>
      </c>
      <c r="J65" s="37">
        <f>'Rel to Acc'!J65</f>
        <v>3.5499999999999997E-2</v>
      </c>
    </row>
    <row r="66" spans="1:10" s="38" customFormat="1" x14ac:dyDescent="0.3">
      <c r="A66" s="37" t="s">
        <v>285</v>
      </c>
      <c r="B66" s="39"/>
      <c r="C66" s="37"/>
      <c r="D66" s="39">
        <f>'Rel to Acc'!D66-$D$69</f>
        <v>3.920599999999979</v>
      </c>
      <c r="E66" s="39">
        <f>'Rel to Acc'!E66-$E$69</f>
        <v>-3.0120100000000036</v>
      </c>
      <c r="F66" s="39">
        <f>'data from JD'!F69+'data from JD'!P69/1000</f>
        <v>0</v>
      </c>
      <c r="G66" s="39">
        <f>'Rel to Acc'!G66-$G$69</f>
        <v>-0.30509999999999593</v>
      </c>
      <c r="H66" s="37">
        <f>'Rel to Acc'!H66</f>
        <v>-0.1641</v>
      </c>
      <c r="I66" s="37">
        <f>'Rel to Acc'!I66</f>
        <v>0.23799999999999999</v>
      </c>
      <c r="J66" s="37">
        <f>'Rel to Acc'!J66</f>
        <v>4.0599999999999997E-2</v>
      </c>
    </row>
    <row r="67" spans="1:10" s="33" customFormat="1" x14ac:dyDescent="0.3">
      <c r="A67" s="47"/>
      <c r="B67" s="24"/>
      <c r="D67" s="24"/>
      <c r="E67" s="24"/>
      <c r="F67" s="24"/>
      <c r="G67" s="24"/>
      <c r="H67" s="47"/>
      <c r="I67" s="47"/>
      <c r="J67" s="47"/>
    </row>
    <row r="68" spans="1:10" ht="15.6" x14ac:dyDescent="0.3">
      <c r="A68" s="10" t="s">
        <v>81</v>
      </c>
      <c r="D68" s="4">
        <f>'Rel to Acc'!D68</f>
        <v>398.13779999999997</v>
      </c>
      <c r="E68" s="4">
        <v>80.599999999999994</v>
      </c>
      <c r="G68" s="4">
        <v>104.7</v>
      </c>
    </row>
    <row r="69" spans="1:10" x14ac:dyDescent="0.3">
      <c r="B69" s="4" t="s">
        <v>87</v>
      </c>
      <c r="D69" s="4">
        <f>'Rel to Acc'!D41</f>
        <v>400.02780000000001</v>
      </c>
      <c r="E69" s="4">
        <f>'Rel to Acc'!E41</f>
        <v>80.599699999999999</v>
      </c>
      <c r="F69" s="4">
        <f>'Rel to Acc'!F41</f>
        <v>6.0598799999340072</v>
      </c>
      <c r="G69" s="4">
        <f>'Rel to Acc'!G41</f>
        <v>104.7</v>
      </c>
    </row>
    <row r="70" spans="1:10" s="38" customFormat="1" x14ac:dyDescent="0.3">
      <c r="A70" s="37" t="s">
        <v>287</v>
      </c>
    </row>
    <row r="71" spans="1:10" x14ac:dyDescent="0.3">
      <c r="A71" s="35" t="s">
        <v>46</v>
      </c>
    </row>
    <row r="72" spans="1:10" x14ac:dyDescent="0.3">
      <c r="A72" s="36" t="s">
        <v>46</v>
      </c>
      <c r="B72" s="50" t="s">
        <v>153</v>
      </c>
      <c r="C72" s="50"/>
      <c r="D72" s="50"/>
      <c r="E72" s="51">
        <f>D43-D42</f>
        <v>4.7959999999999923</v>
      </c>
    </row>
    <row r="73" spans="1:10" x14ac:dyDescent="0.3">
      <c r="A73" s="36" t="s">
        <v>269</v>
      </c>
    </row>
    <row r="74" spans="1:10" x14ac:dyDescent="0.3">
      <c r="A74" s="36" t="s">
        <v>46</v>
      </c>
    </row>
    <row r="75" spans="1:10" x14ac:dyDescent="0.3">
      <c r="A75" s="36" t="s">
        <v>266</v>
      </c>
    </row>
    <row r="76" spans="1:10" x14ac:dyDescent="0.3">
      <c r="A76" s="36" t="s">
        <v>46</v>
      </c>
    </row>
  </sheetData>
  <mergeCells count="2">
    <mergeCell ref="A2:D5"/>
    <mergeCell ref="L10:P10"/>
  </mergeCells>
  <pageMargins left="0.7" right="0.7" top="0.75" bottom="0.75" header="0.3" footer="0.3"/>
  <pageSetup paperSize="17" scale="8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89"/>
  <sheetViews>
    <sheetView topLeftCell="A25" workbookViewId="0">
      <selection activeCell="D49" sqref="D49"/>
    </sheetView>
  </sheetViews>
  <sheetFormatPr defaultRowHeight="14.4" x14ac:dyDescent="0.3"/>
  <cols>
    <col min="1" max="1" width="38" customWidth="1"/>
    <col min="2" max="2" width="12.5546875" customWidth="1"/>
    <col min="3" max="3" width="2" customWidth="1"/>
    <col min="4" max="4" width="10.6640625" bestFit="1" customWidth="1"/>
    <col min="5" max="5" width="10.33203125" style="4" customWidth="1"/>
    <col min="6" max="6" width="12.109375" style="4" customWidth="1"/>
    <col min="7" max="7" width="13.88671875" bestFit="1" customWidth="1"/>
    <col min="8" max="8" width="11.88671875" style="4" hidden="1" customWidth="1"/>
    <col min="9" max="10" width="11.88671875" style="4" customWidth="1"/>
    <col min="11" max="11" width="11.109375" customWidth="1"/>
    <col min="13" max="13" width="3.44140625" customWidth="1"/>
    <col min="16" max="16" width="13" customWidth="1"/>
    <col min="17" max="17" width="3.88671875" customWidth="1"/>
    <col min="21" max="21" width="2.109375" customWidth="1"/>
  </cols>
  <sheetData>
    <row r="1" spans="1:26" s="4" customFormat="1" ht="15" x14ac:dyDescent="0.25">
      <c r="A1" s="4" t="s">
        <v>189</v>
      </c>
    </row>
    <row r="2" spans="1:26" s="4" customFormat="1" x14ac:dyDescent="0.3">
      <c r="A2" s="61" t="s">
        <v>67</v>
      </c>
      <c r="B2" s="61"/>
      <c r="C2" s="61"/>
      <c r="D2" s="61"/>
      <c r="E2" s="8"/>
      <c r="F2" s="8"/>
    </row>
    <row r="3" spans="1:26" s="4" customFormat="1" x14ac:dyDescent="0.3">
      <c r="A3" s="61"/>
      <c r="B3" s="61"/>
      <c r="C3" s="61"/>
      <c r="D3" s="61"/>
      <c r="E3" s="8"/>
      <c r="F3" s="8"/>
    </row>
    <row r="4" spans="1:26" s="4" customFormat="1" x14ac:dyDescent="0.3">
      <c r="A4" s="61"/>
      <c r="B4" s="61"/>
      <c r="C4" s="61"/>
      <c r="D4" s="61"/>
      <c r="E4" s="8"/>
      <c r="F4" s="8"/>
      <c r="K4" s="4">
        <f>SIN(-0.0852*3.1416/180)</f>
        <v>-1.4870234519721423E-3</v>
      </c>
    </row>
    <row r="5" spans="1:26" s="4" customFormat="1" x14ac:dyDescent="0.3">
      <c r="A5" s="62"/>
      <c r="B5" s="62"/>
      <c r="C5" s="62"/>
      <c r="D5" s="62"/>
      <c r="E5" s="9"/>
      <c r="F5" s="9"/>
    </row>
    <row r="6" spans="1:26" s="4" customFormat="1" ht="15" x14ac:dyDescent="0.25"/>
    <row r="7" spans="1:26" s="4" customFormat="1" ht="15" x14ac:dyDescent="0.25"/>
    <row r="8" spans="1:26" s="4" customFormat="1" ht="15" x14ac:dyDescent="0.25">
      <c r="I8" s="4">
        <v>398.43376000000001</v>
      </c>
    </row>
    <row r="10" spans="1:26" ht="15" x14ac:dyDescent="0.25">
      <c r="A10" s="5" t="s">
        <v>29</v>
      </c>
      <c r="B10" s="6" t="s">
        <v>30</v>
      </c>
      <c r="C10" s="6"/>
      <c r="D10" s="6" t="s">
        <v>47</v>
      </c>
      <c r="E10" s="6"/>
      <c r="F10" s="6"/>
      <c r="G10" s="6"/>
      <c r="H10" s="6"/>
      <c r="I10" s="6"/>
      <c r="J10" s="6"/>
      <c r="K10" s="6"/>
      <c r="L10" s="6"/>
      <c r="M10" s="6"/>
      <c r="N10" s="6" t="s">
        <v>71</v>
      </c>
      <c r="O10" s="6"/>
      <c r="P10" s="6"/>
      <c r="Q10" s="6"/>
      <c r="R10" s="64" t="s">
        <v>36</v>
      </c>
      <c r="S10" s="64"/>
      <c r="T10" s="64"/>
      <c r="U10" s="6"/>
      <c r="V10" s="64" t="s">
        <v>48</v>
      </c>
      <c r="W10" s="64"/>
      <c r="X10" s="64"/>
      <c r="Y10" s="64"/>
      <c r="Z10" s="64"/>
    </row>
    <row r="11" spans="1:26" ht="15" x14ac:dyDescent="0.25">
      <c r="D11" s="6" t="s">
        <v>31</v>
      </c>
      <c r="E11" s="6" t="s">
        <v>82</v>
      </c>
      <c r="F11" s="6" t="s">
        <v>83</v>
      </c>
      <c r="G11" s="6" t="s">
        <v>13</v>
      </c>
      <c r="H11" s="6"/>
      <c r="I11" s="6"/>
      <c r="J11" s="6"/>
      <c r="K11" s="6" t="s">
        <v>14</v>
      </c>
      <c r="L11" s="6" t="s">
        <v>35</v>
      </c>
      <c r="M11" s="6"/>
      <c r="N11" s="6" t="s">
        <v>68</v>
      </c>
      <c r="O11" s="6" t="s">
        <v>69</v>
      </c>
      <c r="P11" s="6" t="s">
        <v>70</v>
      </c>
      <c r="Q11" s="6"/>
      <c r="R11" s="6" t="s">
        <v>32</v>
      </c>
      <c r="S11" s="6" t="s">
        <v>33</v>
      </c>
      <c r="T11" s="6" t="s">
        <v>34</v>
      </c>
      <c r="U11" s="6"/>
      <c r="V11" s="6" t="s">
        <v>37</v>
      </c>
      <c r="W11" s="6" t="s">
        <v>38</v>
      </c>
      <c r="X11" s="6" t="s">
        <v>39</v>
      </c>
      <c r="Y11" s="6" t="s">
        <v>40</v>
      </c>
      <c r="Z11" s="6" t="s">
        <v>41</v>
      </c>
    </row>
    <row r="12" spans="1:26" ht="15" x14ac:dyDescent="0.25">
      <c r="A12" t="s">
        <v>49</v>
      </c>
      <c r="B12" t="s">
        <v>0</v>
      </c>
      <c r="D12" s="2">
        <v>283.50434999999999</v>
      </c>
      <c r="E12" s="2"/>
      <c r="F12" s="2"/>
      <c r="G12" s="2">
        <v>80.599999999999994</v>
      </c>
      <c r="H12" s="2"/>
      <c r="I12" s="2"/>
      <c r="J12" s="2"/>
      <c r="K12" s="2">
        <v>104.7</v>
      </c>
      <c r="L12" s="3">
        <v>0</v>
      </c>
      <c r="N12" s="1">
        <v>9.69</v>
      </c>
      <c r="O12" s="1">
        <v>-0.09</v>
      </c>
      <c r="P12" s="1">
        <v>0.184</v>
      </c>
      <c r="R12" s="3">
        <v>-3.4399999999999999E-3</v>
      </c>
      <c r="S12" s="3">
        <v>-8.0199999999999994E-3</v>
      </c>
      <c r="T12" s="3">
        <v>2.0049999999999998E-2</v>
      </c>
    </row>
    <row r="13" spans="1:26" ht="15" x14ac:dyDescent="0.25">
      <c r="A13" t="s">
        <v>50</v>
      </c>
      <c r="B13" t="s">
        <v>24</v>
      </c>
      <c r="D13" s="2">
        <v>297.81905</v>
      </c>
      <c r="E13" s="2"/>
      <c r="F13" s="2"/>
      <c r="G13" s="2">
        <v>80.599999999999994</v>
      </c>
      <c r="H13" s="2"/>
      <c r="I13" s="2"/>
      <c r="J13" s="2"/>
      <c r="K13" s="2">
        <v>104.7</v>
      </c>
      <c r="L13" s="3">
        <v>0</v>
      </c>
      <c r="N13" s="1">
        <v>-0.01</v>
      </c>
      <c r="O13" s="1">
        <v>0.02</v>
      </c>
      <c r="P13" s="1">
        <v>-8.9999999999999993E-3</v>
      </c>
      <c r="R13" s="3">
        <v>3.7200000000000002E-3</v>
      </c>
      <c r="S13" s="3">
        <v>2.0100000000000001E-3</v>
      </c>
      <c r="T13" s="3">
        <v>-1.0030000000000001E-2</v>
      </c>
    </row>
    <row r="14" spans="1:26" ht="15" x14ac:dyDescent="0.25">
      <c r="A14" t="s">
        <v>155</v>
      </c>
      <c r="B14" t="s">
        <v>1</v>
      </c>
      <c r="D14" s="2">
        <v>299.09267</v>
      </c>
      <c r="E14" s="2">
        <f>D62-99.04095</f>
        <v>299.09267</v>
      </c>
      <c r="F14" s="2">
        <f>(D14-E14)*1000</f>
        <v>0</v>
      </c>
      <c r="G14" s="2">
        <v>80.599999999999994</v>
      </c>
      <c r="H14" s="2"/>
      <c r="I14" s="2"/>
      <c r="J14" s="2"/>
      <c r="K14" s="2">
        <v>104.7</v>
      </c>
      <c r="L14" s="3">
        <v>0</v>
      </c>
      <c r="N14" s="1">
        <v>-0.16</v>
      </c>
      <c r="O14" s="1">
        <v>0.02</v>
      </c>
      <c r="P14" s="1">
        <v>-8.8999999999999996E-2</v>
      </c>
      <c r="R14" s="3">
        <v>2.7220000000000001E-2</v>
      </c>
      <c r="S14" s="3">
        <v>2.5799999999999998E-3</v>
      </c>
      <c r="T14" s="3">
        <v>3.7200000000000002E-3</v>
      </c>
      <c r="X14" t="s">
        <v>140</v>
      </c>
    </row>
    <row r="15" spans="1:26" s="4" customFormat="1" ht="15" x14ac:dyDescent="0.25">
      <c r="A15" s="4" t="s">
        <v>156</v>
      </c>
      <c r="D15" s="2"/>
      <c r="E15" s="2"/>
      <c r="F15" s="2"/>
      <c r="G15" s="2"/>
      <c r="H15" s="2"/>
      <c r="I15" s="2"/>
      <c r="J15" s="2"/>
      <c r="K15" s="2"/>
      <c r="L15" s="3"/>
      <c r="N15" s="1"/>
      <c r="O15" s="1"/>
      <c r="P15" s="1"/>
      <c r="R15" s="3"/>
      <c r="S15" s="3"/>
      <c r="T15" s="3"/>
    </row>
    <row r="16" spans="1:26" ht="15" x14ac:dyDescent="0.25">
      <c r="A16" t="s">
        <v>51</v>
      </c>
      <c r="B16" t="s">
        <v>12</v>
      </c>
      <c r="D16" s="2">
        <v>299.71429999999998</v>
      </c>
      <c r="E16" s="2">
        <f>D62-98.42566</f>
        <v>299.70796000000001</v>
      </c>
      <c r="F16" s="2">
        <f>(D16-E16)*1000</f>
        <v>6.3399999999660395</v>
      </c>
      <c r="G16" s="2">
        <v>80.599999999999994</v>
      </c>
      <c r="H16" s="2"/>
      <c r="I16" s="2"/>
      <c r="J16" s="2"/>
      <c r="K16" s="2">
        <v>104.7</v>
      </c>
      <c r="L16" s="3">
        <v>0</v>
      </c>
      <c r="N16" s="1">
        <v>0.12</v>
      </c>
      <c r="O16" s="1">
        <v>0.05</v>
      </c>
      <c r="P16" s="1">
        <v>-4.8000000000000001E-2</v>
      </c>
      <c r="R16" s="3">
        <v>4.3E-3</v>
      </c>
      <c r="S16" s="3">
        <v>2.836E-2</v>
      </c>
      <c r="T16" s="3">
        <v>-6.0200000000000002E-3</v>
      </c>
      <c r="V16" s="1">
        <v>5565.55</v>
      </c>
      <c r="W16" s="1">
        <v>10259.549999999999</v>
      </c>
      <c r="X16" s="1">
        <v>17143.525000000001</v>
      </c>
      <c r="Y16" s="1">
        <v>20945.125</v>
      </c>
      <c r="Z16" s="1">
        <v>24749.35</v>
      </c>
    </row>
    <row r="17" spans="1:26" s="4" customFormat="1" ht="15" x14ac:dyDescent="0.25">
      <c r="D17" s="2"/>
      <c r="E17" s="2"/>
      <c r="F17" s="2"/>
      <c r="G17" s="2"/>
      <c r="H17" s="2"/>
      <c r="I17" s="2"/>
      <c r="J17" s="2"/>
      <c r="K17" s="2"/>
      <c r="L17" s="3"/>
      <c r="N17" s="1"/>
      <c r="O17" s="1"/>
      <c r="P17" s="1"/>
      <c r="R17" s="3"/>
      <c r="S17" s="3"/>
      <c r="T17" s="3"/>
      <c r="V17" s="1"/>
      <c r="W17" s="1"/>
      <c r="X17" s="1"/>
      <c r="Y17" s="1"/>
      <c r="Z17" s="1"/>
    </row>
    <row r="18" spans="1:26" ht="15" x14ac:dyDescent="0.25">
      <c r="A18" t="s">
        <v>3</v>
      </c>
      <c r="B18" t="s">
        <v>2</v>
      </c>
      <c r="D18" s="2">
        <v>305.38864000000001</v>
      </c>
      <c r="E18" s="2">
        <f>D62-92.74441</f>
        <v>305.38920999999999</v>
      </c>
      <c r="F18" s="2">
        <f>(D18-E18)*1000</f>
        <v>-0.56999999998197382</v>
      </c>
      <c r="G18" s="2">
        <v>80.302049999999994</v>
      </c>
      <c r="H18" s="2"/>
      <c r="I18" s="2">
        <f>80.6-0.29789</f>
        <v>80.302109999999999</v>
      </c>
      <c r="J18" s="2">
        <f>G18-I18</f>
        <v>-6.0000000004833964E-5</v>
      </c>
      <c r="K18" s="2">
        <v>104.7</v>
      </c>
      <c r="L18" s="3">
        <v>-6.5</v>
      </c>
      <c r="N18" s="1">
        <v>-0.114</v>
      </c>
      <c r="O18" s="1">
        <v>5.5E-2</v>
      </c>
      <c r="P18" s="1">
        <v>-7.3999999999999996E-2</v>
      </c>
      <c r="R18" s="3">
        <v>-4.0000000000000002E-4</v>
      </c>
      <c r="S18" s="3">
        <v>3.4399999999999999E-3</v>
      </c>
      <c r="T18" s="3">
        <v>-8.5999999999999998E-4</v>
      </c>
    </row>
    <row r="19" spans="1:26" s="4" customFormat="1" ht="15" x14ac:dyDescent="0.25">
      <c r="D19" s="2"/>
      <c r="E19" s="2"/>
      <c r="F19" s="2"/>
      <c r="G19" s="2"/>
      <c r="H19" s="2"/>
      <c r="I19" s="2"/>
      <c r="J19" s="2"/>
      <c r="K19" s="2"/>
      <c r="L19" s="3"/>
      <c r="N19" s="1"/>
      <c r="O19" s="1"/>
      <c r="P19" s="1"/>
      <c r="R19" s="3"/>
      <c r="S19" s="3"/>
      <c r="T19" s="3"/>
    </row>
    <row r="20" spans="1:26" ht="15" x14ac:dyDescent="0.25">
      <c r="A20" t="s">
        <v>72</v>
      </c>
      <c r="B20" t="s">
        <v>4</v>
      </c>
      <c r="D20" s="2">
        <v>303.09960000000001</v>
      </c>
      <c r="E20" s="2"/>
      <c r="F20" s="2"/>
      <c r="G20" s="2">
        <v>79.718190000000007</v>
      </c>
      <c r="H20" s="2"/>
      <c r="I20" s="2"/>
      <c r="J20" s="2"/>
      <c r="K20" s="2">
        <v>104.77079999999999</v>
      </c>
      <c r="L20" s="3">
        <v>-8.0500000000000007</v>
      </c>
      <c r="N20" s="1">
        <v>0.1</v>
      </c>
      <c r="O20" s="1">
        <v>0</v>
      </c>
      <c r="P20" s="1">
        <v>-0.27500000000000002</v>
      </c>
      <c r="R20" s="3">
        <v>1.326291213E-2</v>
      </c>
      <c r="S20" s="3">
        <v>-6.6314559800000001E-3</v>
      </c>
      <c r="T20" s="3">
        <v>-5.600031506E-2</v>
      </c>
    </row>
    <row r="21" spans="1:26" ht="15" x14ac:dyDescent="0.25">
      <c r="A21" t="s">
        <v>73</v>
      </c>
      <c r="B21" t="s">
        <v>5</v>
      </c>
      <c r="D21" s="2">
        <v>304.38852000000003</v>
      </c>
      <c r="E21" s="2"/>
      <c r="F21" s="2"/>
      <c r="G21" s="2">
        <v>79.535889999999995</v>
      </c>
      <c r="H21" s="2"/>
      <c r="I21" s="2"/>
      <c r="J21" s="2"/>
      <c r="K21" s="2">
        <v>104.77079999999999</v>
      </c>
      <c r="L21" s="3">
        <v>-8.0500000000000007</v>
      </c>
      <c r="N21" s="1">
        <v>-0.2</v>
      </c>
      <c r="O21" s="1">
        <v>0.2</v>
      </c>
      <c r="P21" s="1">
        <v>-0.17499999999999999</v>
      </c>
      <c r="R21" s="3">
        <v>8.8761859199999998E-3</v>
      </c>
      <c r="S21" s="3">
        <v>-6.6571393899999996E-3</v>
      </c>
      <c r="T21" s="3">
        <v>-9.3333884859999994E-2</v>
      </c>
    </row>
    <row r="22" spans="1:26" ht="15" x14ac:dyDescent="0.25">
      <c r="A22" t="s">
        <v>74</v>
      </c>
      <c r="B22" t="s">
        <v>6</v>
      </c>
      <c r="D22" s="2">
        <v>305.66962000000001</v>
      </c>
      <c r="E22" s="2"/>
      <c r="F22" s="2"/>
      <c r="G22" s="2">
        <v>79.354690000000005</v>
      </c>
      <c r="H22" s="2"/>
      <c r="I22" s="2"/>
      <c r="J22" s="2"/>
      <c r="K22" s="2">
        <v>104.77079999999999</v>
      </c>
      <c r="L22" s="3">
        <v>-8.0500000000000007</v>
      </c>
      <c r="N22" s="1">
        <v>0.4</v>
      </c>
      <c r="O22" s="1">
        <v>-0.2</v>
      </c>
      <c r="P22" s="1">
        <v>0</v>
      </c>
      <c r="R22" s="3">
        <v>0</v>
      </c>
      <c r="S22" s="3">
        <v>1.724045548E-2</v>
      </c>
      <c r="T22" s="3">
        <v>-3.7333541509999998E-2</v>
      </c>
    </row>
    <row r="23" spans="1:26" ht="15" x14ac:dyDescent="0.25">
      <c r="A23" t="s">
        <v>75</v>
      </c>
      <c r="B23" t="s">
        <v>7</v>
      </c>
      <c r="D23" s="2">
        <v>306.66052000000002</v>
      </c>
      <c r="E23" s="2"/>
      <c r="F23" s="2"/>
      <c r="G23" s="2">
        <v>79.214560000000006</v>
      </c>
      <c r="H23" s="2"/>
      <c r="I23" s="2"/>
      <c r="J23" s="2"/>
      <c r="K23" s="2">
        <v>104.77079999999999</v>
      </c>
      <c r="L23" s="3">
        <v>-8.0500000000000007</v>
      </c>
      <c r="N23" s="1">
        <v>-0.1</v>
      </c>
      <c r="O23" s="1">
        <v>0.2</v>
      </c>
      <c r="P23" s="1">
        <v>7.4999999999999997E-2</v>
      </c>
      <c r="R23" s="3">
        <v>0</v>
      </c>
      <c r="S23" s="3">
        <v>-1.361591731E-2</v>
      </c>
      <c r="T23" s="3">
        <v>-9.3333886869999994E-2</v>
      </c>
    </row>
    <row r="24" spans="1:26" ht="15" x14ac:dyDescent="0.25">
      <c r="A24" t="s">
        <v>76</v>
      </c>
      <c r="B24" t="s">
        <v>8</v>
      </c>
      <c r="D24" s="2">
        <v>307.70424000000003</v>
      </c>
      <c r="E24" s="2"/>
      <c r="F24" s="2"/>
      <c r="G24" s="2">
        <v>79.066929999999999</v>
      </c>
      <c r="H24" s="2"/>
      <c r="I24" s="2"/>
      <c r="J24" s="2"/>
      <c r="K24" s="2">
        <v>104.77079999999999</v>
      </c>
      <c r="L24" s="3">
        <v>-8.0500000000000007</v>
      </c>
      <c r="N24" s="1">
        <v>0.4</v>
      </c>
      <c r="O24" s="1">
        <v>0.1</v>
      </c>
      <c r="P24" s="1">
        <v>-0.22500000000000001</v>
      </c>
      <c r="R24" s="3">
        <v>5.49863544E-3</v>
      </c>
      <c r="S24" s="3">
        <v>1.374658831E-2</v>
      </c>
      <c r="T24" s="3">
        <v>-0.13066749717000001</v>
      </c>
    </row>
    <row r="25" spans="1:26" ht="15" x14ac:dyDescent="0.25">
      <c r="A25" t="s">
        <v>77</v>
      </c>
      <c r="B25" t="s">
        <v>9</v>
      </c>
      <c r="D25" s="2">
        <v>308.89909999999998</v>
      </c>
      <c r="E25" s="2"/>
      <c r="F25" s="2"/>
      <c r="G25" s="2">
        <v>78.897970000000001</v>
      </c>
      <c r="H25" s="2"/>
      <c r="I25" s="2"/>
      <c r="J25" s="2"/>
      <c r="K25" s="2">
        <v>104.77079999999999</v>
      </c>
      <c r="L25" s="3">
        <v>-8.0500000000000007</v>
      </c>
      <c r="N25" s="1">
        <v>0.3</v>
      </c>
      <c r="O25" s="1">
        <v>-0.1</v>
      </c>
      <c r="P25" s="1">
        <v>-0.5</v>
      </c>
      <c r="R25" s="3">
        <v>-1.432394746E-2</v>
      </c>
      <c r="S25" s="3">
        <v>3.3422539940000003E-2</v>
      </c>
      <c r="T25" s="3">
        <v>-0.11200070193</v>
      </c>
    </row>
    <row r="26" spans="1:26" ht="15" x14ac:dyDescent="0.25">
      <c r="A26" t="s">
        <v>78</v>
      </c>
      <c r="B26" t="s">
        <v>10</v>
      </c>
      <c r="D26" s="2">
        <v>310.14375000000001</v>
      </c>
      <c r="E26" s="2"/>
      <c r="F26" s="2"/>
      <c r="G26" s="2">
        <v>78.721919999999997</v>
      </c>
      <c r="H26" s="2"/>
      <c r="I26" s="2"/>
      <c r="J26" s="2"/>
      <c r="K26" s="2">
        <v>104.77079999999999</v>
      </c>
      <c r="L26" s="3">
        <v>-8.0500000000000007</v>
      </c>
      <c r="N26" s="1">
        <v>-0.3</v>
      </c>
      <c r="O26" s="1">
        <v>-0.1</v>
      </c>
      <c r="P26" s="1">
        <v>0.45</v>
      </c>
      <c r="R26" s="3">
        <v>-9.3850588999999998E-3</v>
      </c>
      <c r="S26" s="3">
        <v>-2.346264583E-2</v>
      </c>
      <c r="T26" s="3">
        <v>0.11200069226999999</v>
      </c>
    </row>
    <row r="27" spans="1:26" ht="15" x14ac:dyDescent="0.25">
      <c r="A27" t="s">
        <v>79</v>
      </c>
      <c r="B27" t="s">
        <v>11</v>
      </c>
      <c r="D27" s="2">
        <v>311.56473</v>
      </c>
      <c r="E27" s="2"/>
      <c r="F27" s="2"/>
      <c r="G27" s="2">
        <v>78.526039999999995</v>
      </c>
      <c r="H27" s="2"/>
      <c r="I27" s="2"/>
      <c r="J27" s="2"/>
      <c r="K27" s="2">
        <v>104.77079999999999</v>
      </c>
      <c r="L27" s="3">
        <v>-8.0500000000000007</v>
      </c>
      <c r="N27" s="1">
        <v>-0.2</v>
      </c>
      <c r="O27" s="1">
        <v>0.1</v>
      </c>
      <c r="P27" s="1">
        <v>0.125</v>
      </c>
      <c r="R27" s="3">
        <v>6.4377282999999999E-3</v>
      </c>
      <c r="S27" s="3">
        <v>-1.6094320299999999E-2</v>
      </c>
      <c r="T27" s="3">
        <v>1.8666769659999999E-2</v>
      </c>
    </row>
    <row r="28" spans="1:26" ht="15" x14ac:dyDescent="0.25">
      <c r="A28" t="s">
        <v>43</v>
      </c>
      <c r="B28" t="s">
        <v>42</v>
      </c>
      <c r="D28" s="2">
        <v>306.52355999999997</v>
      </c>
      <c r="E28" s="2">
        <v>306.52447000000001</v>
      </c>
      <c r="F28" s="2">
        <f>(D28-E28)*1000</f>
        <v>-0.91000000003305104</v>
      </c>
      <c r="G28">
        <v>79.433229999999995</v>
      </c>
      <c r="K28" s="2">
        <v>104.7</v>
      </c>
      <c r="L28" s="3">
        <v>-8.0500000000000007</v>
      </c>
      <c r="N28" s="1">
        <v>-0.378</v>
      </c>
      <c r="O28" s="1">
        <v>-0.114</v>
      </c>
      <c r="P28" s="1">
        <v>-3.6999999999999998E-2</v>
      </c>
      <c r="R28" s="3">
        <v>7.3699999999999998E-3</v>
      </c>
      <c r="S28" s="3">
        <v>2.8600000000000001E-3</v>
      </c>
      <c r="T28" s="3">
        <v>-4.0099999999999997E-3</v>
      </c>
    </row>
    <row r="29" spans="1:26" ht="15" x14ac:dyDescent="0.25">
      <c r="A29" t="s">
        <v>44</v>
      </c>
      <c r="D29" s="1">
        <v>374.27</v>
      </c>
      <c r="E29" s="1"/>
      <c r="F29" s="1"/>
      <c r="G29" s="7">
        <v>80.599999999999994</v>
      </c>
      <c r="H29" s="7"/>
      <c r="I29" s="7"/>
      <c r="J29" s="7"/>
      <c r="K29" s="7">
        <v>104.7</v>
      </c>
      <c r="L29" s="3">
        <v>0</v>
      </c>
      <c r="N29" s="1"/>
      <c r="O29" s="1">
        <v>0.71499999999999997</v>
      </c>
      <c r="P29" s="1">
        <v>0.47599999999999998</v>
      </c>
      <c r="R29" s="3"/>
      <c r="S29" s="3"/>
      <c r="T29" s="3"/>
    </row>
    <row r="30" spans="1:26" ht="15" x14ac:dyDescent="0.25">
      <c r="A30" t="s">
        <v>52</v>
      </c>
      <c r="B30" t="s">
        <v>25</v>
      </c>
      <c r="D30" s="2">
        <v>374.48532999999998</v>
      </c>
      <c r="E30" s="2">
        <f>D62-23.749+0.1016</f>
        <v>374.48622</v>
      </c>
      <c r="F30" s="2">
        <f>(D30-E30)*1000</f>
        <v>-0.89000000002670276</v>
      </c>
      <c r="G30" s="2">
        <v>80.599999999999994</v>
      </c>
      <c r="H30" s="2"/>
      <c r="I30" s="2"/>
      <c r="J30" s="2"/>
      <c r="K30" s="2">
        <v>104.7</v>
      </c>
      <c r="L30" s="3">
        <v>0</v>
      </c>
      <c r="N30" s="1">
        <v>-0.2</v>
      </c>
      <c r="O30" s="1">
        <v>0</v>
      </c>
      <c r="P30" s="1">
        <v>-4.3999999999999997E-2</v>
      </c>
      <c r="R30" s="3">
        <v>-2.5799999999999998E-3</v>
      </c>
      <c r="S30" s="3">
        <v>1.49E-2</v>
      </c>
      <c r="T30" s="3">
        <v>6.8799999999999998E-3</v>
      </c>
    </row>
    <row r="31" spans="1:26" ht="15" x14ac:dyDescent="0.25">
      <c r="A31" t="s">
        <v>53</v>
      </c>
      <c r="B31" t="s">
        <v>26</v>
      </c>
      <c r="D31" s="2">
        <v>380.37279999999998</v>
      </c>
      <c r="E31" s="2">
        <f>D62-18.01393+0.254</f>
        <v>380.37369000000001</v>
      </c>
      <c r="F31" s="2">
        <f>(D31-E31)*1000</f>
        <v>-0.89000000002670276</v>
      </c>
      <c r="G31" s="2">
        <v>80.599999999999994</v>
      </c>
      <c r="H31" s="2"/>
      <c r="I31" s="2"/>
      <c r="J31" s="2"/>
      <c r="K31" s="2">
        <v>104.7</v>
      </c>
      <c r="L31" s="3">
        <v>0</v>
      </c>
      <c r="N31" s="1">
        <v>-0.13600000000000001</v>
      </c>
      <c r="O31" s="1">
        <v>0.06</v>
      </c>
      <c r="P31" s="1">
        <v>4.8000000000000001E-2</v>
      </c>
      <c r="R31" s="3">
        <v>-2.0629999999999999E-2</v>
      </c>
      <c r="S31" s="3">
        <v>1.375E-2</v>
      </c>
      <c r="T31" s="3">
        <v>1.5469999999999999E-2</v>
      </c>
    </row>
    <row r="32" spans="1:26" ht="15" x14ac:dyDescent="0.25">
      <c r="A32" t="s">
        <v>54</v>
      </c>
      <c r="B32" t="s">
        <v>27</v>
      </c>
      <c r="D32" s="2">
        <v>376.78402999999997</v>
      </c>
      <c r="E32" s="2"/>
      <c r="F32" s="2"/>
      <c r="G32" s="2">
        <v>80.599999999999994</v>
      </c>
      <c r="H32" s="2"/>
      <c r="I32" s="2"/>
      <c r="J32" s="2"/>
      <c r="K32" s="2">
        <v>104.7</v>
      </c>
      <c r="L32" s="3">
        <v>0</v>
      </c>
      <c r="N32" s="1">
        <v>-0.02</v>
      </c>
      <c r="O32" s="1">
        <v>0.11</v>
      </c>
      <c r="P32" s="1">
        <v>-8.9999999999999993E-3</v>
      </c>
      <c r="R32" s="3">
        <v>-8.5999999999999998E-4</v>
      </c>
      <c r="S32" s="3">
        <v>3.15E-3</v>
      </c>
      <c r="T32" s="3">
        <v>2.8649999999999998E-2</v>
      </c>
    </row>
    <row r="33" spans="1:26" ht="15" x14ac:dyDescent="0.25">
      <c r="A33" s="4" t="s">
        <v>55</v>
      </c>
      <c r="B33" t="s">
        <v>28</v>
      </c>
      <c r="D33" s="2">
        <v>381.13911000000002</v>
      </c>
      <c r="E33" s="2"/>
      <c r="F33" s="2"/>
      <c r="G33" s="2">
        <v>80.599999999999994</v>
      </c>
      <c r="H33" s="2"/>
      <c r="I33" s="2"/>
      <c r="J33" s="2"/>
      <c r="K33" s="2">
        <v>104.7</v>
      </c>
      <c r="L33" s="3">
        <v>0</v>
      </c>
      <c r="N33" s="1">
        <v>0.22600000000000001</v>
      </c>
      <c r="O33" s="1">
        <v>0.01</v>
      </c>
      <c r="P33" s="1">
        <v>3.2000000000000001E-2</v>
      </c>
      <c r="R33" s="3">
        <v>-7.7299999999999999E-3</v>
      </c>
      <c r="S33" s="3">
        <v>2.034E-2</v>
      </c>
      <c r="T33" s="3">
        <v>-5.4400000000000004E-3</v>
      </c>
    </row>
    <row r="34" spans="1:26" s="4" customFormat="1" ht="15" x14ac:dyDescent="0.25">
      <c r="D34" s="2"/>
      <c r="E34" s="2"/>
      <c r="F34" s="2"/>
      <c r="G34" s="2"/>
      <c r="H34" s="2"/>
      <c r="I34" s="2"/>
      <c r="J34" s="2"/>
      <c r="K34" s="2"/>
      <c r="L34" s="3"/>
      <c r="N34" s="1"/>
      <c r="O34" s="1"/>
      <c r="P34" s="1"/>
      <c r="R34" s="3"/>
      <c r="S34" s="3"/>
      <c r="T34" s="3"/>
    </row>
    <row r="35" spans="1:26" ht="15" x14ac:dyDescent="0.25">
      <c r="A35" t="s">
        <v>56</v>
      </c>
      <c r="B35" t="s">
        <v>22</v>
      </c>
      <c r="D35" s="2">
        <v>385.23079999999999</v>
      </c>
      <c r="E35" s="2">
        <f>D62-12.9027</f>
        <v>385.23092000000003</v>
      </c>
      <c r="F35" s="2">
        <f>(D35-E35)*1000</f>
        <v>-0.12000000003808964</v>
      </c>
      <c r="G35" s="2">
        <v>80.599999999999994</v>
      </c>
      <c r="H35" s="2"/>
      <c r="I35" s="2"/>
      <c r="J35" s="2"/>
      <c r="K35" s="2">
        <v>104.7</v>
      </c>
      <c r="L35" s="3">
        <v>0</v>
      </c>
      <c r="N35" s="1">
        <v>-7.0000000000000007E-2</v>
      </c>
      <c r="O35" s="1">
        <v>0.04</v>
      </c>
      <c r="P35" s="1">
        <v>-2.4E-2</v>
      </c>
      <c r="R35" s="3">
        <v>-1.261E-2</v>
      </c>
      <c r="S35" s="3">
        <v>-2.2630000000000001E-2</v>
      </c>
      <c r="T35" s="3">
        <v>7.45E-3</v>
      </c>
      <c r="V35">
        <v>5270</v>
      </c>
      <c r="W35">
        <v>10002</v>
      </c>
      <c r="X35">
        <v>16845</v>
      </c>
      <c r="Y35">
        <v>20638</v>
      </c>
      <c r="Z35">
        <v>24431</v>
      </c>
    </row>
    <row r="36" spans="1:26" ht="15" x14ac:dyDescent="0.25">
      <c r="A36" t="s">
        <v>57</v>
      </c>
      <c r="B36" t="s">
        <v>21</v>
      </c>
      <c r="D36" s="2">
        <v>386.76163000000003</v>
      </c>
      <c r="E36" s="2">
        <f>D62-11.37217</f>
        <v>386.76145000000002</v>
      </c>
      <c r="F36" s="2">
        <f>(D36-E36)*1000</f>
        <v>0.18000000000029104</v>
      </c>
      <c r="G36" s="2">
        <v>80.599999999999994</v>
      </c>
      <c r="H36" s="2"/>
      <c r="I36" s="2"/>
      <c r="J36" s="2"/>
      <c r="K36" s="2">
        <v>104.7</v>
      </c>
      <c r="L36" s="3">
        <v>0</v>
      </c>
      <c r="N36" s="1">
        <v>5.61</v>
      </c>
      <c r="O36" s="1">
        <v>-0.04</v>
      </c>
      <c r="P36" s="1">
        <v>-8.6999999999999994E-2</v>
      </c>
      <c r="R36" s="3">
        <v>-1.15E-3</v>
      </c>
      <c r="S36" s="3">
        <v>8.5900000000000004E-3</v>
      </c>
      <c r="T36" s="3">
        <v>5.6999999999999998E-4</v>
      </c>
    </row>
    <row r="37" spans="1:26" ht="15" x14ac:dyDescent="0.25">
      <c r="A37" t="s">
        <v>58</v>
      </c>
      <c r="B37" t="s">
        <v>19</v>
      </c>
      <c r="D37" s="2">
        <v>389.64107999999999</v>
      </c>
      <c r="E37" s="2">
        <f>D62-8.492722</f>
        <v>389.64089799999999</v>
      </c>
      <c r="F37" s="2">
        <f>(D37-E37)*1000</f>
        <v>0.18199999999524152</v>
      </c>
      <c r="G37" s="2">
        <v>80.238079999999997</v>
      </c>
      <c r="H37" s="2">
        <f>80.6-0.235</f>
        <v>80.364999999999995</v>
      </c>
      <c r="I37" s="2">
        <f>80.6-0.235</f>
        <v>80.364999999999995</v>
      </c>
      <c r="J37" s="2">
        <f>(G37-I37)*1000</f>
        <v>-126.91999999999837</v>
      </c>
      <c r="K37" s="2">
        <v>104.7</v>
      </c>
      <c r="L37" s="3">
        <v>-4.7</v>
      </c>
      <c r="N37" s="1">
        <v>46.734999999999999</v>
      </c>
      <c r="O37" s="1">
        <v>0.51100000000000001</v>
      </c>
      <c r="P37" s="1">
        <v>-0.46800000000000003</v>
      </c>
      <c r="R37" s="3">
        <v>4.0419999999999998E-2</v>
      </c>
      <c r="S37" s="3">
        <v>8.0500000000000002E-2</v>
      </c>
      <c r="T37" s="3">
        <v>-0.15642</v>
      </c>
    </row>
    <row r="38" spans="1:26" x14ac:dyDescent="0.3">
      <c r="A38" t="s">
        <v>59</v>
      </c>
      <c r="B38" t="s">
        <v>20</v>
      </c>
      <c r="D38" s="2">
        <v>389.64107999999999</v>
      </c>
      <c r="E38" s="2">
        <f>D62-8.492722</f>
        <v>389.64089799999999</v>
      </c>
      <c r="F38" s="2">
        <f>(D38-E38)*1000</f>
        <v>0.18199999999524152</v>
      </c>
      <c r="G38" s="2">
        <v>80.961920000000006</v>
      </c>
      <c r="H38" s="2"/>
      <c r="I38" s="2"/>
      <c r="J38" s="2"/>
      <c r="K38" s="2">
        <v>104.7</v>
      </c>
      <c r="L38" s="3">
        <v>4.7</v>
      </c>
      <c r="N38" s="1">
        <v>46.072000000000003</v>
      </c>
      <c r="O38" s="1">
        <v>-1.7410000000000001</v>
      </c>
      <c r="P38" s="1">
        <v>-1.1870000000000001</v>
      </c>
      <c r="R38" s="3">
        <v>-0.12923000000000001</v>
      </c>
      <c r="S38" s="3">
        <v>-0.13464999999999999</v>
      </c>
      <c r="T38" s="3">
        <v>3.0939999999999999E-2</v>
      </c>
    </row>
    <row r="39" spans="1:26" x14ac:dyDescent="0.3">
      <c r="A39" s="4" t="s">
        <v>60</v>
      </c>
      <c r="B39" s="2">
        <f>D38+0.37538</f>
        <v>390.01646</v>
      </c>
      <c r="D39" s="3">
        <v>390.15062999999998</v>
      </c>
      <c r="E39" s="2">
        <f>E38+0.37538</f>
        <v>390.016278</v>
      </c>
      <c r="F39" s="2">
        <f>(B39-E39)*1000</f>
        <v>0.18199999999524152</v>
      </c>
      <c r="G39" s="2">
        <v>80.599999999999994</v>
      </c>
      <c r="H39" s="2"/>
      <c r="I39" s="2">
        <f>G39-0.266</f>
        <v>80.333999999999989</v>
      </c>
      <c r="J39" s="2">
        <f>(G39-I39)*1000</f>
        <v>266.00000000000534</v>
      </c>
      <c r="K39" s="2">
        <v>104.7</v>
      </c>
      <c r="L39" s="3">
        <v>-4.7</v>
      </c>
      <c r="N39" s="4">
        <v>5.44</v>
      </c>
      <c r="O39" s="4">
        <v>-272.39999999999998</v>
      </c>
      <c r="P39" s="4">
        <v>-0.32</v>
      </c>
      <c r="R39" s="3" t="s">
        <v>46</v>
      </c>
      <c r="S39" s="3"/>
      <c r="T39" s="3"/>
    </row>
    <row r="40" spans="1:26" x14ac:dyDescent="0.3">
      <c r="A40" s="4" t="s">
        <v>61</v>
      </c>
      <c r="B40" s="2">
        <f>B39</f>
        <v>390.01646</v>
      </c>
      <c r="D40" s="3">
        <v>390.15062999999998</v>
      </c>
      <c r="E40" s="2">
        <f>E39</f>
        <v>390.016278</v>
      </c>
      <c r="F40" s="2">
        <f>(B40-E40)*1000</f>
        <v>0.18199999999524152</v>
      </c>
      <c r="G40" s="2">
        <v>80.599999999999994</v>
      </c>
      <c r="H40" s="2"/>
      <c r="I40" s="2">
        <f>G40+0.266</f>
        <v>80.866</v>
      </c>
      <c r="J40" s="2">
        <f>(G40-I40)*1000</f>
        <v>-266.00000000000534</v>
      </c>
      <c r="K40" s="2">
        <v>104.7</v>
      </c>
      <c r="L40" s="3">
        <v>4.7</v>
      </c>
      <c r="N40" s="4">
        <v>5.64</v>
      </c>
      <c r="O40" s="4">
        <v>272.3</v>
      </c>
      <c r="P40" s="4">
        <v>0.08</v>
      </c>
      <c r="R40" s="3" t="s">
        <v>46</v>
      </c>
      <c r="S40" s="3"/>
      <c r="T40" s="3"/>
    </row>
    <row r="41" spans="1:26" x14ac:dyDescent="0.3">
      <c r="A41" t="s">
        <v>62</v>
      </c>
      <c r="B41" t="s">
        <v>23</v>
      </c>
      <c r="D41" s="2">
        <v>400.02967999999998</v>
      </c>
      <c r="E41" s="2">
        <f>D62-0.508+2.398</f>
        <v>400.02362000000005</v>
      </c>
      <c r="F41" s="2">
        <f>(D41-E41)*1000</f>
        <v>6.0599999999340071</v>
      </c>
      <c r="G41" s="2">
        <v>80.599999999999994</v>
      </c>
      <c r="H41" s="2"/>
      <c r="I41" s="2"/>
      <c r="J41" s="2"/>
      <c r="K41" s="2">
        <v>104.7</v>
      </c>
      <c r="L41" s="3">
        <v>0</v>
      </c>
      <c r="N41" s="1">
        <v>-1.1000000000000001</v>
      </c>
      <c r="O41" s="1">
        <v>-0.15</v>
      </c>
      <c r="P41" s="1">
        <v>-0.12</v>
      </c>
      <c r="R41" s="3">
        <v>1.7760000000000001E-2</v>
      </c>
      <c r="S41" s="3">
        <v>1.289E-2</v>
      </c>
      <c r="T41" s="3">
        <v>4.3E-3</v>
      </c>
    </row>
    <row r="42" spans="1:26" x14ac:dyDescent="0.3">
      <c r="A42" t="s">
        <v>63</v>
      </c>
      <c r="B42" t="s">
        <v>45</v>
      </c>
      <c r="D42" s="2">
        <v>400.25972999999999</v>
      </c>
      <c r="E42" s="2">
        <f>D62+0.17+1.95</f>
        <v>400.25362000000001</v>
      </c>
      <c r="F42" s="2">
        <f>(D42-E42)*1000</f>
        <v>6.1099999999782995</v>
      </c>
      <c r="G42" s="2">
        <v>80.599999999999994</v>
      </c>
      <c r="H42" s="2"/>
      <c r="I42" s="2"/>
      <c r="J42" s="2"/>
      <c r="K42" s="2">
        <v>104.7</v>
      </c>
      <c r="L42" s="3">
        <v>0</v>
      </c>
      <c r="N42">
        <v>-3.23</v>
      </c>
      <c r="O42">
        <v>1.03</v>
      </c>
      <c r="P42">
        <v>-0.98</v>
      </c>
      <c r="R42" s="3">
        <v>1.6330000000000001E-2</v>
      </c>
      <c r="S42" s="3">
        <v>4.24E-2</v>
      </c>
      <c r="T42" s="3">
        <v>4.5799999999999999E-3</v>
      </c>
    </row>
    <row r="43" spans="1:26" s="4" customFormat="1" x14ac:dyDescent="0.3">
      <c r="D43" s="2"/>
      <c r="E43" s="2"/>
      <c r="F43" s="2"/>
      <c r="G43" s="2"/>
      <c r="H43" s="2"/>
      <c r="I43" s="2"/>
      <c r="J43" s="2"/>
      <c r="K43" s="2"/>
      <c r="L43" s="3"/>
      <c r="R43" s="3"/>
      <c r="S43" s="3"/>
      <c r="T43" s="3"/>
    </row>
    <row r="44" spans="1:26" s="4" customFormat="1" x14ac:dyDescent="0.3">
      <c r="D44" s="2"/>
      <c r="E44" s="2"/>
      <c r="F44" s="2"/>
      <c r="G44" s="2"/>
      <c r="H44" s="2"/>
      <c r="I44" s="2"/>
      <c r="J44" s="2"/>
      <c r="K44" s="2"/>
      <c r="L44" s="3"/>
      <c r="R44" s="3"/>
      <c r="S44" s="3"/>
      <c r="T44" s="3"/>
    </row>
    <row r="45" spans="1:26" x14ac:dyDescent="0.3">
      <c r="A45" t="s">
        <v>150</v>
      </c>
      <c r="B45" t="s">
        <v>151</v>
      </c>
      <c r="D45" s="2">
        <v>398.78379999999999</v>
      </c>
      <c r="E45" s="2">
        <f>D62+0.65</f>
        <v>398.78361999999998</v>
      </c>
      <c r="F45" s="2">
        <f>(D45-E45)*1000</f>
        <v>0.18000000000029104</v>
      </c>
      <c r="G45" s="2">
        <v>80.599999999999994</v>
      </c>
      <c r="H45" s="2"/>
      <c r="I45" s="2"/>
      <c r="J45" s="2"/>
      <c r="K45" s="2">
        <v>104.7</v>
      </c>
      <c r="L45" s="3">
        <v>0</v>
      </c>
      <c r="N45" s="1">
        <v>-12.02</v>
      </c>
      <c r="O45" s="1">
        <v>0.08</v>
      </c>
      <c r="P45" s="1">
        <v>-0.08</v>
      </c>
      <c r="R45" s="3">
        <v>-7.6E-3</v>
      </c>
      <c r="S45" s="3">
        <v>-3.8E-3</v>
      </c>
      <c r="T45" s="3" t="s">
        <v>46</v>
      </c>
    </row>
    <row r="46" spans="1:26" s="4" customFormat="1" x14ac:dyDescent="0.3">
      <c r="D46" s="2"/>
      <c r="E46" s="2"/>
      <c r="F46" s="2"/>
      <c r="G46" s="2"/>
      <c r="H46" s="2"/>
      <c r="I46" s="2"/>
      <c r="J46" s="2"/>
      <c r="K46" s="2"/>
      <c r="L46" s="3"/>
      <c r="N46" s="1"/>
      <c r="O46" s="1"/>
      <c r="P46" s="1"/>
      <c r="R46" s="3"/>
      <c r="S46" s="3"/>
      <c r="T46" s="3"/>
    </row>
    <row r="47" spans="1:26" s="4" customFormat="1" x14ac:dyDescent="0.3">
      <c r="D47" s="2"/>
      <c r="E47" s="2"/>
      <c r="F47" s="2"/>
      <c r="G47" s="2"/>
      <c r="H47" s="2"/>
      <c r="I47" s="2"/>
      <c r="J47" s="2"/>
      <c r="K47" s="2"/>
      <c r="L47" s="3"/>
      <c r="N47" s="1"/>
      <c r="O47" s="1"/>
      <c r="P47" s="1"/>
      <c r="R47" s="3"/>
      <c r="S47" s="3"/>
      <c r="T47" s="3"/>
    </row>
    <row r="48" spans="1:26" s="4" customFormat="1" x14ac:dyDescent="0.3">
      <c r="A48" s="4" t="s">
        <v>152</v>
      </c>
      <c r="D48" s="2"/>
      <c r="E48" s="2"/>
      <c r="F48" s="2"/>
      <c r="G48" s="2"/>
      <c r="H48" s="2"/>
      <c r="I48" s="2"/>
      <c r="J48" s="2"/>
      <c r="K48" s="2"/>
      <c r="L48" s="3"/>
      <c r="N48" s="1"/>
      <c r="O48" s="1"/>
      <c r="P48" s="1"/>
      <c r="R48" s="3"/>
      <c r="S48" s="3"/>
      <c r="T48" s="3"/>
    </row>
    <row r="49" spans="1:23" x14ac:dyDescent="0.3">
      <c r="A49" t="s">
        <v>80</v>
      </c>
      <c r="B49" t="s">
        <v>18</v>
      </c>
      <c r="C49" s="2" t="s">
        <v>46</v>
      </c>
      <c r="D49" s="4">
        <v>398.43376000000001</v>
      </c>
      <c r="E49" s="4">
        <v>398.43376000000001</v>
      </c>
      <c r="F49" s="2">
        <f>(D49-E49)*1000</f>
        <v>0</v>
      </c>
      <c r="G49" s="2">
        <v>80.599999999999994</v>
      </c>
      <c r="H49" s="2"/>
      <c r="I49" s="2"/>
      <c r="J49" s="2"/>
      <c r="K49" s="2">
        <v>104.7</v>
      </c>
      <c r="L49" s="3">
        <v>0</v>
      </c>
      <c r="N49" s="1">
        <v>-11.93</v>
      </c>
      <c r="O49" s="1">
        <v>0.3</v>
      </c>
      <c r="P49" s="1">
        <v>1.23</v>
      </c>
      <c r="R49" s="3"/>
      <c r="S49" s="3"/>
      <c r="T49" s="3"/>
    </row>
    <row r="50" spans="1:23" s="4" customFormat="1" x14ac:dyDescent="0.3">
      <c r="A50" s="4" t="s">
        <v>90</v>
      </c>
      <c r="C50" s="2"/>
      <c r="D50" s="2">
        <f>D49+0.0873</f>
        <v>398.52106000000003</v>
      </c>
      <c r="E50" s="2"/>
      <c r="F50" s="2"/>
      <c r="G50" s="2">
        <v>80.599999999999994</v>
      </c>
      <c r="H50" s="2"/>
      <c r="I50" s="2"/>
      <c r="J50" s="2"/>
      <c r="K50" s="2">
        <v>104.7</v>
      </c>
      <c r="L50" s="3">
        <v>0</v>
      </c>
      <c r="N50" s="1">
        <f>N49</f>
        <v>-11.93</v>
      </c>
      <c r="O50" s="1">
        <f>O49-1000*(D50-D49)*TAN(R49*3.1415/180)</f>
        <v>0.3</v>
      </c>
      <c r="P50" s="1">
        <f>P49-1000*(D50-D49)*ABS(TAN(S49*3.1415/180))</f>
        <v>1.23</v>
      </c>
      <c r="R50" s="3"/>
      <c r="S50" s="3"/>
      <c r="T50" s="3"/>
    </row>
    <row r="51" spans="1:23" s="4" customFormat="1" x14ac:dyDescent="0.3">
      <c r="A51" s="4" t="s">
        <v>91</v>
      </c>
      <c r="C51" s="2"/>
      <c r="D51" s="2">
        <f>D49+0.67419</f>
        <v>399.10795000000002</v>
      </c>
      <c r="E51" s="2"/>
      <c r="F51" s="2"/>
      <c r="G51" s="2">
        <v>80.599999999999994</v>
      </c>
      <c r="H51" s="2"/>
      <c r="I51" s="2"/>
      <c r="J51" s="2"/>
      <c r="K51" s="2">
        <v>104.7</v>
      </c>
      <c r="L51" s="3">
        <v>0</v>
      </c>
      <c r="N51" s="1">
        <v>-13.07</v>
      </c>
      <c r="O51" s="1">
        <v>1.38</v>
      </c>
      <c r="P51" s="1">
        <v>-0.44</v>
      </c>
      <c r="R51" s="3"/>
      <c r="S51" s="3"/>
      <c r="T51" s="3"/>
    </row>
    <row r="52" spans="1:23" s="4" customFormat="1" x14ac:dyDescent="0.3">
      <c r="A52" s="4" t="s">
        <v>111</v>
      </c>
      <c r="D52" s="12">
        <v>399.95573000000002</v>
      </c>
      <c r="E52" s="2">
        <f>D62+1.744+0.06879</f>
        <v>399.94641000000001</v>
      </c>
      <c r="F52" s="2">
        <f>(D52-E52)*1000</f>
        <v>9.3200000000024374</v>
      </c>
      <c r="G52" s="2">
        <v>80.599999999999994</v>
      </c>
      <c r="H52" s="2"/>
      <c r="I52" s="2"/>
      <c r="J52" s="2"/>
      <c r="K52" s="2">
        <v>104.7</v>
      </c>
      <c r="L52" s="3"/>
      <c r="N52" s="1">
        <v>5.41</v>
      </c>
      <c r="O52" s="1">
        <v>-0.9</v>
      </c>
      <c r="P52" s="1">
        <v>0.32900000000000001</v>
      </c>
      <c r="R52" s="3">
        <v>1.6E-2</v>
      </c>
      <c r="S52" s="3">
        <v>-4.9000000000000002E-2</v>
      </c>
      <c r="T52" s="3">
        <v>8.7999999999999995E-2</v>
      </c>
      <c r="V52" s="4">
        <v>144.26</v>
      </c>
    </row>
    <row r="53" spans="1:23" s="4" customFormat="1" ht="15.6" x14ac:dyDescent="0.3">
      <c r="A53" s="4" t="s">
        <v>112</v>
      </c>
      <c r="D53" s="12">
        <v>400.54144000000002</v>
      </c>
      <c r="E53" s="2"/>
      <c r="F53" s="2"/>
      <c r="G53" s="2">
        <v>80.599999999999994</v>
      </c>
      <c r="H53" s="2"/>
      <c r="I53" s="2"/>
      <c r="J53" s="2"/>
      <c r="K53" s="2">
        <v>104.7</v>
      </c>
      <c r="L53" s="3"/>
      <c r="N53" s="1">
        <v>5.4</v>
      </c>
      <c r="O53" s="1">
        <v>-0.69</v>
      </c>
      <c r="P53" s="1">
        <v>-5.8000000000000003E-2</v>
      </c>
      <c r="R53" s="3">
        <v>2.3E-2</v>
      </c>
      <c r="S53" s="3">
        <v>-3.5000000000000003E-2</v>
      </c>
      <c r="T53" s="3">
        <v>8.9999999999999993E-3</v>
      </c>
      <c r="V53" s="11">
        <v>144.91999999999999</v>
      </c>
    </row>
    <row r="54" spans="1:23" s="4" customFormat="1" x14ac:dyDescent="0.3">
      <c r="A54" s="4" t="s">
        <v>113</v>
      </c>
      <c r="D54" s="12">
        <v>401.12732999999997</v>
      </c>
      <c r="E54" s="2"/>
      <c r="F54" s="2"/>
      <c r="G54" s="2">
        <v>80.599999999999994</v>
      </c>
      <c r="H54" s="2"/>
      <c r="I54" s="2"/>
      <c r="J54" s="2"/>
      <c r="K54" s="2">
        <v>104.7</v>
      </c>
      <c r="L54" s="3"/>
      <c r="N54" s="1">
        <v>5.4</v>
      </c>
      <c r="O54" s="1">
        <v>0.01</v>
      </c>
      <c r="P54" s="1">
        <v>-0.32500000000000001</v>
      </c>
      <c r="R54" s="3">
        <v>2.9000000000000001E-2</v>
      </c>
      <c r="S54" s="3">
        <v>-6.8000000000000005E-2</v>
      </c>
      <c r="T54" s="3">
        <v>0.03</v>
      </c>
      <c r="V54" s="4">
        <v>144.46</v>
      </c>
    </row>
    <row r="55" spans="1:23" s="4" customFormat="1" x14ac:dyDescent="0.3">
      <c r="A55" s="4" t="s">
        <v>114</v>
      </c>
      <c r="D55" s="12">
        <v>401.51407999999998</v>
      </c>
      <c r="E55" s="2">
        <f>D62+3.4408-0.06879</f>
        <v>401.50563000000005</v>
      </c>
      <c r="F55" s="2">
        <f>(D55-E55)*1000</f>
        <v>8.4499999999252395</v>
      </c>
      <c r="G55" s="2">
        <v>80.599999999999994</v>
      </c>
      <c r="H55" s="2"/>
      <c r="I55" s="2"/>
      <c r="J55" s="2"/>
      <c r="K55" s="2">
        <v>104.7</v>
      </c>
      <c r="L55" s="3"/>
      <c r="N55" s="1">
        <v>5.4</v>
      </c>
      <c r="O55" s="1">
        <v>0.18</v>
      </c>
      <c r="P55" s="1">
        <v>0.23100000000000001</v>
      </c>
      <c r="R55" s="3">
        <v>-2E-3</v>
      </c>
      <c r="S55" s="3">
        <v>0.11</v>
      </c>
      <c r="T55" s="3">
        <v>7.0000000000000001E-3</v>
      </c>
      <c r="V55" s="4">
        <v>144.44</v>
      </c>
    </row>
    <row r="56" spans="1:23" x14ac:dyDescent="0.3">
      <c r="A56" t="s">
        <v>64</v>
      </c>
      <c r="B56" t="s">
        <v>17</v>
      </c>
      <c r="D56" s="2">
        <v>399.06002999999998</v>
      </c>
      <c r="E56" s="2">
        <f>D62+0.17+0.75</f>
        <v>399.05362000000002</v>
      </c>
      <c r="F56" s="2">
        <f>(D56-E56)*1000</f>
        <v>6.4099999999598367</v>
      </c>
      <c r="G56" s="2">
        <v>80.599999999999994</v>
      </c>
      <c r="H56" s="2"/>
      <c r="I56" s="2"/>
      <c r="J56" s="2"/>
      <c r="K56" s="2">
        <v>104.7</v>
      </c>
      <c r="L56" s="3">
        <v>0</v>
      </c>
      <c r="N56" s="1">
        <v>-0.24</v>
      </c>
      <c r="O56" s="1">
        <v>0.03</v>
      </c>
      <c r="P56" s="1">
        <v>-0.32</v>
      </c>
      <c r="R56" s="3"/>
      <c r="S56" s="3"/>
      <c r="T56" s="3"/>
    </row>
    <row r="57" spans="1:23" x14ac:dyDescent="0.3">
      <c r="A57" t="s">
        <v>65</v>
      </c>
      <c r="B57" t="s">
        <v>15</v>
      </c>
      <c r="D57" s="2">
        <v>404.38679999999999</v>
      </c>
      <c r="E57" s="2">
        <f>D62+6.253</f>
        <v>404.38661999999999</v>
      </c>
      <c r="F57" s="2">
        <f>(D57-E57)*1000</f>
        <v>0.18000000000029104</v>
      </c>
      <c r="G57" s="2">
        <v>80.599999999999994</v>
      </c>
      <c r="H57" s="2"/>
      <c r="I57" s="2"/>
      <c r="J57" s="2"/>
      <c r="K57" s="2">
        <v>104.7</v>
      </c>
      <c r="L57" s="3">
        <v>0</v>
      </c>
      <c r="N57" s="1">
        <v>0.88</v>
      </c>
      <c r="O57" s="1">
        <v>5.29</v>
      </c>
      <c r="P57" s="1">
        <v>-2.1000000000000001E-2</v>
      </c>
      <c r="R57" s="3">
        <v>-7.0190000000000002E-2</v>
      </c>
      <c r="S57" s="3">
        <v>4.1829999999999999E-2</v>
      </c>
      <c r="T57" s="3">
        <v>-1.49E-2</v>
      </c>
    </row>
    <row r="58" spans="1:23" x14ac:dyDescent="0.3">
      <c r="A58" t="s">
        <v>66</v>
      </c>
      <c r="B58" t="s">
        <v>16</v>
      </c>
      <c r="D58" s="2">
        <v>404.18979999999999</v>
      </c>
      <c r="E58" s="2">
        <f>D62+6.056</f>
        <v>404.18961999999999</v>
      </c>
      <c r="F58" s="2">
        <f>(D58-E58)*1000</f>
        <v>0.18000000000029104</v>
      </c>
      <c r="G58" s="2">
        <v>80.599999999999994</v>
      </c>
      <c r="H58" s="2"/>
      <c r="I58" s="2"/>
      <c r="J58" s="2"/>
      <c r="K58" s="2">
        <v>104.7</v>
      </c>
      <c r="L58" s="3">
        <v>0</v>
      </c>
      <c r="N58" s="1">
        <v>6.75</v>
      </c>
      <c r="O58" s="1">
        <v>3.08</v>
      </c>
      <c r="P58" s="1">
        <v>2.2509999999999999</v>
      </c>
      <c r="R58" s="3">
        <v>4.6120000000000001E-2</v>
      </c>
      <c r="S58" s="3">
        <v>4.2689999999999999E-2</v>
      </c>
      <c r="T58" s="3">
        <v>-0.18134</v>
      </c>
    </row>
    <row r="59" spans="1:23" x14ac:dyDescent="0.3">
      <c r="V59">
        <f>AVERAGE(V52:V55)</f>
        <v>144.51999999999998</v>
      </c>
      <c r="W59" t="s">
        <v>133</v>
      </c>
    </row>
    <row r="60" spans="1:23" ht="15.6" x14ac:dyDescent="0.3">
      <c r="B60" s="4"/>
      <c r="C60" s="4"/>
      <c r="D60" s="10" t="s">
        <v>81</v>
      </c>
      <c r="E60" s="10"/>
      <c r="F60" s="10"/>
      <c r="G60" s="4"/>
      <c r="K60" s="4"/>
      <c r="L60" s="4"/>
      <c r="M60" s="4"/>
      <c r="N60" s="4"/>
      <c r="O60" s="4"/>
      <c r="P60" s="4"/>
      <c r="Q60" s="4"/>
      <c r="R60" s="4"/>
      <c r="V60">
        <v>137.58000000000001</v>
      </c>
      <c r="W60" t="s">
        <v>134</v>
      </c>
    </row>
    <row r="61" spans="1:23" x14ac:dyDescent="0.3">
      <c r="B61" s="4"/>
      <c r="C61" s="4"/>
      <c r="D61" s="4"/>
      <c r="G61" s="4"/>
      <c r="K61" s="4"/>
      <c r="L61" s="4"/>
      <c r="M61" s="4"/>
      <c r="N61" s="4"/>
      <c r="O61" s="4"/>
      <c r="P61" s="4"/>
      <c r="Q61" s="4"/>
      <c r="R61" s="4"/>
      <c r="V61">
        <f>V59-V60</f>
        <v>6.9399999999999693</v>
      </c>
      <c r="W61" t="s">
        <v>135</v>
      </c>
    </row>
    <row r="62" spans="1:23" x14ac:dyDescent="0.3">
      <c r="B62" s="4"/>
      <c r="C62" s="4"/>
      <c r="D62" s="4">
        <v>398.13362000000001</v>
      </c>
      <c r="G62" s="4">
        <v>80.599999999999994</v>
      </c>
      <c r="K62" s="4">
        <v>104.7</v>
      </c>
      <c r="L62" s="4"/>
      <c r="M62" s="4"/>
      <c r="N62" s="4"/>
      <c r="O62" s="4"/>
      <c r="P62" s="4"/>
      <c r="Q62" s="4"/>
      <c r="R62" s="4"/>
      <c r="S62" s="4"/>
    </row>
    <row r="63" spans="1:23" x14ac:dyDescent="0.3">
      <c r="B63" s="4"/>
      <c r="C63" s="4"/>
      <c r="D63" s="4"/>
      <c r="G63" s="4"/>
      <c r="K63" s="4"/>
      <c r="L63" s="4"/>
      <c r="M63" s="4"/>
      <c r="N63" s="4"/>
      <c r="O63" s="4"/>
      <c r="P63" s="4"/>
      <c r="Q63" s="4"/>
      <c r="R63" s="4"/>
      <c r="S63" s="4"/>
    </row>
    <row r="64" spans="1:23" x14ac:dyDescent="0.3">
      <c r="B64" s="4"/>
      <c r="C64" s="4"/>
      <c r="D64" s="4"/>
      <c r="G64" s="4"/>
      <c r="K64" s="4"/>
      <c r="L64" s="4"/>
      <c r="M64" s="4"/>
      <c r="N64" s="4"/>
      <c r="O64" s="4"/>
      <c r="P64" s="4"/>
      <c r="Q64" s="4"/>
      <c r="R64" s="4"/>
      <c r="S64" s="4"/>
    </row>
    <row r="65" spans="1:19" x14ac:dyDescent="0.3">
      <c r="B65" s="4"/>
      <c r="C65" s="4"/>
      <c r="D65" s="4"/>
      <c r="G65" s="4"/>
      <c r="K65" s="4"/>
      <c r="L65" s="4"/>
      <c r="M65" s="4"/>
      <c r="N65" s="4"/>
      <c r="O65" s="4"/>
      <c r="P65" s="4"/>
      <c r="Q65" s="4"/>
      <c r="R65" s="4"/>
      <c r="S65" s="4"/>
    </row>
    <row r="66" spans="1:19" x14ac:dyDescent="0.3">
      <c r="B66" s="4"/>
      <c r="C66" s="4"/>
      <c r="D66" s="4"/>
      <c r="G66" s="4"/>
      <c r="K66" s="4"/>
      <c r="L66" s="4"/>
      <c r="M66" s="4"/>
      <c r="N66" s="4"/>
      <c r="O66" s="4"/>
      <c r="P66" s="4"/>
      <c r="Q66" s="4"/>
      <c r="R66" s="4"/>
      <c r="S66" s="4"/>
    </row>
    <row r="67" spans="1:19" x14ac:dyDescent="0.3">
      <c r="A67" s="15" t="s">
        <v>171</v>
      </c>
      <c r="B67" s="4"/>
      <c r="C67" s="4"/>
      <c r="D67" s="4"/>
      <c r="G67" s="4"/>
      <c r="K67" s="4"/>
      <c r="L67" s="4"/>
      <c r="M67" s="4"/>
      <c r="N67" s="4"/>
      <c r="O67" s="4"/>
      <c r="P67" s="4"/>
      <c r="Q67" s="4"/>
      <c r="R67" s="4"/>
      <c r="S67" s="4"/>
    </row>
    <row r="68" spans="1:19" x14ac:dyDescent="0.3">
      <c r="B68" s="4"/>
      <c r="C68" s="4"/>
      <c r="D68" s="4"/>
      <c r="G68" s="4"/>
      <c r="K68" s="4"/>
      <c r="L68" s="4"/>
      <c r="M68" s="4"/>
      <c r="N68" s="4"/>
      <c r="O68" s="4"/>
      <c r="P68" s="4"/>
      <c r="Q68" s="4"/>
      <c r="R68" s="4"/>
      <c r="S68" s="4"/>
    </row>
    <row r="69" spans="1:19" x14ac:dyDescent="0.3">
      <c r="B69" s="4"/>
      <c r="C69" s="4"/>
      <c r="D69" s="4"/>
      <c r="G69" s="4"/>
      <c r="K69" s="4"/>
      <c r="L69" s="4"/>
      <c r="M69" s="4"/>
      <c r="N69" s="4"/>
      <c r="O69" s="4"/>
      <c r="P69" s="4"/>
      <c r="Q69" s="4"/>
      <c r="R69" s="4"/>
      <c r="S69" s="4"/>
    </row>
    <row r="70" spans="1:19" x14ac:dyDescent="0.3">
      <c r="B70" s="4"/>
      <c r="C70" s="4"/>
      <c r="D70" s="4"/>
      <c r="G70" s="4"/>
      <c r="K70" s="4"/>
      <c r="L70" s="4"/>
      <c r="M70" s="4"/>
      <c r="N70" s="4"/>
      <c r="O70" s="4"/>
      <c r="P70" s="4"/>
      <c r="Q70" s="4"/>
      <c r="R70" s="4"/>
      <c r="S70" s="4"/>
    </row>
    <row r="71" spans="1:19" x14ac:dyDescent="0.3">
      <c r="B71" s="4"/>
      <c r="C71" s="4"/>
      <c r="D71" s="4"/>
      <c r="G71" s="4"/>
      <c r="K71" s="4"/>
      <c r="L71" s="4"/>
      <c r="M71" s="4"/>
      <c r="N71" s="4"/>
      <c r="O71" s="4"/>
      <c r="P71" s="4"/>
      <c r="Q71" s="4"/>
      <c r="R71" s="4"/>
      <c r="S71" s="4"/>
    </row>
    <row r="72" spans="1:19" x14ac:dyDescent="0.3">
      <c r="S72" s="4"/>
    </row>
    <row r="73" spans="1:19" x14ac:dyDescent="0.3">
      <c r="B73" s="4"/>
      <c r="C73" s="4"/>
      <c r="D73" s="4"/>
      <c r="G73" s="4"/>
      <c r="K73" s="4"/>
      <c r="L73" s="4"/>
      <c r="M73" s="4"/>
      <c r="N73" s="4"/>
      <c r="O73" s="4"/>
      <c r="P73" s="4"/>
      <c r="Q73" s="4"/>
      <c r="R73" s="4"/>
      <c r="S73" s="4"/>
    </row>
    <row r="74" spans="1:19" x14ac:dyDescent="0.3">
      <c r="B74" s="4"/>
      <c r="C74" s="4"/>
      <c r="D74" s="4"/>
      <c r="G74" s="4"/>
      <c r="K74" s="4"/>
      <c r="L74" s="4"/>
      <c r="M74" s="4"/>
      <c r="N74" s="4"/>
      <c r="O74" s="4"/>
      <c r="P74" s="4"/>
      <c r="Q74" s="4"/>
      <c r="R74" s="4"/>
      <c r="S74" s="4"/>
    </row>
    <row r="75" spans="1:19" x14ac:dyDescent="0.3">
      <c r="B75" s="4"/>
      <c r="C75" s="4"/>
      <c r="D75" s="4"/>
      <c r="G75" s="4"/>
      <c r="K75" s="4"/>
      <c r="L75" s="4"/>
      <c r="M75" s="4"/>
      <c r="N75" s="4"/>
      <c r="O75" s="4"/>
      <c r="Q75" s="4"/>
      <c r="S75" s="4"/>
    </row>
    <row r="76" spans="1:19" x14ac:dyDescent="0.3">
      <c r="B76" s="4"/>
      <c r="C76" s="4"/>
      <c r="D76" s="4"/>
      <c r="G76" s="4"/>
      <c r="K76" s="4"/>
      <c r="L76" s="4"/>
      <c r="M76" s="4"/>
      <c r="N76" s="4"/>
      <c r="O76" s="4"/>
      <c r="P76" s="4"/>
      <c r="Q76" s="4"/>
      <c r="R76" s="4"/>
      <c r="S76" s="4"/>
    </row>
    <row r="77" spans="1:19" x14ac:dyDescent="0.3">
      <c r="B77" s="4"/>
      <c r="C77" s="4"/>
      <c r="D77" s="4"/>
      <c r="G77" s="4"/>
      <c r="K77" s="4"/>
      <c r="L77" s="4"/>
      <c r="M77" s="4"/>
      <c r="N77" s="4"/>
      <c r="O77" s="4"/>
      <c r="Q77" s="4"/>
      <c r="S77" s="4"/>
    </row>
    <row r="78" spans="1:19" x14ac:dyDescent="0.3">
      <c r="B78" s="4"/>
      <c r="C78" s="4"/>
      <c r="D78" s="4"/>
      <c r="G78" s="4"/>
      <c r="K78" s="4"/>
      <c r="L78" s="4"/>
      <c r="M78" s="4"/>
      <c r="N78" s="4"/>
      <c r="O78" s="4"/>
      <c r="P78" s="4"/>
      <c r="Q78" s="4"/>
      <c r="R78" s="4"/>
      <c r="S78" s="4"/>
    </row>
    <row r="79" spans="1:19" x14ac:dyDescent="0.3">
      <c r="B79" s="4"/>
      <c r="C79" s="4"/>
      <c r="D79" s="4"/>
      <c r="G79" s="4"/>
      <c r="K79" s="4"/>
      <c r="L79" s="4"/>
      <c r="M79" s="4"/>
      <c r="N79" s="4"/>
      <c r="O79" s="4"/>
      <c r="P79" s="4"/>
      <c r="Q79" s="4"/>
      <c r="R79" s="4"/>
      <c r="S79" s="4"/>
    </row>
    <row r="80" spans="1:19" x14ac:dyDescent="0.3">
      <c r="B80" s="4"/>
      <c r="C80" s="4"/>
      <c r="D80" s="4"/>
      <c r="G80" s="4"/>
      <c r="K80" s="4"/>
      <c r="L80" s="4"/>
      <c r="M80" s="4"/>
      <c r="N80" s="4"/>
      <c r="O80" s="4"/>
      <c r="P80" s="4"/>
      <c r="Q80" s="4"/>
      <c r="R80" s="4"/>
      <c r="S80" s="4"/>
    </row>
    <row r="81" spans="2:19" x14ac:dyDescent="0.3">
      <c r="B81" s="4"/>
      <c r="C81" s="4"/>
      <c r="D81" s="4"/>
      <c r="G81" s="4"/>
      <c r="K81" s="4"/>
      <c r="L81" s="4"/>
      <c r="M81" s="4"/>
      <c r="N81" s="4"/>
      <c r="O81" s="4"/>
      <c r="P81" s="4"/>
      <c r="R81" s="4"/>
      <c r="S81" s="4"/>
    </row>
    <row r="82" spans="2:19" x14ac:dyDescent="0.3">
      <c r="B82" s="4"/>
      <c r="C82" s="4"/>
      <c r="D82" s="4"/>
      <c r="G82" s="4"/>
      <c r="K82" s="4"/>
      <c r="L82" s="4"/>
      <c r="M82" s="4"/>
      <c r="N82" s="4"/>
      <c r="O82" s="4"/>
      <c r="P82" s="4"/>
      <c r="Q82" s="4"/>
      <c r="R82" s="4"/>
      <c r="S82" s="4"/>
    </row>
    <row r="83" spans="2:19" x14ac:dyDescent="0.3">
      <c r="B83" s="4"/>
      <c r="C83" s="4"/>
      <c r="D83" s="4"/>
      <c r="G83" s="4"/>
      <c r="K83" s="4"/>
      <c r="L83" s="4"/>
      <c r="M83" s="4"/>
      <c r="N83" s="4"/>
      <c r="O83" s="4"/>
      <c r="P83" s="4"/>
      <c r="Q83" s="4"/>
      <c r="R83" s="4"/>
      <c r="S83" s="4"/>
    </row>
    <row r="84" spans="2:19" x14ac:dyDescent="0.3">
      <c r="B84" s="4"/>
      <c r="C84" s="4"/>
      <c r="D84" s="4"/>
      <c r="G84" s="4"/>
      <c r="K84" s="4"/>
      <c r="L84" s="4"/>
      <c r="M84" s="4"/>
      <c r="N84" s="4"/>
      <c r="O84" s="4"/>
      <c r="P84" s="4"/>
      <c r="R84" s="4"/>
      <c r="S84" s="4"/>
    </row>
    <row r="85" spans="2:19" x14ac:dyDescent="0.3">
      <c r="S85" s="4"/>
    </row>
    <row r="86" spans="2:19" x14ac:dyDescent="0.3">
      <c r="S86" s="4"/>
    </row>
    <row r="87" spans="2:19" x14ac:dyDescent="0.3">
      <c r="B87" s="4"/>
      <c r="C87" s="4"/>
      <c r="D87" s="4"/>
      <c r="G87" s="4"/>
      <c r="K87" s="4"/>
      <c r="L87" s="4"/>
      <c r="M87" s="4"/>
      <c r="N87" s="4"/>
      <c r="O87" s="4"/>
      <c r="P87" s="4"/>
      <c r="Q87" s="4"/>
      <c r="R87" s="4"/>
      <c r="S87" s="4"/>
    </row>
    <row r="88" spans="2:19" x14ac:dyDescent="0.3">
      <c r="S88" s="4"/>
    </row>
    <row r="89" spans="2:19" x14ac:dyDescent="0.3">
      <c r="S89" s="4"/>
    </row>
  </sheetData>
  <mergeCells count="3">
    <mergeCell ref="R10:T10"/>
    <mergeCell ref="V10:Z10"/>
    <mergeCell ref="A2:D5"/>
  </mergeCells>
  <pageMargins left="0.7" right="0.7" top="0.75" bottom="0.75" header="0.3" footer="0.3"/>
  <pageSetup paperSize="17" scale="7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G49"/>
  <sheetViews>
    <sheetView topLeftCell="A40" zoomScale="200" zoomScaleNormal="200" workbookViewId="0">
      <selection activeCell="B49" sqref="B49"/>
    </sheetView>
  </sheetViews>
  <sheetFormatPr defaultRowHeight="14.4" x14ac:dyDescent="0.3"/>
  <sheetData>
    <row r="2" spans="1:7" x14ac:dyDescent="0.3">
      <c r="A2" s="61" t="s">
        <v>89</v>
      </c>
      <c r="B2" s="61"/>
      <c r="C2" s="61"/>
      <c r="D2" s="61"/>
      <c r="E2" s="62"/>
      <c r="F2" s="62"/>
      <c r="G2" s="62"/>
    </row>
    <row r="3" spans="1:7" x14ac:dyDescent="0.3">
      <c r="A3" s="61"/>
      <c r="B3" s="61"/>
      <c r="C3" s="61"/>
      <c r="D3" s="61"/>
      <c r="E3" s="62"/>
      <c r="F3" s="62"/>
      <c r="G3" s="62"/>
    </row>
    <row r="4" spans="1:7" x14ac:dyDescent="0.3">
      <c r="A4" s="61"/>
      <c r="B4" s="61"/>
      <c r="C4" s="61"/>
      <c r="D4" s="61"/>
      <c r="E4" s="62"/>
      <c r="F4" s="62"/>
      <c r="G4" s="62"/>
    </row>
    <row r="5" spans="1:7" x14ac:dyDescent="0.3">
      <c r="A5" s="62"/>
      <c r="B5" s="62"/>
      <c r="C5" s="62"/>
      <c r="D5" s="62"/>
      <c r="E5" s="62"/>
      <c r="F5" s="62"/>
      <c r="G5" s="62"/>
    </row>
    <row r="6" spans="1:7" x14ac:dyDescent="0.3">
      <c r="A6" s="62"/>
      <c r="B6" s="62"/>
      <c r="C6" s="62"/>
      <c r="D6" s="62"/>
      <c r="E6" s="62"/>
      <c r="F6" s="62"/>
      <c r="G6" s="62"/>
    </row>
    <row r="7" spans="1:7" x14ac:dyDescent="0.3">
      <c r="A7" s="62"/>
      <c r="B7" s="62"/>
      <c r="C7" s="62"/>
      <c r="D7" s="62"/>
      <c r="E7" s="62"/>
      <c r="F7" s="62"/>
      <c r="G7" s="62"/>
    </row>
    <row r="9" spans="1:7" ht="15" x14ac:dyDescent="0.25">
      <c r="A9" s="6" t="s">
        <v>146</v>
      </c>
    </row>
    <row r="11" spans="1:7" ht="15" x14ac:dyDescent="0.25">
      <c r="A11" s="4" t="s">
        <v>191</v>
      </c>
    </row>
    <row r="12" spans="1:7" s="4" customFormat="1" ht="15" x14ac:dyDescent="0.25">
      <c r="A12" s="4" t="s">
        <v>192</v>
      </c>
    </row>
    <row r="13" spans="1:7" ht="15" x14ac:dyDescent="0.25">
      <c r="A13" s="4" t="s">
        <v>94</v>
      </c>
    </row>
    <row r="14" spans="1:7" s="4" customFormat="1" ht="15" x14ac:dyDescent="0.25">
      <c r="A14" s="4" t="s">
        <v>166</v>
      </c>
    </row>
    <row r="15" spans="1:7" ht="15" x14ac:dyDescent="0.25">
      <c r="A15" s="4" t="s">
        <v>95</v>
      </c>
    </row>
    <row r="16" spans="1:7" s="4" customFormat="1" ht="15" x14ac:dyDescent="0.25">
      <c r="A16" s="4" t="s">
        <v>164</v>
      </c>
    </row>
    <row r="17" spans="1:1" ht="15" x14ac:dyDescent="0.25">
      <c r="A17" s="4" t="s">
        <v>96</v>
      </c>
    </row>
    <row r="18" spans="1:1" ht="15" x14ac:dyDescent="0.25">
      <c r="A18" s="4" t="s">
        <v>102</v>
      </c>
    </row>
    <row r="19" spans="1:1" ht="15" x14ac:dyDescent="0.25">
      <c r="A19" s="4" t="s">
        <v>97</v>
      </c>
    </row>
    <row r="20" spans="1:1" x14ac:dyDescent="0.3">
      <c r="A20" s="4" t="s">
        <v>98</v>
      </c>
    </row>
    <row r="21" spans="1:1" x14ac:dyDescent="0.3">
      <c r="A21" s="4" t="s">
        <v>99</v>
      </c>
    </row>
    <row r="22" spans="1:1" s="4" customFormat="1" x14ac:dyDescent="0.3">
      <c r="A22" s="4" t="s">
        <v>193</v>
      </c>
    </row>
    <row r="23" spans="1:1" x14ac:dyDescent="0.3">
      <c r="A23" s="4" t="s">
        <v>100</v>
      </c>
    </row>
    <row r="24" spans="1:1" x14ac:dyDescent="0.3">
      <c r="A24" s="4" t="s">
        <v>101</v>
      </c>
    </row>
    <row r="25" spans="1:1" x14ac:dyDescent="0.3">
      <c r="A25" s="4" t="s">
        <v>167</v>
      </c>
    </row>
    <row r="26" spans="1:1" x14ac:dyDescent="0.3">
      <c r="A26" s="4" t="s">
        <v>168</v>
      </c>
    </row>
    <row r="27" spans="1:1" x14ac:dyDescent="0.3">
      <c r="A27" s="4" t="s">
        <v>169</v>
      </c>
    </row>
    <row r="28" spans="1:1" x14ac:dyDescent="0.3">
      <c r="A28" s="4" t="s">
        <v>170</v>
      </c>
    </row>
    <row r="29" spans="1:1" x14ac:dyDescent="0.3">
      <c r="A29" s="4" t="s">
        <v>103</v>
      </c>
    </row>
    <row r="30" spans="1:1" x14ac:dyDescent="0.3">
      <c r="A30" s="4" t="s">
        <v>143</v>
      </c>
    </row>
    <row r="31" spans="1:1" x14ac:dyDescent="0.3">
      <c r="A31" s="4" t="s">
        <v>110</v>
      </c>
    </row>
    <row r="32" spans="1:1" x14ac:dyDescent="0.3">
      <c r="A32" s="4" t="s">
        <v>273</v>
      </c>
    </row>
    <row r="33" spans="1:1" x14ac:dyDescent="0.3">
      <c r="A33" s="4" t="s">
        <v>104</v>
      </c>
    </row>
    <row r="34" spans="1:1" x14ac:dyDescent="0.3">
      <c r="A34" s="4" t="s">
        <v>105</v>
      </c>
    </row>
    <row r="35" spans="1:1" x14ac:dyDescent="0.3">
      <c r="A35" s="4" t="s">
        <v>106</v>
      </c>
    </row>
    <row r="36" spans="1:1" s="4" customFormat="1" x14ac:dyDescent="0.3">
      <c r="A36" s="4" t="s">
        <v>136</v>
      </c>
    </row>
    <row r="37" spans="1:1" s="4" customFormat="1" x14ac:dyDescent="0.3">
      <c r="A37" s="4" t="s">
        <v>137</v>
      </c>
    </row>
    <row r="38" spans="1:1" s="4" customFormat="1" x14ac:dyDescent="0.3">
      <c r="A38" s="4" t="s">
        <v>138</v>
      </c>
    </row>
    <row r="39" spans="1:1" s="4" customFormat="1" x14ac:dyDescent="0.3">
      <c r="A39" s="4" t="s">
        <v>139</v>
      </c>
    </row>
    <row r="40" spans="1:1" x14ac:dyDescent="0.3">
      <c r="A40" s="4" t="s">
        <v>107</v>
      </c>
    </row>
    <row r="41" spans="1:1" x14ac:dyDescent="0.3">
      <c r="A41" s="4" t="s">
        <v>108</v>
      </c>
    </row>
    <row r="42" spans="1:1" x14ac:dyDescent="0.3">
      <c r="A42" s="4" t="s">
        <v>109</v>
      </c>
    </row>
    <row r="43" spans="1:1" x14ac:dyDescent="0.3">
      <c r="A43" s="4" t="s">
        <v>172</v>
      </c>
    </row>
    <row r="44" spans="1:1" x14ac:dyDescent="0.3">
      <c r="A44" t="s">
        <v>268</v>
      </c>
    </row>
    <row r="45" spans="1:1" x14ac:dyDescent="0.3">
      <c r="A45" t="s">
        <v>173</v>
      </c>
    </row>
    <row r="46" spans="1:1" x14ac:dyDescent="0.3">
      <c r="A46" t="s">
        <v>274</v>
      </c>
    </row>
    <row r="47" spans="1:1" x14ac:dyDescent="0.3">
      <c r="A47" t="s">
        <v>276</v>
      </c>
    </row>
    <row r="48" spans="1:1" x14ac:dyDescent="0.3">
      <c r="A48" t="s">
        <v>286</v>
      </c>
    </row>
    <row r="49" spans="1:1" x14ac:dyDescent="0.3">
      <c r="A49" t="s">
        <v>279</v>
      </c>
    </row>
  </sheetData>
  <mergeCells count="1">
    <mergeCell ref="A2:G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7" shapeId="2051" r:id="rId4">
          <objectPr defaultSize="0" r:id="rId5">
            <anchor moveWithCells="1">
              <from>
                <xdr:col>10</xdr:col>
                <xdr:colOff>365760</xdr:colOff>
                <xdr:row>0</xdr:row>
                <xdr:rowOff>38100</xdr:rowOff>
              </from>
              <to>
                <xdr:col>22</xdr:col>
                <xdr:colOff>594360</xdr:colOff>
                <xdr:row>30</xdr:row>
                <xdr:rowOff>152400</xdr:rowOff>
              </to>
            </anchor>
          </objectPr>
        </oleObject>
      </mc:Choice>
      <mc:Fallback>
        <oleObject progId="AcroExch.Document.7" shapeId="2051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workbookViewId="0">
      <selection activeCell="F6" sqref="F6"/>
    </sheetView>
  </sheetViews>
  <sheetFormatPr defaultRowHeight="14.4" x14ac:dyDescent="0.3"/>
  <sheetData>
    <row r="1" spans="1:7" x14ac:dyDescent="0.25">
      <c r="A1" t="s">
        <v>115</v>
      </c>
      <c r="C1" t="s">
        <v>127</v>
      </c>
    </row>
    <row r="3" spans="1:7" x14ac:dyDescent="0.25">
      <c r="B3" t="s">
        <v>126</v>
      </c>
      <c r="C3" t="s">
        <v>124</v>
      </c>
      <c r="D3" t="s">
        <v>125</v>
      </c>
    </row>
    <row r="4" spans="1:7" x14ac:dyDescent="0.25">
      <c r="A4" t="s">
        <v>116</v>
      </c>
      <c r="B4">
        <v>1.5799999999999999E-4</v>
      </c>
      <c r="C4">
        <v>2.2800000000000001E-4</v>
      </c>
      <c r="D4">
        <v>0</v>
      </c>
    </row>
    <row r="5" spans="1:7" x14ac:dyDescent="0.25">
      <c r="A5" t="s">
        <v>117</v>
      </c>
      <c r="B5">
        <v>6.6000000000000005E-5</v>
      </c>
      <c r="C5">
        <v>-1.5799999999999999E-4</v>
      </c>
      <c r="D5">
        <v>0.14426</v>
      </c>
      <c r="G5" t="s">
        <v>129</v>
      </c>
    </row>
    <row r="6" spans="1:7" x14ac:dyDescent="0.25">
      <c r="A6" t="s">
        <v>118</v>
      </c>
      <c r="B6">
        <v>-2.7599999999999999E-4</v>
      </c>
      <c r="C6">
        <v>-3.6999999999999998E-5</v>
      </c>
      <c r="D6">
        <v>0.58529299999999995</v>
      </c>
      <c r="F6">
        <f>D7-D6</f>
        <v>0.14492000000000005</v>
      </c>
      <c r="G6" t="s">
        <v>131</v>
      </c>
    </row>
    <row r="7" spans="1:7" x14ac:dyDescent="0.25">
      <c r="A7" t="s">
        <v>119</v>
      </c>
      <c r="B7">
        <v>-1.13E-4</v>
      </c>
      <c r="C7">
        <v>4.3000000000000002E-5</v>
      </c>
      <c r="D7">
        <v>0.730213</v>
      </c>
    </row>
    <row r="8" spans="1:7" x14ac:dyDescent="0.25">
      <c r="A8" t="s">
        <v>120</v>
      </c>
      <c r="B8">
        <v>-1.9999999999999999E-6</v>
      </c>
      <c r="C8">
        <v>-3.0600000000000001E-4</v>
      </c>
      <c r="D8">
        <v>1.1714709999999999</v>
      </c>
    </row>
    <row r="9" spans="1:7" x14ac:dyDescent="0.25">
      <c r="A9" t="s">
        <v>121</v>
      </c>
      <c r="B9">
        <v>7.1000000000000005E-5</v>
      </c>
      <c r="C9">
        <v>1.13E-4</v>
      </c>
      <c r="D9">
        <v>1.3159350000000001</v>
      </c>
      <c r="F9">
        <f>D9-D8</f>
        <v>0.14446400000000015</v>
      </c>
      <c r="G9" t="s">
        <v>130</v>
      </c>
    </row>
    <row r="10" spans="1:7" x14ac:dyDescent="0.25">
      <c r="A10" t="s">
        <v>122</v>
      </c>
      <c r="B10">
        <v>1.3999999999999999E-4</v>
      </c>
      <c r="C10">
        <v>-1.7100000000000001E-4</v>
      </c>
      <c r="D10">
        <v>1.558184</v>
      </c>
    </row>
    <row r="11" spans="1:7" x14ac:dyDescent="0.25">
      <c r="A11" t="s">
        <v>123</v>
      </c>
      <c r="B11">
        <v>-4.3999999999999999E-5</v>
      </c>
      <c r="C11">
        <v>2.8800000000000001E-4</v>
      </c>
      <c r="D11">
        <v>1.70262</v>
      </c>
      <c r="F11">
        <f>D11-D10</f>
        <v>0.14443600000000001</v>
      </c>
      <c r="G11" t="s">
        <v>132</v>
      </c>
    </row>
    <row r="13" spans="1:7" x14ac:dyDescent="0.25">
      <c r="F13">
        <f>D11-1.6965</f>
        <v>6.1200000000001253E-3</v>
      </c>
      <c r="G13" t="s">
        <v>128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opLeftCell="A10" workbookViewId="0">
      <selection activeCell="A3" sqref="A3"/>
    </sheetView>
  </sheetViews>
  <sheetFormatPr defaultRowHeight="14.4" x14ac:dyDescent="0.3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3074" r:id="rId4">
          <objectPr defaultSize="0" r:id="rId5">
            <anchor moveWithCells="1">
              <from>
                <xdr:col>0</xdr:col>
                <xdr:colOff>0</xdr:colOff>
                <xdr:row>2</xdr:row>
                <xdr:rowOff>0</xdr:rowOff>
              </from>
              <to>
                <xdr:col>30</xdr:col>
                <xdr:colOff>365760</xdr:colOff>
                <xdr:row>68</xdr:row>
                <xdr:rowOff>0</xdr:rowOff>
              </to>
            </anchor>
          </objectPr>
        </oleObject>
      </mc:Choice>
      <mc:Fallback>
        <oleObject progId="Acrobat Document" shapeId="3074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" workbookViewId="0">
      <selection activeCell="T53" sqref="T53"/>
    </sheetView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Rel to Acc</vt:lpstr>
      <vt:lpstr>Rel to Goni</vt:lpstr>
      <vt:lpstr>Rel to HD 0,0</vt:lpstr>
      <vt:lpstr>Rel to measured sol center</vt:lpstr>
      <vt:lpstr>data from JD</vt:lpstr>
      <vt:lpstr>Reference frames</vt:lpstr>
      <vt:lpstr>FDC Packages</vt:lpstr>
      <vt:lpstr>Goni Foils-Diamonds</vt:lpstr>
      <vt:lpstr>Polarimeter</vt:lpstr>
      <vt:lpstr>Target location</vt:lpstr>
      <vt:lpstr>HODO</vt:lpstr>
    </vt:vector>
  </TitlesOfParts>
  <Company>Jefferson Lab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dahlberg</dc:creator>
  <cp:lastModifiedBy>whitey</cp:lastModifiedBy>
  <cp:lastPrinted>2016-02-24T20:15:06Z</cp:lastPrinted>
  <dcterms:created xsi:type="dcterms:W3CDTF">2014-09-29T13:22:13Z</dcterms:created>
  <dcterms:modified xsi:type="dcterms:W3CDTF">2019-03-14T17:53:26Z</dcterms:modified>
</cp:coreProperties>
</file>