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alld_engineering\Alignment\Fall 2019\"/>
    </mc:Choice>
  </mc:AlternateContent>
  <bookViews>
    <workbookView xWindow="240" yWindow="2145" windowWidth="18960" windowHeight="5340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FDC Packages" sheetId="3" r:id="rId7"/>
    <sheet name="Goni Foils-Diamonds" sheetId="8" r:id="rId8"/>
    <sheet name="Polarimeter" sheetId="9" r:id="rId9"/>
    <sheet name="Target location" sheetId="10" r:id="rId10"/>
    <sheet name="HODO" sheetId="11" r:id="rId11"/>
    <sheet name="DIRC" sheetId="12" r:id="rId12"/>
  </sheets>
  <definedNames>
    <definedName name="_xlnm.Print_Area" localSheetId="0">'Rel to Acc'!$A$1:$X$81</definedName>
  </definedNames>
  <calcPr calcId="162913"/>
</workbook>
</file>

<file path=xl/calcChain.xml><?xml version="1.0" encoding="utf-8"?>
<calcChain xmlns="http://schemas.openxmlformats.org/spreadsheetml/2006/main">
  <c r="J72" i="7" l="1"/>
  <c r="I72" i="7"/>
  <c r="H72" i="7"/>
  <c r="F72" i="7"/>
  <c r="J71" i="7"/>
  <c r="I71" i="7"/>
  <c r="H71" i="7"/>
  <c r="F71" i="7"/>
  <c r="J70" i="7"/>
  <c r="I70" i="7"/>
  <c r="H70" i="7"/>
  <c r="F70" i="7"/>
  <c r="J72" i="6"/>
  <c r="I72" i="6"/>
  <c r="H72" i="6"/>
  <c r="G72" i="6"/>
  <c r="E72" i="6"/>
  <c r="D72" i="6"/>
  <c r="J71" i="6"/>
  <c r="I71" i="6"/>
  <c r="H71" i="6"/>
  <c r="G71" i="6"/>
  <c r="E71" i="6"/>
  <c r="D71" i="6"/>
  <c r="J70" i="6"/>
  <c r="I70" i="6"/>
  <c r="H70" i="6"/>
  <c r="G70" i="6"/>
  <c r="E70" i="6"/>
  <c r="D70" i="6"/>
  <c r="J72" i="5"/>
  <c r="I72" i="5"/>
  <c r="H72" i="5"/>
  <c r="G72" i="5"/>
  <c r="F72" i="5"/>
  <c r="E72" i="5"/>
  <c r="D72" i="5"/>
  <c r="J71" i="5"/>
  <c r="I71" i="5"/>
  <c r="H71" i="5"/>
  <c r="G71" i="5"/>
  <c r="F71" i="5"/>
  <c r="E71" i="5"/>
  <c r="D71" i="5"/>
  <c r="J70" i="5"/>
  <c r="I70" i="5"/>
  <c r="H70" i="5"/>
  <c r="G70" i="5"/>
  <c r="F70" i="5"/>
  <c r="E70" i="5"/>
  <c r="D70" i="5"/>
  <c r="J69" i="6"/>
  <c r="I69" i="6"/>
  <c r="H69" i="6"/>
  <c r="J68" i="6"/>
  <c r="I68" i="6"/>
  <c r="H68" i="6"/>
  <c r="J67" i="6"/>
  <c r="I67" i="6"/>
  <c r="H67" i="6"/>
  <c r="J69" i="7"/>
  <c r="I69" i="7"/>
  <c r="H69" i="7"/>
  <c r="F69" i="7"/>
  <c r="J68" i="7"/>
  <c r="I68" i="7"/>
  <c r="H68" i="7"/>
  <c r="F68" i="7"/>
  <c r="J67" i="7"/>
  <c r="I67" i="7"/>
  <c r="H67" i="7"/>
  <c r="F67" i="7"/>
  <c r="P26" i="11" l="1"/>
  <c r="J69" i="5" l="1"/>
  <c r="I69" i="5"/>
  <c r="H69" i="5"/>
  <c r="G69" i="5"/>
  <c r="F69" i="5"/>
  <c r="E69" i="5"/>
  <c r="J68" i="5"/>
  <c r="I68" i="5"/>
  <c r="H68" i="5"/>
  <c r="G68" i="5"/>
  <c r="F68" i="5"/>
  <c r="E68" i="5"/>
  <c r="J67" i="5"/>
  <c r="I67" i="5"/>
  <c r="H67" i="5"/>
  <c r="G67" i="5"/>
  <c r="F67" i="5"/>
  <c r="E67" i="5"/>
  <c r="G69" i="6"/>
  <c r="E69" i="6"/>
  <c r="G68" i="6"/>
  <c r="E68" i="6"/>
  <c r="G67" i="6"/>
  <c r="E67" i="6"/>
  <c r="I66" i="6" l="1"/>
  <c r="H66" i="6"/>
  <c r="J66" i="6"/>
  <c r="J65" i="6"/>
  <c r="J64" i="6"/>
  <c r="J66" i="7"/>
  <c r="I66" i="7"/>
  <c r="H66" i="7"/>
  <c r="F66" i="7"/>
  <c r="J65" i="7"/>
  <c r="I65" i="7"/>
  <c r="H65" i="7"/>
  <c r="F65" i="7"/>
  <c r="J64" i="7"/>
  <c r="I64" i="7"/>
  <c r="H64" i="7"/>
  <c r="F64" i="7"/>
  <c r="J66" i="5"/>
  <c r="I66" i="5"/>
  <c r="H66" i="5"/>
  <c r="G66" i="5"/>
  <c r="F66" i="5"/>
  <c r="E66" i="5"/>
  <c r="J65" i="5"/>
  <c r="I65" i="5"/>
  <c r="H65" i="5"/>
  <c r="G65" i="5"/>
  <c r="F65" i="5"/>
  <c r="E65" i="5"/>
  <c r="J64" i="5"/>
  <c r="I64" i="5"/>
  <c r="H64" i="5"/>
  <c r="G64" i="5"/>
  <c r="F64" i="5"/>
  <c r="E64" i="5"/>
  <c r="M78" i="4"/>
  <c r="G66" i="6"/>
  <c r="E66" i="6"/>
  <c r="L78" i="4"/>
  <c r="I65" i="6" l="1"/>
  <c r="H65" i="6"/>
  <c r="G65" i="6"/>
  <c r="E65" i="6"/>
  <c r="I64" i="6"/>
  <c r="H64" i="6"/>
  <c r="G64" i="6"/>
  <c r="E64" i="6"/>
  <c r="J61" i="7" l="1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I48" i="4" l="1"/>
  <c r="H48" i="4"/>
  <c r="D48" i="4"/>
  <c r="I50" i="4" l="1"/>
  <c r="H50" i="4"/>
  <c r="D49" i="4" l="1"/>
  <c r="D47" i="4"/>
  <c r="N47" i="4" s="1"/>
  <c r="D40" i="4"/>
  <c r="M47" i="4" l="1"/>
  <c r="N49" i="4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N50" i="4" s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D15" i="4"/>
  <c r="E50" i="4" l="1"/>
  <c r="G50" i="4"/>
  <c r="G51" i="4"/>
  <c r="E51" i="4"/>
  <c r="G38" i="6"/>
  <c r="G37" i="6"/>
  <c r="E38" i="6"/>
  <c r="G30" i="6"/>
  <c r="E30" i="6"/>
  <c r="G38" i="5"/>
  <c r="G37" i="5"/>
  <c r="E38" i="5"/>
  <c r="G30" i="5"/>
  <c r="E30" i="5"/>
  <c r="G47" i="4"/>
  <c r="E47" i="4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D45" i="4"/>
  <c r="J27" i="4"/>
  <c r="J27" i="7" s="1"/>
  <c r="I27" i="4"/>
  <c r="I27" i="6" s="1"/>
  <c r="H27" i="4"/>
  <c r="H27" i="7" s="1"/>
  <c r="G27" i="4"/>
  <c r="G26" i="4"/>
  <c r="AC40" i="11" s="1"/>
  <c r="G25" i="4"/>
  <c r="AC35" i="11" s="1"/>
  <c r="G24" i="4"/>
  <c r="AC30" i="11" s="1"/>
  <c r="G23" i="4"/>
  <c r="AC25" i="11" s="1"/>
  <c r="G22" i="4"/>
  <c r="AC20" i="11" s="1"/>
  <c r="G21" i="4"/>
  <c r="AC15" i="11" s="1"/>
  <c r="G20" i="4"/>
  <c r="AC10" i="11" s="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AB20" i="11" s="1"/>
  <c r="E21" i="4"/>
  <c r="AB15" i="11" s="1"/>
  <c r="E20" i="4"/>
  <c r="AB10" i="11" s="1"/>
  <c r="D27" i="4"/>
  <c r="AA45" i="11" s="1"/>
  <c r="D26" i="4"/>
  <c r="AA40" i="11" s="1"/>
  <c r="D25" i="4"/>
  <c r="AA35" i="11" s="1"/>
  <c r="D24" i="4"/>
  <c r="D23" i="4"/>
  <c r="AA25" i="11" s="1"/>
  <c r="D22" i="4"/>
  <c r="AA20" i="11" s="1"/>
  <c r="D21" i="4"/>
  <c r="AA15" i="11" s="1"/>
  <c r="D20" i="4"/>
  <c r="AA10" i="11" s="1"/>
  <c r="U7" i="11"/>
  <c r="P10" i="11"/>
  <c r="H20" i="4" s="1"/>
  <c r="H20" i="7" s="1"/>
  <c r="AC45" i="11"/>
  <c r="AA30" i="11"/>
  <c r="Y47" i="11"/>
  <c r="Z47" i="11" s="1"/>
  <c r="Y45" i="11"/>
  <c r="Z45" i="11" s="1"/>
  <c r="Y42" i="11"/>
  <c r="Z42" i="11" s="1"/>
  <c r="Y40" i="11"/>
  <c r="Z40" i="11" s="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Y22" i="11"/>
  <c r="Z22" i="11" s="1"/>
  <c r="Y20" i="11"/>
  <c r="Z20" i="11" s="1"/>
  <c r="Y17" i="11"/>
  <c r="Z17" i="11" s="1"/>
  <c r="Y15" i="11"/>
  <c r="Z15" i="11" s="1"/>
  <c r="Y12" i="11"/>
  <c r="Z12" i="11" s="1"/>
  <c r="Y10" i="11"/>
  <c r="Z10" i="11" s="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J26" i="4" s="1"/>
  <c r="J26" i="6" s="1"/>
  <c r="Q40" i="11"/>
  <c r="I26" i="4" s="1"/>
  <c r="I26" i="7" s="1"/>
  <c r="P40" i="11"/>
  <c r="H26" i="4" s="1"/>
  <c r="H26" i="6" s="1"/>
  <c r="R35" i="11"/>
  <c r="J25" i="4" s="1"/>
  <c r="J25" i="7" s="1"/>
  <c r="Q35" i="11"/>
  <c r="I25" i="4" s="1"/>
  <c r="I25" i="6" s="1"/>
  <c r="P35" i="11"/>
  <c r="H25" i="4" s="1"/>
  <c r="H25" i="7" s="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J21" i="4" s="1"/>
  <c r="J21" i="6" s="1"/>
  <c r="Q15" i="11"/>
  <c r="I21" i="4" s="1"/>
  <c r="I21" i="7" s="1"/>
  <c r="P15" i="11"/>
  <c r="H21" i="4" s="1"/>
  <c r="H21" i="6" s="1"/>
  <c r="Q10" i="11"/>
  <c r="I20" i="4" s="1"/>
  <c r="I20" i="6" s="1"/>
  <c r="R10" i="11"/>
  <c r="J20" i="4" s="1"/>
  <c r="J20" i="7" s="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G45" i="4"/>
  <c r="E45" i="4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L47" i="4"/>
  <c r="E45" i="6" l="1"/>
  <c r="E45" i="5"/>
  <c r="G45" i="6"/>
  <c r="G45" i="5"/>
  <c r="T42" i="4"/>
  <c r="U43" i="4"/>
  <c r="U42" i="4"/>
  <c r="T41" i="4"/>
  <c r="Q42" i="4" l="1"/>
  <c r="G42" i="4"/>
  <c r="E42" i="4"/>
  <c r="E43" i="4"/>
  <c r="E44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H44" i="4"/>
  <c r="G44" i="4"/>
  <c r="D44" i="4"/>
  <c r="G58" i="4" l="1"/>
  <c r="E58" i="4"/>
  <c r="G43" i="4"/>
  <c r="T43" i="4"/>
  <c r="Q43" i="4"/>
  <c r="D57" i="4"/>
  <c r="G57" i="4" l="1"/>
  <c r="E57" i="4"/>
  <c r="Q58" i="4"/>
  <c r="Q57" i="4"/>
  <c r="Q55" i="4"/>
  <c r="Q54" i="4"/>
  <c r="Q53" i="4"/>
  <c r="H48" i="10" l="1"/>
  <c r="H47" i="10"/>
  <c r="H46" i="10"/>
  <c r="H45" i="10"/>
  <c r="E49" i="10"/>
  <c r="H49" i="10" s="1"/>
  <c r="C49" i="10"/>
  <c r="C45" i="10"/>
  <c r="D74" i="4"/>
  <c r="D74" i="7" s="1"/>
  <c r="D74" i="6" l="1"/>
  <c r="D74" i="5"/>
  <c r="D68" i="6" l="1"/>
  <c r="D67" i="6"/>
  <c r="D69" i="6"/>
  <c r="D66" i="6"/>
  <c r="J78" i="4"/>
  <c r="D65" i="6"/>
  <c r="D64" i="6"/>
  <c r="D61" i="6"/>
  <c r="D63" i="6"/>
  <c r="D62" i="6"/>
  <c r="D60" i="6"/>
  <c r="D38" i="6"/>
  <c r="D30" i="6"/>
  <c r="D45" i="6"/>
  <c r="D47" i="6"/>
  <c r="D17" i="6"/>
  <c r="D19" i="4"/>
  <c r="D19" i="6" s="1"/>
  <c r="G75" i="7"/>
  <c r="F60" i="7"/>
  <c r="E75" i="7"/>
  <c r="F59" i="7"/>
  <c r="F58" i="7"/>
  <c r="F57" i="7"/>
  <c r="F56" i="7"/>
  <c r="F51" i="7"/>
  <c r="F50" i="7"/>
  <c r="F48" i="7"/>
  <c r="F43" i="7"/>
  <c r="G35" i="4"/>
  <c r="E35" i="4"/>
  <c r="G33" i="4"/>
  <c r="G33" i="6" s="1"/>
  <c r="F33" i="7"/>
  <c r="E33" i="4"/>
  <c r="E33" i="5" s="1"/>
  <c r="F32" i="7"/>
  <c r="G29" i="4"/>
  <c r="G29" i="6" s="1"/>
  <c r="F29" i="7"/>
  <c r="E29" i="4"/>
  <c r="E29" i="5" s="1"/>
  <c r="F27" i="7"/>
  <c r="F26" i="7"/>
  <c r="F25" i="7"/>
  <c r="F24" i="7"/>
  <c r="F23" i="7"/>
  <c r="F22" i="7"/>
  <c r="F21" i="7"/>
  <c r="F20" i="7"/>
  <c r="G13" i="4"/>
  <c r="F13" i="7"/>
  <c r="E13" i="4"/>
  <c r="E13" i="5" s="1"/>
  <c r="G12" i="4"/>
  <c r="E12" i="4"/>
  <c r="E12" i="5" s="1"/>
  <c r="F12" i="7"/>
  <c r="D75" i="7"/>
  <c r="G34" i="6"/>
  <c r="E34" i="6"/>
  <c r="D34" i="6"/>
  <c r="G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I18" i="1"/>
  <c r="J18" i="1" s="1"/>
  <c r="E18" i="1"/>
  <c r="E52" i="1"/>
  <c r="F52" i="1"/>
  <c r="F47" i="7" s="1"/>
  <c r="G55" i="6"/>
  <c r="E54" i="5"/>
  <c r="D52" i="6"/>
  <c r="N52" i="6" s="1"/>
  <c r="V59" i="1"/>
  <c r="V61" i="1" s="1"/>
  <c r="E55" i="1"/>
  <c r="F55" i="1"/>
  <c r="F52" i="7" s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H33" i="4"/>
  <c r="F33" i="4"/>
  <c r="D33" i="4"/>
  <c r="D33" i="6" s="1"/>
  <c r="F32" i="4"/>
  <c r="H29" i="4"/>
  <c r="F29" i="4"/>
  <c r="D29" i="4"/>
  <c r="F27" i="4"/>
  <c r="F26" i="4"/>
  <c r="F25" i="4"/>
  <c r="F24" i="4"/>
  <c r="D24" i="6"/>
  <c r="F23" i="4"/>
  <c r="F22" i="4"/>
  <c r="F21" i="4"/>
  <c r="F20" i="4"/>
  <c r="H13" i="4"/>
  <c r="F13" i="4"/>
  <c r="D13" i="4"/>
  <c r="H12" i="4"/>
  <c r="F12" i="4"/>
  <c r="D12" i="4"/>
  <c r="E42" i="1"/>
  <c r="F42" i="1"/>
  <c r="F44" i="4" s="1"/>
  <c r="E38" i="1"/>
  <c r="E39" i="1"/>
  <c r="F39" i="1" s="1"/>
  <c r="F37" i="1"/>
  <c r="F36" i="7" s="1"/>
  <c r="F37" i="6"/>
  <c r="I37" i="1"/>
  <c r="J37" i="1"/>
  <c r="I40" i="1"/>
  <c r="J40" i="1"/>
  <c r="I39" i="1"/>
  <c r="J39" i="1"/>
  <c r="E41" i="1"/>
  <c r="F41" i="1"/>
  <c r="F41" i="4" s="1"/>
  <c r="F75" i="7" s="1"/>
  <c r="F49" i="1"/>
  <c r="F49" i="4" s="1"/>
  <c r="E58" i="1"/>
  <c r="F58" i="1" s="1"/>
  <c r="E57" i="1"/>
  <c r="F57" i="1" s="1"/>
  <c r="E56" i="1"/>
  <c r="F56" i="1" s="1"/>
  <c r="E45" i="1"/>
  <c r="F45" i="1" s="1"/>
  <c r="E16" i="1"/>
  <c r="F16" i="1" s="1"/>
  <c r="E14" i="1"/>
  <c r="F14" i="1"/>
  <c r="F14" i="6" s="1"/>
  <c r="B39" i="1"/>
  <c r="B40" i="1"/>
  <c r="F40" i="1" s="1"/>
  <c r="E36" i="1"/>
  <c r="F36" i="1"/>
  <c r="F35" i="7" s="1"/>
  <c r="E35" i="1"/>
  <c r="F35" i="1" s="1"/>
  <c r="E31" i="1"/>
  <c r="F31" i="1"/>
  <c r="F31" i="6" s="1"/>
  <c r="E30" i="1"/>
  <c r="F30" i="1" s="1"/>
  <c r="H37" i="1"/>
  <c r="F28" i="1"/>
  <c r="F28" i="4" s="1"/>
  <c r="F18" i="1"/>
  <c r="F18" i="7" s="1"/>
  <c r="F44" i="6"/>
  <c r="F42" i="6"/>
  <c r="F42" i="5"/>
  <c r="O50" i="1"/>
  <c r="P50" i="1"/>
  <c r="F46" i="7" s="1"/>
  <c r="F38" i="1"/>
  <c r="F37" i="7" s="1"/>
  <c r="F18" i="6"/>
  <c r="F18" i="4"/>
  <c r="F1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5" i="5"/>
  <c r="E37" i="5"/>
  <c r="E39" i="5"/>
  <c r="E44" i="5"/>
  <c r="E56" i="5"/>
  <c r="G12" i="5"/>
  <c r="G18" i="5"/>
  <c r="G21" i="5"/>
  <c r="G23" i="5"/>
  <c r="G25" i="5"/>
  <c r="G27" i="5"/>
  <c r="G31" i="5"/>
  <c r="G36" i="5"/>
  <c r="G40" i="5"/>
  <c r="G41" i="5"/>
  <c r="G46" i="5"/>
  <c r="G59" i="5"/>
  <c r="E16" i="6"/>
  <c r="E31" i="6"/>
  <c r="G35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5" i="5"/>
  <c r="G39" i="5"/>
  <c r="G44" i="5"/>
  <c r="G56" i="5"/>
  <c r="G12" i="6"/>
  <c r="G13" i="6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E29" i="6"/>
  <c r="G31" i="6"/>
  <c r="E32" i="6"/>
  <c r="G32" i="6"/>
  <c r="E35" i="6"/>
  <c r="G36" i="6"/>
  <c r="E37" i="6"/>
  <c r="E39" i="6"/>
  <c r="G40" i="6"/>
  <c r="E41" i="6"/>
  <c r="G44" i="6"/>
  <c r="E46" i="6"/>
  <c r="G56" i="6"/>
  <c r="E59" i="6"/>
  <c r="D21" i="6"/>
  <c r="D29" i="6"/>
  <c r="D41" i="6"/>
  <c r="F36" i="4"/>
  <c r="F36" i="5"/>
  <c r="F37" i="5"/>
  <c r="F38" i="5"/>
  <c r="F44" i="5"/>
  <c r="E40" i="1"/>
  <c r="D39" i="6"/>
  <c r="G51" i="6"/>
  <c r="E50" i="6"/>
  <c r="E50" i="5"/>
  <c r="G50" i="5"/>
  <c r="F50" i="6"/>
  <c r="F50" i="5"/>
  <c r="G51" i="5"/>
  <c r="G50" i="6"/>
  <c r="G72" i="7" l="1"/>
  <c r="G70" i="7"/>
  <c r="G71" i="7"/>
  <c r="D70" i="7"/>
  <c r="D71" i="7"/>
  <c r="D72" i="7"/>
  <c r="E70" i="7"/>
  <c r="E71" i="7"/>
  <c r="E72" i="7"/>
  <c r="D67" i="7"/>
  <c r="D69" i="7"/>
  <c r="D68" i="7"/>
  <c r="E68" i="7"/>
  <c r="E69" i="7"/>
  <c r="E67" i="7"/>
  <c r="G33" i="5"/>
  <c r="G69" i="7"/>
  <c r="G67" i="7"/>
  <c r="G68" i="7"/>
  <c r="G29" i="5"/>
  <c r="F46" i="4"/>
  <c r="F46" i="5"/>
  <c r="F42" i="7"/>
  <c r="F46" i="6"/>
  <c r="F43" i="5"/>
  <c r="F43" i="6"/>
  <c r="F56" i="4"/>
  <c r="F53" i="7"/>
  <c r="F53" i="6"/>
  <c r="F56" i="6"/>
  <c r="F53" i="5"/>
  <c r="F56" i="5"/>
  <c r="F57" i="5"/>
  <c r="F54" i="6"/>
  <c r="F59" i="5"/>
  <c r="F54" i="5"/>
  <c r="F59" i="4"/>
  <c r="F60" i="4" s="1"/>
  <c r="F54" i="7"/>
  <c r="F57" i="6"/>
  <c r="F59" i="6"/>
  <c r="F40" i="6"/>
  <c r="F40" i="4"/>
  <c r="F40" i="5"/>
  <c r="F39" i="7"/>
  <c r="F60" i="5"/>
  <c r="F58" i="6"/>
  <c r="F58" i="5"/>
  <c r="F60" i="6"/>
  <c r="F55" i="6"/>
  <c r="F55" i="5"/>
  <c r="F55" i="7"/>
  <c r="F35" i="6"/>
  <c r="F34" i="6"/>
  <c r="F35" i="5"/>
  <c r="F34" i="7"/>
  <c r="F35" i="4"/>
  <c r="F34" i="5"/>
  <c r="F30" i="7"/>
  <c r="F30" i="5"/>
  <c r="F30" i="6"/>
  <c r="F16" i="5"/>
  <c r="F16" i="4"/>
  <c r="F16" i="6"/>
  <c r="F16" i="7"/>
  <c r="F38" i="7"/>
  <c r="F39" i="5"/>
  <c r="F39" i="6"/>
  <c r="F39" i="4"/>
  <c r="D65" i="7"/>
  <c r="D66" i="7"/>
  <c r="D64" i="7"/>
  <c r="D61" i="7"/>
  <c r="F44" i="7"/>
  <c r="G57" i="7"/>
  <c r="G66" i="7"/>
  <c r="G64" i="7"/>
  <c r="G65" i="7"/>
  <c r="G61" i="7"/>
  <c r="F41" i="5"/>
  <c r="F28" i="6"/>
  <c r="F38" i="6"/>
  <c r="D50" i="7"/>
  <c r="F41" i="6"/>
  <c r="F28" i="5"/>
  <c r="F28" i="7"/>
  <c r="D36" i="7"/>
  <c r="D13" i="7"/>
  <c r="G33" i="7"/>
  <c r="F49" i="7"/>
  <c r="F40" i="7"/>
  <c r="F31" i="4"/>
  <c r="F36" i="6"/>
  <c r="G34" i="7"/>
  <c r="F41" i="7"/>
  <c r="F49" i="5"/>
  <c r="F31" i="7"/>
  <c r="E28" i="7"/>
  <c r="E64" i="7"/>
  <c r="E65" i="7"/>
  <c r="E66" i="7"/>
  <c r="E61" i="7"/>
  <c r="F31" i="5"/>
  <c r="F45" i="7"/>
  <c r="F50" i="4"/>
  <c r="F49" i="6"/>
  <c r="G13" i="7"/>
  <c r="G31" i="7"/>
  <c r="E33" i="6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76" i="5"/>
  <c r="D68" i="5" l="1"/>
  <c r="D69" i="5"/>
  <c r="D67" i="5"/>
  <c r="D66" i="5"/>
  <c r="D64" i="5"/>
  <c r="D65" i="5"/>
  <c r="D61" i="5"/>
  <c r="D63" i="5"/>
  <c r="D62" i="5"/>
  <c r="D60" i="5"/>
  <c r="E78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<sst xmlns="http://schemas.openxmlformats.org/spreadsheetml/2006/main" count="786" uniqueCount="301">
  <si>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</si>
  <si>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</si>
  <si>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</si>
  <si>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</si>
  <si>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</si>
  <si>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</si>
  <si>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</si>
  <si>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</si>
  <si>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</si>
  <si>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</si>
  <si>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</si>
  <si>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</si>
  <si>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</si>
  <si>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</si>
  <si>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</si>
  <si>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</si>
  <si>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</si>
  <si>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</si>
  <si>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</si>
  <si>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</si>
  <si>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</si>
  <si>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</si>
  <si>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</si>
  <si>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</si>
  <si>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</si>
  <si>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</si>
  <si>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</si>
  <si>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</si>
  <si>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</si>
  <si>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</si>
  <si>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</si>
  <si>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</si>
  <si>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</si>
  <si>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</si>
  <si>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</si>
  <si>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</si>
  <si>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</si>
  <si>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</si>
  <si>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</si>
  <si>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</si>
  <si>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</si>
  <si>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</si>
  <si>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</si>
  <si>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</si>
  <si>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</si>
  <si>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</si>
  <si>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</si>
  <si>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</si>
  <si>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</si>
  <si>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</si>
  <si>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</si>
  <si>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</si>
  <si>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</si>
  <si>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</si>
  <si>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</si>
  <si>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</si>
  <si>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</si>
  <si>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</si>
  <si>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</si>
  <si>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</si>
  <si>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</si>
  <si>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</si>
  <si>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</si>
  <si>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</si>
  <si>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</si>
  <si>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</si>
  <si>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</si>
  <si>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</si>
  <si>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</si>
  <si>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</si>
  <si>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</si>
  <si>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</si>
  <si>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</si>
  <si>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</si>
  <si>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</si>
  <si>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</si>
  <si>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</si>
  <si>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</si>
  <si>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</si>
  <si>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</si>
  <si>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</si>
  <si>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</si>
  <si>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</si>
  <si>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</si>
  <si>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</si>
  <si>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</si>
  <si>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</si>
  <si>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</si>
  <si>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</si>
  <si>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</si>
  <si>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</si>
  <si>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</si>
  <si>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</si>
  <si>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</si>
  <si>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</si>
  <si>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</si>
  <si>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</si>
  <si>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</si>
  <si>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</si>
  <si>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</si>
  <si>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</si>
  <si>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</si>
  <si>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</si>
  <si>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</si>
  <si>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</si>
  <si>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</si>
  <si>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</si>
  <si>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</si>
  <si>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</si>
  <si>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FORWARD TIME OF FLIGHT - center of upstream face of scintilaator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</si>
  <si>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</si>
  <si>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</si>
  <si>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</si>
  <si>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</si>
  <si>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</si>
  <si>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</si>
  <si>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</si>
  <si>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</si>
  <si>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</si>
  <si>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</si>
  <si>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</si>
  <si>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</si>
  <si>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</si>
  <si>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</si>
  <si>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</si>
  <si>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</si>
  <si>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</si>
  <si>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</si>
  <si>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</si>
  <si>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</si>
  <si>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</si>
  <si>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</si>
  <si>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</si>
  <si>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</si>
  <si>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</si>
  <si>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</si>
  <si>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</si>
  <si>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</si>
  <si>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</si>
  <si>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</si>
  <si>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</si>
  <si>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</si>
  <si>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</si>
  <si>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</si>
  <si>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</si>
  <si>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</si>
  <si>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</si>
  <si>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</si>
  <si>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</si>
  <si>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</si>
  <si>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</si>
  <si>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</si>
  <si>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</si>
  <si>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</si>
  <si>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</si>
  <si>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</si>
  <si>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</si>
  <si>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</si>
  <si>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</si>
  <si>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</si>
  <si>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</si>
  <si>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</si>
  <si>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</si>
  <si>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</si>
  <si>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</si>
  <si>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</si>
  <si>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</si>
  <si>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</si>
  <si>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</si>
  <si>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</si>
  <si>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</si>
  <si>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</si>
  <si>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</si>
  <si>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</si>
  <si>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</si>
  <si>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</si>
  <si>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</si>
  <si>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</si>
  <si>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</si>
  <si>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</si>
  <si>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</si>
  <si>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</si>
  <si>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</si>
  <si>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</si>
  <si>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</si>
  <si>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</si>
  <si>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</si>
  <si>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</si>
  <si>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</si>
  <si>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</si>
  <si>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</si>
  <si>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</si>
  <si>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</si>
  <si>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</si>
  <si>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HYDROGEN TARGET center</t>
  </si>
  <si>
    <t>Hydrogen target US window</t>
  </si>
  <si>
    <t>Hydrogen Target DS window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</si>
  <si>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</si>
  <si>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</si>
  <si>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</si>
  <si>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</si>
  <si>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</si>
  <si>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</si>
  <si>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</si>
  <si>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</si>
  <si>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</si>
  <si>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</si>
  <si>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</si>
  <si>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</si>
  <si>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</si>
  <si>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</si>
  <si>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</si>
  <si>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</si>
  <si>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</si>
  <si>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</si>
  <si>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</si>
  <si>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</si>
  <si>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</si>
  <si>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</si>
  <si>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</si>
  <si>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</si>
  <si>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</si>
  <si>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</si>
  <si>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</si>
  <si>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</si>
  <si>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</si>
  <si>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</si>
  <si>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</si>
  <si>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</si>
  <si>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</si>
  <si>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</si>
  <si>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</si>
  <si>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</si>
  <si>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</si>
  <si>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</si>
  <si>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</si>
  <si>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</si>
  <si>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</si>
  <si>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</si>
  <si>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</si>
  <si>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</si>
  <si>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</si>
  <si>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</si>
  <si>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</si>
  <si>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</si>
  <si>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</si>
  <si>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</si>
  <si>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</si>
  <si>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</si>
  <si>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</si>
  <si>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</si>
  <si>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</si>
  <si>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</si>
  <si>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>HTAR (warm)</t>
  </si>
  <si>
    <t xml:space="preserve">Bad meas </t>
  </si>
  <si>
    <t>(set)</t>
  </si>
  <si>
    <t>Microscope and Hodo plates 3, 4 and 5 were resurved Jan 2017, all others are from fall 2016 survey.</t>
  </si>
  <si>
    <t>Muon Detector</t>
  </si>
  <si>
    <t>LINE/HALL D Dec 2017 SURVEY REPORT</t>
  </si>
  <si>
    <t>TAC</t>
  </si>
  <si>
    <t>HDTAC</t>
  </si>
  <si>
    <t>Lower DIRC Bbox 1</t>
  </si>
  <si>
    <t>Lower DIRC Bbox 2</t>
  </si>
  <si>
    <t>LDIRC1</t>
  </si>
  <si>
    <t>LDIRC2</t>
  </si>
  <si>
    <t>SC not remeasured, but assumed to move with new target location, used relative data from Oct 2017 measurement</t>
  </si>
  <si>
    <t>Goni Z</t>
  </si>
  <si>
    <t>TAC - center of upstream face</t>
  </si>
  <si>
    <t>Scattering chamber was not remeasured but assumed the same offset from target from previous survey</t>
  </si>
  <si>
    <t>Helium TARGET center</t>
  </si>
  <si>
    <t>Helium target US window</t>
  </si>
  <si>
    <t>Helium Target DS window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</si>
  <si>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</si>
  <si>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</si>
  <si>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</si>
  <si>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</si>
  <si>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</si>
  <si>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</si>
  <si>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</si>
  <si>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</si>
  <si>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</si>
  <si>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</si>
  <si>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</si>
  <si>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Lower DIRC Optical Box</t>
  </si>
  <si>
    <t>DIRC Optical Box - center of beamline side face of Top barbox attachment flange (which lines up with beamline side face of the barbox flange nominally)</t>
  </si>
  <si>
    <t>Lower DIRC Mirror box</t>
  </si>
  <si>
    <t>Upper DIRC Mirror Box</t>
  </si>
  <si>
    <t>DIRC1</t>
  </si>
  <si>
    <t>DIRC2</t>
  </si>
  <si>
    <t>DIRC3</t>
  </si>
  <si>
    <t>DIRC4</t>
  </si>
  <si>
    <t>Upper DIRC Bottom Bbox</t>
  </si>
  <si>
    <t>Upper DIRC Top Bbox</t>
  </si>
  <si>
    <t>All plates resurveyed in Nov 2019 - plate 7 had significan differences</t>
  </si>
  <si>
    <t>DIRC</t>
  </si>
  <si>
    <t xml:space="preserve">Items resurveyed prior to Fall 2019 run:  DIRC Upper Mirror box and Bar boxes, DIRC Lower Mirror Box, ComCal, TOF, FCAL, Tagger Hodoscope, Collimator, TAC and Target. </t>
  </si>
  <si>
    <t>GEM - based on DS fiberglass panel, DS face</t>
  </si>
  <si>
    <t>GEM Center Position</t>
  </si>
  <si>
    <t>GEM Beam Left Position</t>
  </si>
  <si>
    <t>GEM Beam Right Position</t>
  </si>
  <si>
    <t>GEM detector installed US of DIRC, Muon Detector not installed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</si>
</sst>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"/>
    <numFmt numFmtId="165" formatCode="0.0000"/>
    <numFmt numFmtId="166" formatCode="0.000"/>
    <numFmt numFmtId="167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1" xfId="0" applyFill="1" applyBorder="1"/>
    <xf numFmtId="0" fontId="0" fillId="0" borderId="0" xfId="0"/>
    <xf numFmtId="166" fontId="0" fillId="0" borderId="0" xfId="0" applyNumberFormat="1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Fill="1" applyBorder="1"/>
    <xf numFmtId="0" fontId="0" fillId="2" borderId="1" xfId="0" applyFill="1" applyBorder="1"/>
    <xf numFmtId="0" fontId="0" fillId="2" borderId="0" xfId="0" applyFill="1"/>
    <xf numFmtId="164" fontId="0" fillId="2" borderId="1" xfId="0" applyNumberFormat="1" applyFill="1" applyBorder="1"/>
    <xf numFmtId="165" fontId="0" fillId="2" borderId="1" xfId="0" applyNumberFormat="1" applyFill="1" applyBorder="1"/>
    <xf numFmtId="0" fontId="0" fillId="3" borderId="1" xfId="0" applyFill="1" applyBorder="1"/>
    <xf numFmtId="164" fontId="0" fillId="3" borderId="1" xfId="0" applyNumberFormat="1" applyFill="1" applyBorder="1"/>
    <xf numFmtId="164" fontId="0" fillId="3" borderId="2" xfId="0" applyNumberFormat="1" applyFill="1" applyBorder="1"/>
    <xf numFmtId="165" fontId="0" fillId="3" borderId="1" xfId="0" applyNumberFormat="1" applyFill="1" applyBorder="1"/>
    <xf numFmtId="0" fontId="0" fillId="3" borderId="0" xfId="0" applyFill="1"/>
    <xf numFmtId="0" fontId="0" fillId="0" borderId="0" xfId="0" applyBorder="1"/>
    <xf numFmtId="0" fontId="0" fillId="0" borderId="1" xfId="0" applyFont="1" applyFill="1" applyBorder="1"/>
    <xf numFmtId="0" fontId="0" fillId="0" borderId="0" xfId="0" applyFill="1"/>
    <xf numFmtId="0" fontId="0" fillId="4" borderId="0" xfId="0" applyFill="1"/>
    <xf numFmtId="164" fontId="0" fillId="4" borderId="0" xfId="0" applyNumberFormat="1" applyFill="1"/>
    <xf numFmtId="164" fontId="0" fillId="0" borderId="1" xfId="0" applyNumberFormat="1" applyFill="1" applyBorder="1"/>
    <xf numFmtId="165" fontId="0" fillId="0" borderId="1" xfId="0" applyNumberFormat="1" applyFill="1" applyBorder="1"/>
    <xf numFmtId="164" fontId="0" fillId="0" borderId="0" xfId="0" applyNumberFormat="1" applyFill="1"/>
    <xf numFmtId="0" fontId="0" fillId="2" borderId="0" xfId="0" applyFont="1" applyFill="1" applyAlignment="1">
      <alignment horizontal="right"/>
    </xf>
    <xf numFmtId="0" fontId="0" fillId="3" borderId="3" xfId="0" applyFill="1" applyBorder="1"/>
    <xf numFmtId="164" fontId="0" fillId="3" borderId="3" xfId="0" applyNumberFormat="1" applyFill="1" applyBorder="1"/>
    <xf numFmtId="0" fontId="0" fillId="5" borderId="1" xfId="0" applyFill="1" applyBorder="1"/>
    <xf numFmtId="0" fontId="0" fillId="5" borderId="0" xfId="0" applyFill="1"/>
    <xf numFmtId="164" fontId="0" fillId="5" borderId="1" xfId="0" applyNumberFormat="1" applyFill="1" applyBorder="1"/>
    <xf numFmtId="165" fontId="0" fillId="5" borderId="1" xfId="0" applyNumberFormat="1" applyFill="1" applyBorder="1"/>
    <xf numFmtId="164" fontId="0" fillId="5" borderId="0" xfId="0" applyNumberFormat="1" applyFill="1"/>
    <xf numFmtId="164" fontId="0" fillId="5" borderId="2" xfId="0" applyNumberFormat="1" applyFill="1" applyBorder="1"/>
    <xf numFmtId="0" fontId="4" fillId="3" borderId="1" xfId="0" applyFont="1" applyFill="1" applyBorder="1"/>
    <xf numFmtId="164" fontId="4" fillId="3" borderId="1" xfId="0" applyNumberFormat="1" applyFont="1" applyFill="1" applyBorder="1"/>
    <xf numFmtId="0" fontId="4" fillId="3" borderId="0" xfId="0" applyFont="1" applyFill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4" fillId="5" borderId="1" xfId="0" applyFont="1" applyFill="1" applyBorder="1"/>
    <xf numFmtId="164" fontId="4" fillId="5" borderId="1" xfId="0" applyNumberFormat="1" applyFont="1" applyFill="1" applyBorder="1"/>
    <xf numFmtId="0" fontId="0" fillId="5" borderId="1" xfId="0" applyFont="1" applyFill="1" applyBorder="1"/>
    <xf numFmtId="0" fontId="4" fillId="5" borderId="0" xfId="0" applyFont="1" applyFill="1"/>
    <xf numFmtId="0" fontId="0" fillId="5" borderId="0" xfId="0" applyFill="1" applyBorder="1"/>
    <xf numFmtId="0" fontId="0" fillId="5" borderId="1" xfId="0" applyFont="1" applyFill="1" applyBorder="1" applyAlignment="1">
      <alignment horizontal="right"/>
    </xf>
    <xf numFmtId="164" fontId="4" fillId="5" borderId="3" xfId="0" applyNumberFormat="1" applyFont="1" applyFill="1" applyBorder="1"/>
    <xf numFmtId="0" fontId="0" fillId="5" borderId="2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50</xdr:row>
      <xdr:rowOff>54293</xdr:rowOff>
    </xdr:from>
    <xdr:to>
      <xdr:col>12</xdr:col>
      <xdr:colOff>266700</xdr:colOff>
      <xdr:row>95</xdr:row>
      <xdr:rowOff>23813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097" t="14786" r="25147" b="7963"/>
        <a:stretch/>
      </xdr:blipFill>
      <xdr:spPr>
        <a:xfrm>
          <a:off x="0" y="9274493"/>
          <a:ext cx="7581900" cy="81991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39</xdr:col>
          <xdr:colOff>152400</xdr:colOff>
          <xdr:row>102</xdr:row>
          <xdr:rowOff>38100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66675</xdr:rowOff>
    </xdr:from>
    <xdr:to>
      <xdr:col>18</xdr:col>
      <xdr:colOff>47626</xdr:colOff>
      <xdr:row>32</xdr:row>
      <xdr:rowOff>47625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40" t="17411" r="37909" b="23508"/>
        <a:stretch/>
      </xdr:blipFill>
      <xdr:spPr>
        <a:xfrm>
          <a:off x="533400" y="66675"/>
          <a:ext cx="10487026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32</xdr:row>
      <xdr:rowOff>47625</xdr:rowOff>
    </xdr:from>
    <xdr:to>
      <xdr:col>18</xdr:col>
      <xdr:colOff>9525</xdr:colOff>
      <xdr:row>62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" t="17224" r="36711" b="27584"/>
        <a:stretch/>
      </xdr:blipFill>
      <xdr:spPr>
        <a:xfrm>
          <a:off x="238124" y="6143625"/>
          <a:ext cx="1074420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59</xdr:row>
      <xdr:rowOff>9524</xdr:rowOff>
    </xdr:from>
    <xdr:to>
      <xdr:col>18</xdr:col>
      <xdr:colOff>161926</xdr:colOff>
      <xdr:row>91</xdr:row>
      <xdr:rowOff>123825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11" t="16391" r="36763" b="23231"/>
        <a:stretch/>
      </xdr:blipFill>
      <xdr:spPr>
        <a:xfrm>
          <a:off x="304800" y="11249024"/>
          <a:ext cx="10829926" cy="6210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9"/>
  <sheetViews>
    <sheetView tabSelected="1" topLeftCell="A40" zoomScaleNormal="100" workbookViewId="0">
      <selection activeCell="J82" sqref="J82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3.140625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3" width="9.140625" style="4"/>
    <col min="14" max="14" width="9.5703125" style="4" bestFit="1" customWidth="1"/>
    <col min="15" max="16" width="9.140625" style="4"/>
    <col min="17" max="17" width="10.42578125" style="4" customWidth="1"/>
    <col min="18" max="18" width="9.140625" style="4"/>
    <col min="19" max="19" width="10.7109375" style="4" customWidth="1"/>
    <col min="20" max="16384" width="9.140625" style="4"/>
  </cols>
  <sheetData>
    <row r="1" spans="1:16" x14ac:dyDescent="0.25">
      <c r="A1" s="4" t="s">
        <v>258</v>
      </c>
    </row>
    <row r="2" spans="1:16" x14ac:dyDescent="0.25">
      <c r="A2" s="65" t="s">
        <v>67</v>
      </c>
      <c r="B2" s="65"/>
      <c r="C2" s="65"/>
      <c r="D2" s="65"/>
    </row>
    <row r="3" spans="1:16" x14ac:dyDescent="0.25">
      <c r="A3" s="65"/>
      <c r="B3" s="65"/>
      <c r="C3" s="65"/>
      <c r="D3" s="65"/>
    </row>
    <row r="4" spans="1:16" x14ac:dyDescent="0.25">
      <c r="A4" s="65"/>
      <c r="B4" s="65"/>
      <c r="C4" s="65"/>
      <c r="D4" s="65"/>
    </row>
    <row r="5" spans="1:16" x14ac:dyDescent="0.25">
      <c r="A5" s="66"/>
      <c r="B5" s="66"/>
      <c r="C5" s="66"/>
      <c r="D5" s="66"/>
    </row>
    <row r="10" spans="1:16" x14ac:dyDescent="0.25">
      <c r="A10" s="13" t="s">
        <v>29</v>
      </c>
      <c r="B10" s="14" t="s">
        <v>30</v>
      </c>
      <c r="C10" s="13" t="s">
        <v>145</v>
      </c>
      <c r="D10" s="14" t="s">
        <v>144</v>
      </c>
      <c r="E10" s="14"/>
      <c r="F10" s="14"/>
      <c r="G10" s="14"/>
      <c r="H10" s="15"/>
      <c r="I10" s="13" t="s">
        <v>36</v>
      </c>
      <c r="J10" s="15"/>
      <c r="K10" s="14"/>
      <c r="L10" s="67" t="s">
        <v>48</v>
      </c>
      <c r="M10" s="67"/>
      <c r="N10" s="67"/>
      <c r="O10" s="67"/>
      <c r="P10" s="67"/>
    </row>
    <row r="11" spans="1:16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44" customFormat="1" x14ac:dyDescent="0.25">
      <c r="A14" s="44" t="s">
        <v>155</v>
      </c>
      <c r="B14" s="40" t="s">
        <v>1</v>
      </c>
      <c r="C14" s="40"/>
      <c r="D14" s="41">
        <v>299.08625000000001</v>
      </c>
      <c r="E14" s="44" t="s">
        <v>158</v>
      </c>
      <c r="F14" s="41">
        <f>'data from JD'!F14+'data from JD'!P14/1000</f>
        <v>-8.8999999999999995E-5</v>
      </c>
      <c r="H14" s="41"/>
      <c r="I14" s="43"/>
      <c r="J14" s="43" t="s">
        <v>46</v>
      </c>
      <c r="K14" s="40"/>
      <c r="L14" s="40" t="s">
        <v>154</v>
      </c>
      <c r="M14" s="40"/>
      <c r="N14" s="40"/>
      <c r="O14" s="40"/>
      <c r="P14" s="40"/>
    </row>
    <row r="15" spans="1:16" s="44" customFormat="1" x14ac:dyDescent="0.25">
      <c r="A15" s="44" t="s">
        <v>156</v>
      </c>
      <c r="B15" s="40"/>
      <c r="C15" s="41"/>
      <c r="D15" s="41">
        <f>D14+0.0249</f>
        <v>299.11115000000001</v>
      </c>
      <c r="F15" s="41"/>
      <c r="H15" s="41"/>
      <c r="I15" s="43"/>
      <c r="J15" s="43"/>
      <c r="K15" s="40"/>
      <c r="L15" s="40" t="s">
        <v>157</v>
      </c>
      <c r="M15" s="40"/>
      <c r="N15" s="40"/>
      <c r="O15" s="40"/>
      <c r="P15" s="40"/>
    </row>
    <row r="16" spans="1:16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165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25">
      <c r="A18" s="15" t="s">
        <v>163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162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57" customFormat="1" x14ac:dyDescent="0.25">
      <c r="A20" s="56" t="s">
        <v>72</v>
      </c>
      <c r="B20" s="56" t="s">
        <v>4</v>
      </c>
      <c r="C20" s="56"/>
      <c r="D20" s="58">
        <f>HODO!G10</f>
        <v>303.09971999999999</v>
      </c>
      <c r="E20" s="58">
        <f>HODO!H10</f>
        <v>79.718710000000002</v>
      </c>
      <c r="F20" s="58">
        <f>'data from JD'!F20+'data from JD'!P20/1000</f>
        <v>-2.7500000000000002E-4</v>
      </c>
      <c r="G20" s="58">
        <f>HODO!I10</f>
        <v>104.76967</v>
      </c>
      <c r="H20" s="58">
        <f>HODO!P10</f>
        <v>-8.0570737509460049</v>
      </c>
      <c r="I20" s="58">
        <f>HODO!Q10</f>
        <v>5.7891525279446998E-3</v>
      </c>
      <c r="J20" s="58">
        <f>HODO!R10</f>
        <v>-3.7775224851010959E-2</v>
      </c>
      <c r="K20" s="56"/>
      <c r="L20" s="56"/>
      <c r="M20" s="56"/>
      <c r="N20" s="56"/>
      <c r="O20" s="56"/>
      <c r="P20" s="56"/>
    </row>
    <row r="21" spans="1:16" s="57" customFormat="1" x14ac:dyDescent="0.25">
      <c r="A21" s="56" t="s">
        <v>73</v>
      </c>
      <c r="B21" s="56" t="s">
        <v>5</v>
      </c>
      <c r="C21" s="56"/>
      <c r="D21" s="58">
        <f>HODO!G15</f>
        <v>304.38850000000002</v>
      </c>
      <c r="E21" s="58">
        <f>HODO!H15</f>
        <v>79.537000000000006</v>
      </c>
      <c r="F21" s="58">
        <f>'data from JD'!F21+'data from JD'!P21/1000</f>
        <v>-1.75E-4</v>
      </c>
      <c r="G21" s="58">
        <f>HODO!I15</f>
        <v>104.77021000000001</v>
      </c>
      <c r="H21" s="58">
        <f>HODO!P15</f>
        <v>-8.055351895281019</v>
      </c>
      <c r="I21" s="58">
        <f>HODO!Q15</f>
        <v>-9.4033780027255424E-3</v>
      </c>
      <c r="J21" s="58">
        <f>HODO!R15</f>
        <v>-0.21027201359025313</v>
      </c>
      <c r="K21" s="56"/>
      <c r="L21" s="56"/>
      <c r="M21" s="56"/>
      <c r="N21" s="56"/>
      <c r="O21" s="56"/>
      <c r="P21" s="56"/>
    </row>
    <row r="22" spans="1:16" s="57" customFormat="1" x14ac:dyDescent="0.25">
      <c r="A22" s="56" t="s">
        <v>74</v>
      </c>
      <c r="B22" s="56" t="s">
        <v>6</v>
      </c>
      <c r="C22" s="56"/>
      <c r="D22" s="58">
        <f>HODO!G20</f>
        <v>305.67</v>
      </c>
      <c r="E22" s="58">
        <f>HODO!H20</f>
        <v>79.354569999999995</v>
      </c>
      <c r="F22" s="58">
        <f>'data from JD'!F22+'data from JD'!P22/1000</f>
        <v>0</v>
      </c>
      <c r="G22" s="58">
        <f>HODO!I20</f>
        <v>104.77070000000001</v>
      </c>
      <c r="H22" s="58">
        <f>HODO!P20</f>
        <v>-8.1001918662131729</v>
      </c>
      <c r="I22" s="58">
        <f>HODO!Q20</f>
        <v>2.2637125319813579E-2</v>
      </c>
      <c r="J22" s="58">
        <f>HODO!R20</f>
        <v>0.16192065088884786</v>
      </c>
      <c r="K22" s="56"/>
      <c r="L22" s="56"/>
      <c r="M22" s="56"/>
      <c r="N22" s="56"/>
      <c r="O22" s="56"/>
      <c r="P22" s="56"/>
    </row>
    <row r="23" spans="1:16" s="57" customFormat="1" x14ac:dyDescent="0.25">
      <c r="A23" s="56" t="s">
        <v>75</v>
      </c>
      <c r="B23" s="56" t="s">
        <v>7</v>
      </c>
      <c r="C23" s="56"/>
      <c r="D23" s="58">
        <f>HODO!G25</f>
        <v>306.65971999999999</v>
      </c>
      <c r="E23" s="58">
        <f>HODO!H25</f>
        <v>79.214740000000006</v>
      </c>
      <c r="F23" s="58">
        <f>'data from JD'!F23+'data from JD'!P23/1000</f>
        <v>7.4999999999999993E-5</v>
      </c>
      <c r="G23" s="58">
        <f>HODO!I25</f>
        <v>104.77036</v>
      </c>
      <c r="H23" s="58">
        <f>HODO!P25</f>
        <v>-7.8893194045335466</v>
      </c>
      <c r="I23" s="58">
        <f>HODO!Q25</f>
        <v>7.1438431894607296E-3</v>
      </c>
      <c r="J23" s="58">
        <f>HODO!R25</f>
        <v>-0.28610850715798436</v>
      </c>
      <c r="K23" s="56"/>
      <c r="L23" s="56"/>
      <c r="M23" s="56"/>
      <c r="N23" s="56"/>
      <c r="O23" s="56"/>
      <c r="P23" s="56"/>
    </row>
    <row r="24" spans="1:16" s="57" customFormat="1" x14ac:dyDescent="0.25">
      <c r="A24" s="56" t="s">
        <v>76</v>
      </c>
      <c r="B24" s="56" t="s">
        <v>8</v>
      </c>
      <c r="C24" s="56"/>
      <c r="D24" s="58">
        <f>HODO!G30</f>
        <v>307.70461999999998</v>
      </c>
      <c r="E24" s="58">
        <f>HODO!H30</f>
        <v>79.068129999999996</v>
      </c>
      <c r="F24" s="58">
        <f>'data from JD'!F24+'data from JD'!P24/1000</f>
        <v>-2.2499999999999999E-4</v>
      </c>
      <c r="G24" s="58">
        <f>HODO!I30</f>
        <v>104.77021000000001</v>
      </c>
      <c r="H24" s="58">
        <f>HODO!P30</f>
        <v>-8.1281657324848471</v>
      </c>
      <c r="I24" s="58">
        <f>HODO!Q30</f>
        <v>-2.1652902576445449E-2</v>
      </c>
      <c r="J24" s="58">
        <f>HODO!R30</f>
        <v>-8.7210692712047427E-2</v>
      </c>
      <c r="K24" s="56"/>
      <c r="L24" s="56"/>
      <c r="M24" s="56"/>
      <c r="N24" s="56"/>
      <c r="O24" s="56"/>
      <c r="P24" s="56"/>
    </row>
    <row r="25" spans="1:16" s="57" customFormat="1" x14ac:dyDescent="0.25">
      <c r="A25" s="56" t="s">
        <v>77</v>
      </c>
      <c r="B25" s="56" t="s">
        <v>9</v>
      </c>
      <c r="C25" s="56"/>
      <c r="D25" s="58">
        <f>HODO!G35</f>
        <v>308.89981999999998</v>
      </c>
      <c r="E25" s="58">
        <f>HODO!H35</f>
        <v>78.899590000000003</v>
      </c>
      <c r="F25" s="58">
        <f>'data from JD'!F25+'data from JD'!P25/1000</f>
        <v>-5.0000000000000001E-4</v>
      </c>
      <c r="G25" s="58">
        <f>HODO!I35</f>
        <v>104.76897</v>
      </c>
      <c r="H25" s="58">
        <f>HODO!P35</f>
        <v>-8.0935378904385402</v>
      </c>
      <c r="I25" s="58">
        <f>HODO!Q35</f>
        <v>1.4469545111226417E-3</v>
      </c>
      <c r="J25" s="58">
        <f>HODO!R35</f>
        <v>-0.3144850020968411</v>
      </c>
      <c r="K25" s="56"/>
      <c r="L25" s="56"/>
      <c r="M25" s="56"/>
      <c r="N25" s="56"/>
      <c r="O25" s="56"/>
      <c r="P25" s="56"/>
    </row>
    <row r="26" spans="1:16" s="57" customFormat="1" x14ac:dyDescent="0.25">
      <c r="A26" s="56" t="s">
        <v>78</v>
      </c>
      <c r="B26" s="56" t="s">
        <v>10</v>
      </c>
      <c r="C26" s="56"/>
      <c r="D26" s="58">
        <f>HODO!G40</f>
        <v>310.14328999999998</v>
      </c>
      <c r="E26" s="58">
        <f>HODO!H40</f>
        <v>78.722629999999995</v>
      </c>
      <c r="F26" s="58">
        <f>'data from JD'!F26+'data from JD'!P26/1000</f>
        <v>4.4999999999999999E-4</v>
      </c>
      <c r="G26" s="58">
        <f>HODO!I40</f>
        <v>104.76913</v>
      </c>
      <c r="H26" s="58">
        <f>HODO!P40</f>
        <v>-8.0758076979028548</v>
      </c>
      <c r="I26" s="58">
        <f>HODO!Q40</f>
        <v>-2.0120679366794899E-2</v>
      </c>
      <c r="J26" s="58">
        <f>HODO!R40</f>
        <v>-1.8973927832729984E-2</v>
      </c>
      <c r="K26" s="56"/>
      <c r="L26" s="56"/>
      <c r="M26" s="56"/>
      <c r="N26" s="56"/>
      <c r="O26" s="56"/>
      <c r="P26" s="56"/>
    </row>
    <row r="27" spans="1:16" s="57" customFormat="1" x14ac:dyDescent="0.25">
      <c r="A27" s="56" t="s">
        <v>79</v>
      </c>
      <c r="B27" s="56" t="s">
        <v>11</v>
      </c>
      <c r="C27" s="56"/>
      <c r="D27" s="58">
        <f>HODO!G45</f>
        <v>311.56472000000002</v>
      </c>
      <c r="E27" s="58">
        <f>HODO!H45</f>
        <v>78.526529999999994</v>
      </c>
      <c r="F27" s="58">
        <f>'data from JD'!F27+'data from JD'!P27/1000</f>
        <v>1.25E-4</v>
      </c>
      <c r="G27" s="58">
        <f>HODO!I45</f>
        <v>104.76994999999999</v>
      </c>
      <c r="H27" s="58">
        <f>'data from JD'!L27+'data from JD'!R27</f>
        <v>-8.0435622717000008</v>
      </c>
      <c r="I27" s="58">
        <f>'data from JD'!M27+'data from JD'!S27</f>
        <v>-1.6094320299999999E-2</v>
      </c>
      <c r="J27" s="58">
        <f>'data from JD'!N27+'data from JD'!T27</f>
        <v>-0.18133323034000001</v>
      </c>
      <c r="K27" s="56"/>
      <c r="L27" s="56"/>
      <c r="M27" s="56"/>
      <c r="N27" s="56"/>
      <c r="O27" s="56"/>
      <c r="P27" s="56"/>
    </row>
    <row r="28" spans="1:16" s="44" customFormat="1" x14ac:dyDescent="0.25">
      <c r="A28" s="40" t="s">
        <v>43</v>
      </c>
      <c r="B28" s="40" t="s">
        <v>42</v>
      </c>
      <c r="C28" s="40"/>
      <c r="D28" s="41">
        <v>306.52325999999999</v>
      </c>
      <c r="E28" s="41">
        <v>79.433179999999993</v>
      </c>
      <c r="F28" s="41">
        <f>'data from JD'!F28+'data from JD'!P28/1000</f>
        <v>-0.91003700003305099</v>
      </c>
      <c r="G28" s="41">
        <v>104.70753000000001</v>
      </c>
      <c r="H28" s="41">
        <v>-8.0512999999999995</v>
      </c>
      <c r="I28" s="43">
        <v>2E-3</v>
      </c>
      <c r="J28" s="43">
        <v>6.6799999999999998E-2</v>
      </c>
      <c r="K28" s="40"/>
      <c r="L28" s="40"/>
      <c r="M28" s="40"/>
      <c r="N28" s="40"/>
      <c r="O28" s="40"/>
      <c r="P28" s="40"/>
    </row>
    <row r="29" spans="1:16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7" customFormat="1" x14ac:dyDescent="0.25">
      <c r="A30" s="56" t="s">
        <v>52</v>
      </c>
      <c r="B30" s="56" t="s">
        <v>25</v>
      </c>
      <c r="C30" s="56"/>
      <c r="D30" s="58">
        <v>374.48511000000002</v>
      </c>
      <c r="E30" s="58">
        <v>80.701549999999997</v>
      </c>
      <c r="F30" s="58">
        <v>104.69996999999999</v>
      </c>
      <c r="G30" s="61">
        <v>104.69983999999999</v>
      </c>
      <c r="H30" s="59">
        <v>2.4639999999999999E-2</v>
      </c>
      <c r="I30" s="59">
        <v>8.5900000000000004E-3</v>
      </c>
      <c r="J30" s="59">
        <v>-7.3910000000000003E-2</v>
      </c>
      <c r="K30" s="56"/>
      <c r="L30" s="56"/>
      <c r="M30" s="56"/>
      <c r="N30" s="56"/>
      <c r="O30" s="56"/>
      <c r="P30" s="56"/>
    </row>
    <row r="31" spans="1:16" x14ac:dyDescent="0.25">
      <c r="A31" s="15" t="s">
        <v>53</v>
      </c>
      <c r="B31" s="15" t="s">
        <v>26</v>
      </c>
      <c r="C31" s="15"/>
      <c r="D31" s="16">
        <v>380.37258000000003</v>
      </c>
      <c r="E31" s="16">
        <v>80.600369999999998</v>
      </c>
      <c r="F31" s="16">
        <f>'data from JD'!F31+'data from JD'!P31/1000</f>
        <v>-0.88995200002670272</v>
      </c>
      <c r="G31" s="16">
        <v>104.69969</v>
      </c>
      <c r="H31" s="16">
        <v>4.956E-2</v>
      </c>
      <c r="I31" s="17">
        <v>-4.5799999999999999E-3</v>
      </c>
      <c r="J31" s="17">
        <v>-4.8700000000000002E-3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v>376.78388000000001</v>
      </c>
      <c r="E32" s="16">
        <v>80.600350000000006</v>
      </c>
      <c r="F32" s="16">
        <f>'data from JD'!F32+'data from JD'!P32/1000</f>
        <v>-8.9999999999999985E-6</v>
      </c>
      <c r="G32" s="16">
        <v>104.69956999999999</v>
      </c>
      <c r="H32" s="16">
        <v>-2.9E-4</v>
      </c>
      <c r="I32" s="17">
        <v>4.3E-3</v>
      </c>
      <c r="J32" s="17">
        <v>6.5900000000000004E-3</v>
      </c>
      <c r="K32" s="15"/>
      <c r="L32" s="15"/>
      <c r="M32" s="15"/>
      <c r="N32" s="15"/>
      <c r="O32" s="15"/>
      <c r="P32" s="15"/>
    </row>
    <row r="33" spans="1:21" x14ac:dyDescent="0.25">
      <c r="A33" s="15" t="s">
        <v>55</v>
      </c>
      <c r="B33" s="15" t="s">
        <v>28</v>
      </c>
      <c r="C33" s="15"/>
      <c r="D33" s="16">
        <f>'data from JD'!D33+'data from JD'!N33/1000</f>
        <v>381.13933600000001</v>
      </c>
      <c r="E33" s="16">
        <f>'data from JD'!G33+'data from JD'!O33/1000</f>
        <v>80.600009999999997</v>
      </c>
      <c r="F33" s="16">
        <f>'data from JD'!F33+'data from JD'!P33/1000</f>
        <v>3.1999999999999999E-5</v>
      </c>
      <c r="G33" s="16">
        <f>'data from JD'!K33+'data from JD'!P33/1000</f>
        <v>104.70003200000001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21" x14ac:dyDescent="0.25">
      <c r="A34" s="15" t="s">
        <v>161</v>
      </c>
      <c r="B34" s="15"/>
      <c r="C34" s="15"/>
      <c r="D34" s="16">
        <v>383.06254999999999</v>
      </c>
      <c r="E34" s="16">
        <v>80.600009999999997</v>
      </c>
      <c r="F34" s="16"/>
      <c r="G34" s="16">
        <v>104.69965000000001</v>
      </c>
      <c r="H34" s="16">
        <v>1.49E-2</v>
      </c>
      <c r="I34" s="17">
        <v>2.9E-4</v>
      </c>
      <c r="J34" s="17">
        <v>1.5180000000000001E-2</v>
      </c>
      <c r="K34" s="15"/>
      <c r="L34" s="15"/>
      <c r="M34" s="15"/>
      <c r="N34" s="15"/>
      <c r="O34" s="15"/>
      <c r="P34" s="15"/>
    </row>
    <row r="35" spans="1:21" x14ac:dyDescent="0.25">
      <c r="A35" s="15" t="s">
        <v>56</v>
      </c>
      <c r="B35" s="15" t="s">
        <v>22</v>
      </c>
      <c r="C35" s="15"/>
      <c r="D35" s="16">
        <f>'data from JD'!D35+'data from JD'!N35/1000</f>
        <v>385.23072999999999</v>
      </c>
      <c r="E35" s="16">
        <f>'data from JD'!G35+'data from JD'!O35/1000</f>
        <v>80.600039999999993</v>
      </c>
      <c r="F35" s="16">
        <f>'data from JD'!F35+'data from JD'!P35/1000</f>
        <v>-0.12002400003808963</v>
      </c>
      <c r="G35" s="16">
        <f>'data from JD'!K35+'data from JD'!P35/1000</f>
        <v>104.69997600000001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21" s="44" customFormat="1" x14ac:dyDescent="0.25">
      <c r="A36" s="40" t="s">
        <v>57</v>
      </c>
      <c r="B36" s="40" t="s">
        <v>21</v>
      </c>
      <c r="C36" s="40"/>
      <c r="D36" s="41">
        <v>386.76733000000002</v>
      </c>
      <c r="E36" s="41">
        <v>80.599900000000005</v>
      </c>
      <c r="F36" s="41">
        <f>'data from JD'!F36+'data from JD'!P36/1000</f>
        <v>0.17991300000029103</v>
      </c>
      <c r="G36" s="41">
        <v>104.69956000000001</v>
      </c>
      <c r="H36" s="41">
        <v>6.7000000000000002E-3</v>
      </c>
      <c r="I36" s="43">
        <v>-1.0800000000000001E-2</v>
      </c>
      <c r="J36" s="43">
        <v>-2E-3</v>
      </c>
      <c r="K36" s="40"/>
      <c r="L36" s="40"/>
      <c r="M36" s="40"/>
      <c r="N36" s="40"/>
      <c r="O36" s="40"/>
      <c r="P36" s="40"/>
    </row>
    <row r="37" spans="1:21" s="44" customFormat="1" x14ac:dyDescent="0.25">
      <c r="A37" s="40" t="s">
        <v>58</v>
      </c>
      <c r="B37" s="40" t="s">
        <v>19</v>
      </c>
      <c r="C37" s="40"/>
      <c r="D37" s="41">
        <v>389.69475</v>
      </c>
      <c r="E37" s="41">
        <v>80.361410000000006</v>
      </c>
      <c r="F37" s="41">
        <v>104.70003</v>
      </c>
      <c r="G37" s="42">
        <v>104.70001000000001</v>
      </c>
      <c r="H37" s="43">
        <v>-4.6894999999999998</v>
      </c>
      <c r="I37" s="43">
        <v>4.7000000000000002E-3</v>
      </c>
      <c r="J37" s="43">
        <v>1.41E-2</v>
      </c>
      <c r="K37" s="40"/>
      <c r="L37" s="40"/>
      <c r="M37" s="40"/>
      <c r="N37" s="40"/>
      <c r="O37" s="40"/>
      <c r="P37" s="40"/>
    </row>
    <row r="38" spans="1:21" s="44" customFormat="1" x14ac:dyDescent="0.25">
      <c r="A38" s="40" t="s">
        <v>59</v>
      </c>
      <c r="B38" s="40" t="s">
        <v>20</v>
      </c>
      <c r="C38" s="40"/>
      <c r="D38" s="41">
        <v>389.69421</v>
      </c>
      <c r="E38" s="41">
        <v>80.838520000000003</v>
      </c>
      <c r="F38" s="41">
        <v>104.70019000000001</v>
      </c>
      <c r="G38" s="42">
        <v>104.69998</v>
      </c>
      <c r="H38" s="43">
        <v>4.6729000000000003</v>
      </c>
      <c r="I38" s="43">
        <v>2.1999999999999999E-2</v>
      </c>
      <c r="J38" s="43">
        <v>9.5999999999999992E-3</v>
      </c>
      <c r="K38" s="40"/>
      <c r="L38" s="40"/>
      <c r="M38" s="40"/>
      <c r="N38" s="40"/>
      <c r="O38" s="40"/>
      <c r="P38" s="40"/>
    </row>
    <row r="39" spans="1:21" s="44" customFormat="1" x14ac:dyDescent="0.25">
      <c r="A39" s="40" t="s">
        <v>60</v>
      </c>
      <c r="B39" s="41" t="s">
        <v>86</v>
      </c>
      <c r="C39" s="40"/>
      <c r="D39" s="41">
        <v>390.18349999999998</v>
      </c>
      <c r="E39" s="41">
        <v>80.32517</v>
      </c>
      <c r="F39" s="41">
        <f>'data from JD'!F39+'data from JD'!P39/1000</f>
        <v>0.18167999999524154</v>
      </c>
      <c r="G39" s="41">
        <v>104.70267</v>
      </c>
      <c r="H39" s="41">
        <v>-4.6928999999999998</v>
      </c>
      <c r="I39" s="43">
        <v>-9.5799999999999996E-2</v>
      </c>
      <c r="J39" s="43">
        <v>9.8199999999999996E-2</v>
      </c>
      <c r="K39" s="40"/>
      <c r="L39" s="40"/>
      <c r="M39" s="40"/>
      <c r="N39" s="40"/>
      <c r="O39" s="40"/>
      <c r="P39" s="40"/>
    </row>
    <row r="40" spans="1:21" s="44" customFormat="1" x14ac:dyDescent="0.25">
      <c r="A40" s="40" t="s">
        <v>61</v>
      </c>
      <c r="B40" s="41" t="s">
        <v>85</v>
      </c>
      <c r="C40" s="40"/>
      <c r="D40" s="41">
        <f>390.18349</f>
        <v>390.18349000000001</v>
      </c>
      <c r="E40" s="41">
        <v>80.87509</v>
      </c>
      <c r="F40" s="41">
        <f>'data from JD'!F40+'data from JD'!P40/1000</f>
        <v>0.18207999999524152</v>
      </c>
      <c r="G40" s="41">
        <v>104.70086999999999</v>
      </c>
      <c r="H40" s="41">
        <v>4.7812999999999999</v>
      </c>
      <c r="I40" s="43">
        <v>-3.7000000000000002E-3</v>
      </c>
      <c r="J40" s="43">
        <v>-9.06E-2</v>
      </c>
      <c r="K40" s="40"/>
      <c r="L40" s="40"/>
      <c r="M40" s="40"/>
      <c r="N40" s="40"/>
      <c r="O40" s="40"/>
      <c r="P40" s="40"/>
    </row>
    <row r="41" spans="1:21" x14ac:dyDescent="0.25">
      <c r="A41" s="15" t="s">
        <v>62</v>
      </c>
      <c r="B41" s="15" t="s">
        <v>23</v>
      </c>
      <c r="C41" s="15"/>
      <c r="D41" s="16">
        <v>400.02780000000001</v>
      </c>
      <c r="E41" s="16">
        <v>80.599699999999999</v>
      </c>
      <c r="F41" s="16">
        <f>'data from JD'!F41+'data from JD'!P41/1000</f>
        <v>6.0598799999340072</v>
      </c>
      <c r="G41" s="16">
        <v>104.7</v>
      </c>
      <c r="H41" s="16">
        <v>2.58E-2</v>
      </c>
      <c r="I41" s="16">
        <v>1.35E-2</v>
      </c>
      <c r="J41" s="17">
        <v>2.5999999999999999E-3</v>
      </c>
      <c r="K41" s="15"/>
      <c r="L41" s="15"/>
      <c r="M41" s="15"/>
      <c r="N41" s="15"/>
      <c r="O41" s="15"/>
      <c r="P41" s="15"/>
      <c r="S41" s="4">
        <v>400.02857999999998</v>
      </c>
      <c r="T41" s="2">
        <f>S41-D41</f>
        <v>7.7999999996336555E-4</v>
      </c>
    </row>
    <row r="42" spans="1:21" x14ac:dyDescent="0.25">
      <c r="A42" s="15" t="s">
        <v>141</v>
      </c>
      <c r="B42" s="15"/>
      <c r="C42" s="15"/>
      <c r="D42" s="16">
        <v>397.63060000000002</v>
      </c>
      <c r="E42" s="16">
        <f>(D42-D41)*TAN(H41*3.1415/180)+E41</f>
        <v>80.598620584715718</v>
      </c>
      <c r="F42" s="16"/>
      <c r="G42" s="16">
        <f>(D42-D41)*TAN(I41*3.1415/180)+G41</f>
        <v>104.69943518970454</v>
      </c>
      <c r="H42" s="16"/>
      <c r="I42" s="17"/>
      <c r="J42" s="17"/>
      <c r="K42" s="15"/>
      <c r="L42" s="15"/>
      <c r="M42" s="15"/>
      <c r="N42" s="16"/>
      <c r="O42" s="15"/>
      <c r="P42" s="15"/>
      <c r="Q42" s="2">
        <f>D42-D41</f>
        <v>-2.397199999999998</v>
      </c>
      <c r="S42" s="4">
        <v>397.63062000000002</v>
      </c>
      <c r="T42" s="2">
        <f t="shared" ref="T42:T43" si="0">S42-D42</f>
        <v>2.0000000006348273E-5</v>
      </c>
      <c r="U42" s="4">
        <f>S41-S42</f>
        <v>2.397959999999955</v>
      </c>
    </row>
    <row r="43" spans="1:21" x14ac:dyDescent="0.25">
      <c r="A43" s="15" t="s">
        <v>142</v>
      </c>
      <c r="B43" s="15"/>
      <c r="C43" s="15"/>
      <c r="D43" s="16">
        <v>402.42520000000002</v>
      </c>
      <c r="E43" s="16">
        <f>(D43-D41)*TAN(H41*3.1415/180)+E41</f>
        <v>80.600779505340626</v>
      </c>
      <c r="F43" s="16"/>
      <c r="G43" s="16">
        <f>(D43-D41)*TAN(I41*3.1415/180)+G41</f>
        <v>104.70056485741796</v>
      </c>
      <c r="H43" s="16"/>
      <c r="I43" s="17"/>
      <c r="J43" s="17"/>
      <c r="K43" s="15"/>
      <c r="L43" s="15"/>
      <c r="M43" s="15"/>
      <c r="N43" s="15"/>
      <c r="O43" s="15"/>
      <c r="P43" s="15"/>
      <c r="Q43" s="2">
        <f>D43-D41</f>
        <v>2.3974000000000046</v>
      </c>
      <c r="S43" s="4">
        <v>402.42653999999999</v>
      </c>
      <c r="T43" s="2">
        <f t="shared" si="0"/>
        <v>1.3399999999705869E-3</v>
      </c>
      <c r="U43" s="4">
        <f>S43-S41</f>
        <v>2.3979600000000119</v>
      </c>
    </row>
    <row r="44" spans="1:21" x14ac:dyDescent="0.25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s="57" customFormat="1" x14ac:dyDescent="0.25">
      <c r="A45" s="56" t="s">
        <v>195</v>
      </c>
      <c r="B45" s="56"/>
      <c r="C45" s="56"/>
      <c r="D45" s="60">
        <f>D46-(D47-D46)</f>
        <v>398.64224000000002</v>
      </c>
      <c r="E45" s="58">
        <f>(D45-D46)*(TAN(H46*3.1416/180))+E46</f>
        <v>80.599939252168298</v>
      </c>
      <c r="F45" s="58"/>
      <c r="G45" s="58">
        <f>(D45-D46)*(TAN(I46*3.1416/180))+G46</f>
        <v>104.70003638977801</v>
      </c>
      <c r="H45" s="58"/>
      <c r="I45" s="59"/>
      <c r="J45" s="59"/>
      <c r="K45" s="56"/>
      <c r="L45" s="56"/>
      <c r="M45" s="56"/>
      <c r="N45" s="56"/>
      <c r="O45" s="56"/>
      <c r="P45" s="56"/>
    </row>
    <row r="46" spans="1:21" s="57" customFormat="1" x14ac:dyDescent="0.25">
      <c r="A46" s="56" t="s">
        <v>179</v>
      </c>
      <c r="B46" s="56" t="s">
        <v>253</v>
      </c>
      <c r="C46" s="56"/>
      <c r="D46" s="58">
        <v>398.78998999999999</v>
      </c>
      <c r="E46" s="58">
        <v>80.599940000000004</v>
      </c>
      <c r="F46" s="58">
        <f>'data from JD'!F45+'data from JD'!P45/1000</f>
        <v>0.17992000000029104</v>
      </c>
      <c r="G46" s="58">
        <v>104.70004</v>
      </c>
      <c r="H46" s="58">
        <v>2.9E-4</v>
      </c>
      <c r="I46" s="59">
        <v>1.4E-3</v>
      </c>
      <c r="J46" s="59">
        <v>-1.404E-2</v>
      </c>
      <c r="K46" s="56"/>
      <c r="L46" s="56"/>
      <c r="M46" s="56"/>
      <c r="N46" s="56"/>
      <c r="O46" s="56"/>
      <c r="P46" s="56"/>
    </row>
    <row r="47" spans="1:21" s="57" customFormat="1" x14ac:dyDescent="0.25">
      <c r="A47" s="56" t="s">
        <v>196</v>
      </c>
      <c r="B47" s="56"/>
      <c r="C47" s="56"/>
      <c r="D47" s="60">
        <f>D46+0.14775</f>
        <v>398.93773999999996</v>
      </c>
      <c r="E47" s="58">
        <f>(D47-D46)*(TAN(H46*3.1416/180))+E46</f>
        <v>80.59994074783171</v>
      </c>
      <c r="F47" s="58"/>
      <c r="G47" s="58">
        <f>(D47-D46)*(TAN(I46*3.1416/180))+G46</f>
        <v>104.700043610222</v>
      </c>
      <c r="H47" s="58"/>
      <c r="I47" s="59"/>
      <c r="J47" s="59"/>
      <c r="K47" s="56"/>
      <c r="L47" s="56">
        <f>(D45+D47)/2</f>
        <v>398.78998999999999</v>
      </c>
      <c r="M47" s="58">
        <f>D46-D49</f>
        <v>0.35228999999998223</v>
      </c>
      <c r="N47" s="58">
        <f>D47-D46</f>
        <v>0.14774999999997362</v>
      </c>
      <c r="O47" s="56"/>
      <c r="P47" s="56"/>
    </row>
    <row r="48" spans="1:21" s="47" customFormat="1" x14ac:dyDescent="0.25">
      <c r="A48" s="25" t="s">
        <v>152</v>
      </c>
      <c r="B48" s="25"/>
      <c r="C48" s="25"/>
      <c r="D48" s="50">
        <f>D46-(-0.19418)</f>
        <v>398.98417000000001</v>
      </c>
      <c r="E48" s="50">
        <f>(D48-398.78738)*(TAN(H48*3.1415/180))+80.60095</f>
        <v>80.601268347061648</v>
      </c>
      <c r="F48" s="50"/>
      <c r="G48" s="50">
        <f>(D48-398.78738)*(TAN(I48*3.1415/180))+104.70174</f>
        <v>104.70201098475704</v>
      </c>
      <c r="H48" s="50">
        <f>H46-(-0.0924)</f>
        <v>9.2689999999999995E-2</v>
      </c>
      <c r="I48" s="51">
        <f>I46-(-0.0775)</f>
        <v>7.8899999999999998E-2</v>
      </c>
      <c r="J48" s="51">
        <v>-1.55E-2</v>
      </c>
      <c r="K48" s="25"/>
      <c r="L48" s="25"/>
      <c r="M48" s="25"/>
      <c r="N48" s="25"/>
      <c r="O48" s="25"/>
      <c r="P48" s="25"/>
    </row>
    <row r="49" spans="1:17" s="47" customFormat="1" x14ac:dyDescent="0.25">
      <c r="A49" s="25" t="s">
        <v>80</v>
      </c>
      <c r="B49" s="25" t="s">
        <v>18</v>
      </c>
      <c r="C49" s="50" t="s">
        <v>46</v>
      </c>
      <c r="D49" s="50">
        <f>D46-0.35229</f>
        <v>398.43770000000001</v>
      </c>
      <c r="E49" s="50" t="s">
        <v>46</v>
      </c>
      <c r="F49" s="50">
        <f>'data from JD'!F49+'data from JD'!P49/1000</f>
        <v>1.23E-3</v>
      </c>
      <c r="G49" s="50" t="s">
        <v>46</v>
      </c>
      <c r="H49" s="50" t="s">
        <v>46</v>
      </c>
      <c r="I49" s="50" t="s">
        <v>46</v>
      </c>
      <c r="J49" s="51"/>
      <c r="K49" s="25"/>
      <c r="L49" s="25"/>
      <c r="M49" s="25"/>
      <c r="N49" s="50">
        <f>D46-D49</f>
        <v>0.35228999999998223</v>
      </c>
      <c r="O49" s="25"/>
      <c r="P49" s="25"/>
    </row>
    <row r="50" spans="1:17" s="47" customFormat="1" x14ac:dyDescent="0.25">
      <c r="A50" s="25" t="s">
        <v>92</v>
      </c>
      <c r="B50" s="25"/>
      <c r="C50" s="50"/>
      <c r="D50" s="52">
        <f>D49+0.0873</f>
        <v>398.52500000000003</v>
      </c>
      <c r="E50" s="50">
        <f>(D50-D46)*(TAN(H50*3.1415/180))+E46+0.00072</f>
        <v>80.599930711620161</v>
      </c>
      <c r="F50" s="50">
        <f>'data from JD'!F50+'data from JD'!P50/1000</f>
        <v>1.23E-3</v>
      </c>
      <c r="G50" s="50">
        <f>(D50-D46)*(TAN(I50*3.1415/180))+G46</f>
        <v>104.69902253645164</v>
      </c>
      <c r="H50" s="50">
        <f>H46+0.1574</f>
        <v>0.15769000000000002</v>
      </c>
      <c r="I50" s="50">
        <f>I46+0.2186</f>
        <v>0.22</v>
      </c>
      <c r="J50" s="51"/>
      <c r="K50" s="25"/>
      <c r="L50" s="25">
        <v>398.78809000000001</v>
      </c>
      <c r="M50" s="25"/>
      <c r="N50" s="50">
        <f>D46-D50</f>
        <v>0.26498999999995476</v>
      </c>
      <c r="O50" s="25"/>
      <c r="P50" s="25"/>
    </row>
    <row r="51" spans="1:17" s="47" customFormat="1" x14ac:dyDescent="0.25">
      <c r="A51" s="25" t="s">
        <v>93</v>
      </c>
      <c r="B51" s="25"/>
      <c r="C51" s="50"/>
      <c r="D51" s="52">
        <f>D49+0.6724</f>
        <v>399.11009999999999</v>
      </c>
      <c r="E51" s="50">
        <f>(D51-D46)*(TAN(H50*3.1415/180))+E46+0.00072</f>
        <v>80.601540986087286</v>
      </c>
      <c r="F51" s="50">
        <f>'data from JD'!F51+'data from JD'!P51/1000</f>
        <v>-4.4000000000000002E-4</v>
      </c>
      <c r="G51" s="50">
        <f>(D51-D46)*(TAN(I50*3.1415/180))+G46</f>
        <v>104.70126910395285</v>
      </c>
      <c r="H51" s="50"/>
      <c r="I51" s="50"/>
      <c r="J51" s="51"/>
      <c r="K51" s="25"/>
      <c r="L51" s="25"/>
      <c r="M51" s="25"/>
      <c r="N51" s="25"/>
      <c r="O51" s="25"/>
      <c r="P51" s="25"/>
    </row>
    <row r="52" spans="1:17" x14ac:dyDescent="0.25">
      <c r="A52" s="15" t="s">
        <v>111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25">
      <c r="A53" s="15" t="s">
        <v>112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>
        <f>D53-D52</f>
        <v>0.58569999999997435</v>
      </c>
    </row>
    <row r="54" spans="1:17" x14ac:dyDescent="0.25">
      <c r="A54" s="15" t="s">
        <v>113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>
        <f>D54-D53</f>
        <v>0.58589000000000624</v>
      </c>
    </row>
    <row r="55" spans="1:17" x14ac:dyDescent="0.25">
      <c r="A55" s="15" t="s">
        <v>114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>
        <f>D55-D54</f>
        <v>0.38675000000000637</v>
      </c>
    </row>
    <row r="56" spans="1:17" x14ac:dyDescent="0.25">
      <c r="A56" s="15" t="s">
        <v>147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25">
      <c r="A57" s="15" t="s">
        <v>159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>
        <f>D56-D57</f>
        <v>0.75</v>
      </c>
    </row>
    <row r="58" spans="1:17" x14ac:dyDescent="0.25">
      <c r="A58" s="15" t="s">
        <v>160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>
        <f>D56-D58</f>
        <v>-0.75</v>
      </c>
    </row>
    <row r="59" spans="1:17" s="57" customFormat="1" x14ac:dyDescent="0.25">
      <c r="A59" s="56" t="s">
        <v>65</v>
      </c>
      <c r="B59" s="56" t="s">
        <v>15</v>
      </c>
      <c r="C59" s="56"/>
      <c r="D59" s="58">
        <v>404.38481000000002</v>
      </c>
      <c r="E59" s="58">
        <v>80.605080000000001</v>
      </c>
      <c r="F59" s="58">
        <f>'data from JD'!F57+'data from JD'!P57/1000</f>
        <v>0.17997900000029105</v>
      </c>
      <c r="G59" s="58">
        <v>104.70010000000001</v>
      </c>
      <c r="H59" s="58">
        <v>-4.5839999999999999E-2</v>
      </c>
      <c r="I59" s="59">
        <v>3.524E-2</v>
      </c>
      <c r="J59" s="59">
        <v>-1.49E-2</v>
      </c>
      <c r="K59" s="56"/>
      <c r="L59" s="56"/>
      <c r="M59" s="56"/>
      <c r="N59" s="56"/>
      <c r="O59" s="56"/>
      <c r="P59" s="56"/>
    </row>
    <row r="60" spans="1:17" s="57" customFormat="1" x14ac:dyDescent="0.25">
      <c r="A60" s="56" t="s">
        <v>190</v>
      </c>
      <c r="B60" s="56" t="s">
        <v>16</v>
      </c>
      <c r="C60" s="56"/>
      <c r="D60" s="60">
        <v>404.18644</v>
      </c>
      <c r="E60" s="60">
        <v>80.603340000000003</v>
      </c>
      <c r="F60" s="60">
        <f t="shared" ref="F60" si="1">F59-F61</f>
        <v>0.17997900000029105</v>
      </c>
      <c r="G60" s="60">
        <v>104.70477</v>
      </c>
      <c r="H60" s="60">
        <v>-4.1540000000000001E-2</v>
      </c>
      <c r="I60" s="60">
        <v>4.4979999999999999E-2</v>
      </c>
      <c r="J60" s="60">
        <v>-0.13836999999999999</v>
      </c>
      <c r="K60" s="56"/>
      <c r="L60" s="56"/>
      <c r="M60" s="56"/>
      <c r="N60" s="56"/>
      <c r="O60" s="56"/>
      <c r="P60" s="56"/>
    </row>
    <row r="61" spans="1:17" s="57" customFormat="1" x14ac:dyDescent="0.25">
      <c r="A61" s="56" t="s">
        <v>252</v>
      </c>
      <c r="B61" s="56"/>
      <c r="C61" s="56"/>
      <c r="D61" s="56">
        <v>410.89935000000003</v>
      </c>
      <c r="E61" s="56">
        <v>80.599999999999994</v>
      </c>
      <c r="F61" s="56"/>
      <c r="G61" s="56">
        <v>104.69986</v>
      </c>
      <c r="H61" s="56">
        <v>-7.85E-2</v>
      </c>
      <c r="I61" s="56">
        <v>1.1169999999999999E-2</v>
      </c>
      <c r="J61" s="56">
        <v>-4.0390000000000002E-2</v>
      </c>
      <c r="K61" s="56"/>
      <c r="L61" s="56"/>
      <c r="M61" s="56"/>
      <c r="N61" s="56"/>
      <c r="O61" s="56"/>
      <c r="P61" s="56"/>
    </row>
    <row r="62" spans="1:17" s="47" customFormat="1" x14ac:dyDescent="0.25">
      <c r="A62" s="25" t="s">
        <v>257</v>
      </c>
      <c r="B62" s="25"/>
      <c r="C62" s="25"/>
      <c r="D62" s="46">
        <v>0</v>
      </c>
      <c r="E62" s="25">
        <v>0</v>
      </c>
      <c r="F62" s="25"/>
      <c r="G62" s="25">
        <v>0</v>
      </c>
      <c r="H62" s="25"/>
      <c r="I62" s="25"/>
      <c r="J62" s="25"/>
      <c r="K62" s="25"/>
      <c r="L62" s="25"/>
      <c r="M62" s="25"/>
      <c r="N62" s="25"/>
      <c r="O62" s="25"/>
      <c r="P62" s="25"/>
    </row>
    <row r="63" spans="1:17" s="57" customFormat="1" x14ac:dyDescent="0.25">
      <c r="A63" s="56" t="s">
        <v>259</v>
      </c>
      <c r="B63" s="58" t="s">
        <v>260</v>
      </c>
      <c r="C63" s="56"/>
      <c r="D63" s="56">
        <v>414.38200000000001</v>
      </c>
      <c r="E63" s="56">
        <v>80.599999999999994</v>
      </c>
      <c r="F63" s="56"/>
      <c r="G63" s="56">
        <v>104.7</v>
      </c>
      <c r="H63" s="56">
        <v>0.1168</v>
      </c>
      <c r="I63" s="56">
        <v>0.1065</v>
      </c>
      <c r="J63" s="56" t="s">
        <v>46</v>
      </c>
      <c r="K63" s="56"/>
      <c r="L63" s="56"/>
      <c r="M63" s="56"/>
      <c r="N63" s="56"/>
      <c r="O63" s="56"/>
      <c r="P63" s="56"/>
    </row>
    <row r="64" spans="1:17" s="64" customFormat="1" x14ac:dyDescent="0.25">
      <c r="A64" s="62" t="s">
        <v>280</v>
      </c>
      <c r="B64" s="63" t="s">
        <v>287</v>
      </c>
      <c r="C64" s="62"/>
      <c r="D64" s="62">
        <v>403.98205999999999</v>
      </c>
      <c r="E64" s="62">
        <v>80.607680000000002</v>
      </c>
      <c r="F64" s="62"/>
      <c r="G64" s="62">
        <v>103.8819</v>
      </c>
      <c r="H64" s="62">
        <v>-0.1003</v>
      </c>
      <c r="I64" s="62">
        <v>-7.9100000000000004E-2</v>
      </c>
      <c r="J64" s="62">
        <v>3.8100000000000002E-2</v>
      </c>
      <c r="K64" s="62"/>
      <c r="L64" s="62"/>
      <c r="M64" s="62"/>
      <c r="N64" s="62"/>
      <c r="O64" s="62"/>
      <c r="P64" s="62"/>
    </row>
    <row r="65" spans="1:16" s="64" customFormat="1" x14ac:dyDescent="0.25">
      <c r="A65" s="62" t="s">
        <v>279</v>
      </c>
      <c r="B65" s="63" t="s">
        <v>288</v>
      </c>
      <c r="C65" s="62"/>
      <c r="D65" s="62">
        <v>403.98259999999999</v>
      </c>
      <c r="E65" s="62">
        <v>80.608329999999995</v>
      </c>
      <c r="F65" s="62"/>
      <c r="G65" s="62">
        <v>104.39659</v>
      </c>
      <c r="H65" s="62">
        <v>-9.6299999999999997E-2</v>
      </c>
      <c r="I65" s="62">
        <v>-0.21429999999999999</v>
      </c>
      <c r="J65" s="62">
        <v>3.5499999999999997E-2</v>
      </c>
      <c r="K65" s="62"/>
      <c r="L65" s="62"/>
      <c r="M65" s="62"/>
      <c r="N65" s="62"/>
      <c r="O65" s="62"/>
      <c r="P65" s="62"/>
    </row>
    <row r="66" spans="1:16" s="72" customFormat="1" x14ac:dyDescent="0.25">
      <c r="A66" s="69" t="s">
        <v>285</v>
      </c>
      <c r="B66" s="70"/>
      <c r="C66" s="69"/>
      <c r="D66" s="71">
        <v>403.94306</v>
      </c>
      <c r="E66" s="69">
        <v>77.58717</v>
      </c>
      <c r="F66" s="69"/>
      <c r="G66" s="69">
        <v>104.3961</v>
      </c>
      <c r="H66" s="74">
        <v>-0.18936</v>
      </c>
      <c r="I66" s="74">
        <v>-0.22489000000000001</v>
      </c>
      <c r="J66" s="74">
        <v>4.8410000000000002E-2</v>
      </c>
      <c r="K66" s="69"/>
      <c r="L66" s="69"/>
      <c r="M66" s="69"/>
      <c r="N66" s="69"/>
      <c r="O66" s="69"/>
      <c r="P66" s="69"/>
    </row>
    <row r="67" spans="1:16" s="72" customFormat="1" x14ac:dyDescent="0.25">
      <c r="A67" s="69" t="s">
        <v>291</v>
      </c>
      <c r="B67" s="70" t="s">
        <v>289</v>
      </c>
      <c r="C67" s="69"/>
      <c r="D67" s="69">
        <v>403.98419000000001</v>
      </c>
      <c r="E67" s="69">
        <v>80.601380000000006</v>
      </c>
      <c r="F67" s="69"/>
      <c r="G67" s="69">
        <v>104.99903</v>
      </c>
      <c r="H67" s="74">
        <v>-8.3650000000000002E-2</v>
      </c>
      <c r="I67" s="74">
        <v>-0.15384</v>
      </c>
      <c r="J67" s="74">
        <v>-7.7299999999999999E-3</v>
      </c>
      <c r="K67" s="69"/>
      <c r="L67" s="69"/>
      <c r="M67" s="69"/>
      <c r="N67" s="69"/>
      <c r="O67" s="69"/>
      <c r="P67" s="69"/>
    </row>
    <row r="68" spans="1:16" s="72" customFormat="1" x14ac:dyDescent="0.25">
      <c r="A68" s="69" t="s">
        <v>292</v>
      </c>
      <c r="B68" s="70" t="s">
        <v>290</v>
      </c>
      <c r="C68" s="69"/>
      <c r="D68" s="69">
        <v>403.98541</v>
      </c>
      <c r="E68" s="69">
        <v>80.601460000000003</v>
      </c>
      <c r="F68" s="69"/>
      <c r="G68" s="69">
        <v>105.51401</v>
      </c>
      <c r="H68" s="74">
        <v>-9.5680000000000001E-2</v>
      </c>
      <c r="I68" s="74">
        <v>-0.18362999999999999</v>
      </c>
      <c r="J68" s="74">
        <v>-1.461E-2</v>
      </c>
      <c r="K68" s="69"/>
      <c r="L68" s="69"/>
      <c r="M68" s="69"/>
      <c r="N68" s="69"/>
      <c r="O68" s="69"/>
      <c r="P68" s="69"/>
    </row>
    <row r="69" spans="1:16" s="72" customFormat="1" x14ac:dyDescent="0.25">
      <c r="A69" s="69" t="s">
        <v>286</v>
      </c>
      <c r="B69" s="70"/>
      <c r="C69" s="69"/>
      <c r="D69" s="69">
        <v>403.95897000000002</v>
      </c>
      <c r="E69" s="69">
        <v>83.622479999999996</v>
      </c>
      <c r="F69" s="69"/>
      <c r="G69" s="69">
        <v>105.51273</v>
      </c>
      <c r="H69" s="74">
        <v>-0.1023</v>
      </c>
      <c r="I69" s="74">
        <v>-0.18340000000000001</v>
      </c>
      <c r="J69" s="74">
        <v>-4.4400000000000002E-2</v>
      </c>
      <c r="K69" s="69"/>
      <c r="L69" s="69"/>
      <c r="M69" s="69"/>
      <c r="N69" s="69"/>
      <c r="O69" s="69"/>
      <c r="P69" s="69"/>
    </row>
    <row r="70" spans="1:16" s="72" customFormat="1" x14ac:dyDescent="0.25">
      <c r="A70" s="69" t="s">
        <v>297</v>
      </c>
      <c r="B70" s="70"/>
      <c r="C70" s="69"/>
      <c r="D70" s="69">
        <v>403.82121000000001</v>
      </c>
      <c r="E70" s="69">
        <v>80.596950000000007</v>
      </c>
      <c r="F70" s="69"/>
      <c r="G70" s="69">
        <v>103.96033</v>
      </c>
      <c r="H70" s="74">
        <v>0.31080000000000002</v>
      </c>
      <c r="I70" s="74">
        <v>-0.18110000000000001</v>
      </c>
      <c r="J70" s="74">
        <v>-0.25900000000000001</v>
      </c>
      <c r="K70" s="69"/>
      <c r="L70" s="69"/>
      <c r="M70" s="69"/>
      <c r="N70" s="69"/>
      <c r="O70" s="69"/>
      <c r="P70" s="69"/>
    </row>
    <row r="71" spans="1:16" s="72" customFormat="1" x14ac:dyDescent="0.25">
      <c r="A71" s="69" t="s">
        <v>298</v>
      </c>
      <c r="B71" s="70"/>
      <c r="C71" s="69"/>
      <c r="D71" s="69">
        <v>403.82240000000002</v>
      </c>
      <c r="E71" s="69">
        <v>80.976759999999999</v>
      </c>
      <c r="F71" s="69"/>
      <c r="G71" s="69">
        <v>103.95753000000001</v>
      </c>
      <c r="H71" s="74">
        <v>0.38479999999999998</v>
      </c>
      <c r="I71" s="74">
        <v>-0.52800000000000002</v>
      </c>
      <c r="J71" s="74">
        <v>-0.1593</v>
      </c>
      <c r="K71" s="69"/>
      <c r="L71" s="69"/>
      <c r="M71" s="69"/>
      <c r="N71" s="69"/>
      <c r="O71" s="69"/>
      <c r="P71" s="69"/>
    </row>
    <row r="72" spans="1:16" s="72" customFormat="1" x14ac:dyDescent="0.25">
      <c r="A72" s="69" t="s">
        <v>299</v>
      </c>
      <c r="B72" s="70"/>
      <c r="C72" s="69"/>
      <c r="D72" s="69">
        <v>403.82168000000001</v>
      </c>
      <c r="E72" s="69">
        <v>80.209800000000001</v>
      </c>
      <c r="F72" s="69"/>
      <c r="G72" s="69">
        <v>103.95744999999999</v>
      </c>
      <c r="H72" s="74">
        <v>0.24210000000000001</v>
      </c>
      <c r="I72" s="74">
        <v>-0.5776</v>
      </c>
      <c r="J72" s="74">
        <v>-0.22489999999999999</v>
      </c>
      <c r="K72" s="69"/>
      <c r="L72" s="69"/>
      <c r="M72" s="69"/>
      <c r="N72" s="69"/>
      <c r="O72" s="69"/>
      <c r="P72" s="69"/>
    </row>
    <row r="73" spans="1:16" s="44" customFormat="1" x14ac:dyDescent="0.25">
      <c r="A73" s="40"/>
      <c r="B73" s="41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1:16" x14ac:dyDescent="0.25">
      <c r="A74" s="14" t="s">
        <v>81</v>
      </c>
      <c r="B74" s="15"/>
      <c r="C74" s="15"/>
      <c r="D74" s="16">
        <f>D42+0.508</f>
        <v>398.1386</v>
      </c>
      <c r="E74" s="15">
        <v>80.599999999999994</v>
      </c>
      <c r="F74" s="15"/>
      <c r="G74" s="15">
        <v>104.7</v>
      </c>
      <c r="H74" s="15"/>
      <c r="I74" s="15"/>
      <c r="J74" s="15"/>
      <c r="K74" s="15"/>
      <c r="L74" s="15"/>
      <c r="M74" s="15"/>
      <c r="N74" s="15"/>
      <c r="O74" s="15"/>
      <c r="P74" s="15"/>
    </row>
    <row r="75" spans="1:16" s="33" customFormat="1" x14ac:dyDescent="0.25">
      <c r="A75" s="14"/>
      <c r="B75" s="15"/>
      <c r="C75" s="15"/>
      <c r="D75" s="16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</row>
    <row r="76" spans="1:16" s="57" customFormat="1" x14ac:dyDescent="0.25">
      <c r="A76" s="56" t="s">
        <v>295</v>
      </c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</row>
    <row r="77" spans="1:16" s="57" customFormat="1" x14ac:dyDescent="0.25">
      <c r="A77" s="76" t="s">
        <v>300</v>
      </c>
    </row>
    <row r="78" spans="1:16" x14ac:dyDescent="0.25">
      <c r="A78" s="35" t="s">
        <v>46</v>
      </c>
      <c r="J78" s="53">
        <f>5.810631+'Rel to HD 0,0'!D74</f>
        <v>403.949231</v>
      </c>
      <c r="L78" s="53">
        <f>-3.01231+'Rel to HD 0,0'!E74</f>
        <v>77.587689999999995</v>
      </c>
      <c r="M78" s="53">
        <f>-0.30507+'Rel to HD 0,0'!G74</f>
        <v>104.39493</v>
      </c>
    </row>
    <row r="79" spans="1:16" x14ac:dyDescent="0.25">
      <c r="A79" s="35" t="s">
        <v>268</v>
      </c>
    </row>
    <row r="80" spans="1:16" x14ac:dyDescent="0.25">
      <c r="A80" s="35" t="s">
        <v>46</v>
      </c>
      <c r="B80" s="2"/>
      <c r="D80" s="2"/>
    </row>
    <row r="81" spans="1:4" x14ac:dyDescent="0.25">
      <c r="A81" s="35" t="s">
        <v>265</v>
      </c>
      <c r="D81" s="2"/>
    </row>
    <row r="82" spans="1:4" x14ac:dyDescent="0.25">
      <c r="A82" s="35" t="s">
        <v>46</v>
      </c>
      <c r="D82" s="2"/>
    </row>
    <row r="87" spans="1:4" x14ac:dyDescent="0.25">
      <c r="D87" s="2"/>
    </row>
    <row r="89" spans="1:4" x14ac:dyDescent="0.25">
      <c r="D89" s="2"/>
    </row>
  </sheetData>
  <mergeCells count="2">
    <mergeCell ref="A2:D5"/>
    <mergeCell ref="L10:P10"/>
  </mergeCells>
  <pageMargins left="0.7" right="0.7" top="0.75" bottom="0.75" header="0.3" footer="0.3"/>
  <pageSetup paperSize="3" scale="6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B49" sqref="B49"/>
    </sheetView>
  </sheetViews>
  <sheetFormatPr defaultRowHeight="15" x14ac:dyDescent="0.25"/>
  <cols>
    <col min="1" max="1" width="28.85546875" customWidth="1"/>
  </cols>
  <sheetData>
    <row r="1" spans="1:1" x14ac:dyDescent="0.25">
      <c r="A1" t="s">
        <v>46</v>
      </c>
    </row>
    <row r="44" spans="1:9" ht="75" x14ac:dyDescent="0.25">
      <c r="B44" s="19" t="s">
        <v>184</v>
      </c>
      <c r="C44" s="19" t="s">
        <v>185</v>
      </c>
      <c r="D44" t="s">
        <v>180</v>
      </c>
      <c r="E44" s="19" t="s">
        <v>181</v>
      </c>
      <c r="F44" s="19" t="s">
        <v>182</v>
      </c>
      <c r="G44" s="19" t="s">
        <v>186</v>
      </c>
      <c r="H44" s="19" t="s">
        <v>187</v>
      </c>
      <c r="I44" s="19" t="s">
        <v>188</v>
      </c>
    </row>
    <row r="45" spans="1:9" x14ac:dyDescent="0.25">
      <c r="A45" s="4" t="s">
        <v>179</v>
      </c>
      <c r="B45">
        <f>'Rel to HD 0,0'!D46</f>
        <v>0.65138999999999214</v>
      </c>
      <c r="C45">
        <f>(C47+C48)/2</f>
        <v>0.62739999999999996</v>
      </c>
      <c r="D45">
        <f>C45-B45</f>
        <v>-2.3989999999992184E-2</v>
      </c>
      <c r="E45">
        <v>1E-3</v>
      </c>
      <c r="F45">
        <f>D45+E45</f>
        <v>-2.2989999999992183E-2</v>
      </c>
      <c r="G45">
        <f>(G48+G47)/2</f>
        <v>0.65405999999999209</v>
      </c>
      <c r="H45">
        <f>E45</f>
        <v>1E-3</v>
      </c>
      <c r="I45">
        <f>C45-G45+H45</f>
        <v>-2.5659999999992134E-2</v>
      </c>
    </row>
    <row r="46" spans="1:9" x14ac:dyDescent="0.25">
      <c r="A46" s="4" t="s">
        <v>152</v>
      </c>
      <c r="B46" s="4">
        <f>'Rel to HD 0,0'!D48</f>
        <v>0.84557000000000926</v>
      </c>
      <c r="C46">
        <v>0.82210000000000005</v>
      </c>
      <c r="D46" s="4">
        <f t="shared" ref="D46:D48" si="0">C46-B46</f>
        <v>-2.3470000000009206E-2</v>
      </c>
      <c r="E46">
        <v>1.5E-3</v>
      </c>
      <c r="F46" s="4">
        <f t="shared" ref="F46:F48" si="1">D46+E46</f>
        <v>-2.1970000000009204E-2</v>
      </c>
      <c r="G46">
        <f>B46</f>
        <v>0.84557000000000926</v>
      </c>
      <c r="H46" s="4">
        <f t="shared" ref="H46:H49" si="2">E46</f>
        <v>1.5E-3</v>
      </c>
      <c r="I46" s="4">
        <f t="shared" ref="I46:I49" si="3">C46-G46+H46</f>
        <v>-2.1970000000009204E-2</v>
      </c>
    </row>
    <row r="47" spans="1:9" x14ac:dyDescent="0.25">
      <c r="A47" t="s">
        <v>178</v>
      </c>
      <c r="B47">
        <f>B45-0.1513</f>
        <v>0.50008999999999215</v>
      </c>
      <c r="C47">
        <v>0.48080000000000001</v>
      </c>
      <c r="D47" s="4">
        <f t="shared" si="0"/>
        <v>-1.9289999999992147E-2</v>
      </c>
      <c r="E47">
        <v>5.0000000000000001E-4</v>
      </c>
      <c r="F47" s="4">
        <f t="shared" si="1"/>
        <v>-1.8789999999992146E-2</v>
      </c>
      <c r="G47">
        <f>G48-0.29726</f>
        <v>0.50542999999999205</v>
      </c>
      <c r="H47" s="4">
        <f t="shared" si="2"/>
        <v>5.0000000000000001E-4</v>
      </c>
      <c r="I47" s="4">
        <f t="shared" si="3"/>
        <v>-2.4129999999992047E-2</v>
      </c>
    </row>
    <row r="48" spans="1:9" x14ac:dyDescent="0.25">
      <c r="A48" t="s">
        <v>177</v>
      </c>
      <c r="B48">
        <f>B45+0.1513</f>
        <v>0.80268999999999213</v>
      </c>
      <c r="C48">
        <v>0.77400000000000002</v>
      </c>
      <c r="D48" s="4">
        <f t="shared" si="0"/>
        <v>-2.8689999999992111E-2</v>
      </c>
      <c r="E48">
        <v>2E-3</v>
      </c>
      <c r="F48" s="4">
        <f t="shared" si="1"/>
        <v>-2.6689999999992109E-2</v>
      </c>
      <c r="G48">
        <f>B48</f>
        <v>0.80268999999999213</v>
      </c>
      <c r="H48" s="4">
        <f t="shared" si="2"/>
        <v>2E-3</v>
      </c>
      <c r="I48" s="4">
        <f t="shared" si="3"/>
        <v>-2.6689999999992109E-2</v>
      </c>
    </row>
    <row r="49" spans="1:9" x14ac:dyDescent="0.25">
      <c r="A49" t="s">
        <v>183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7" workbookViewId="0">
      <selection activeCell="I15" sqref="I15"/>
    </sheetView>
  </sheetViews>
  <sheetFormatPr defaultRowHeight="15" x14ac:dyDescent="0.25"/>
  <cols>
    <col min="1" max="1" width="13.85546875" customWidth="1"/>
    <col min="11" max="11" width="10.140625" customWidth="1"/>
    <col min="13" max="13" width="12.28515625" customWidth="1"/>
  </cols>
  <sheetData>
    <row r="1" spans="1:29" x14ac:dyDescent="0.25">
      <c r="A1" t="s">
        <v>197</v>
      </c>
    </row>
    <row r="2" spans="1:29" x14ac:dyDescent="0.2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x14ac:dyDescent="0.25">
      <c r="A3" s="4" t="s">
        <v>198</v>
      </c>
      <c r="B3" s="4"/>
      <c r="C3" s="4"/>
      <c r="D3" s="4"/>
      <c r="E3" s="4"/>
      <c r="F3" s="4"/>
      <c r="G3" s="4" t="s">
        <v>199</v>
      </c>
      <c r="H3" s="4"/>
      <c r="I3" s="4"/>
      <c r="J3" s="4"/>
      <c r="K3" s="4" t="s">
        <v>200</v>
      </c>
      <c r="L3" s="4"/>
      <c r="M3" s="4"/>
      <c r="N3" s="4"/>
      <c r="O3" s="4"/>
      <c r="P3" s="4" t="s">
        <v>251</v>
      </c>
      <c r="Q3" s="4"/>
      <c r="R3" s="4"/>
      <c r="S3" s="4"/>
      <c r="T3" s="4"/>
      <c r="U3" t="s">
        <v>244</v>
      </c>
      <c r="AA3" t="s">
        <v>250</v>
      </c>
    </row>
    <row r="4" spans="1:29" x14ac:dyDescent="0.25">
      <c r="A4" s="4" t="s">
        <v>201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202</v>
      </c>
      <c r="H4" s="22" t="s">
        <v>203</v>
      </c>
      <c r="I4" s="22" t="s">
        <v>204</v>
      </c>
      <c r="J4" s="4"/>
      <c r="K4" s="22" t="s">
        <v>202</v>
      </c>
      <c r="L4" s="22" t="s">
        <v>203</v>
      </c>
      <c r="M4" s="22" t="s">
        <v>204</v>
      </c>
      <c r="N4" s="4"/>
      <c r="O4" s="4"/>
      <c r="P4" s="22" t="s">
        <v>32</v>
      </c>
      <c r="Q4" s="22" t="s">
        <v>242</v>
      </c>
      <c r="R4" s="22" t="s">
        <v>243</v>
      </c>
      <c r="S4" s="4"/>
      <c r="T4" s="4"/>
      <c r="U4" s="22" t="s">
        <v>245</v>
      </c>
      <c r="V4" s="22" t="s">
        <v>246</v>
      </c>
      <c r="W4" s="22" t="s">
        <v>247</v>
      </c>
      <c r="X4" s="22" t="s">
        <v>248</v>
      </c>
      <c r="Y4" s="22" t="s">
        <v>249</v>
      </c>
      <c r="Z4" s="22" t="s">
        <v>180</v>
      </c>
      <c r="AA4" s="22" t="s">
        <v>31</v>
      </c>
      <c r="AB4" s="22" t="s">
        <v>13</v>
      </c>
      <c r="AC4" s="22" t="s">
        <v>14</v>
      </c>
    </row>
    <row r="5" spans="1:29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25">
      <c r="A6" s="4" t="s">
        <v>205</v>
      </c>
      <c r="B6" s="32">
        <v>0.17299999999999999</v>
      </c>
      <c r="C6" s="32">
        <v>0.13600000000000001</v>
      </c>
      <c r="D6" s="32">
        <v>-8.6999999999999994E-2</v>
      </c>
      <c r="E6" s="31"/>
      <c r="F6" s="31"/>
      <c r="G6" s="31">
        <v>306.52375999999998</v>
      </c>
      <c r="H6" s="31">
        <v>79.433340000000001</v>
      </c>
      <c r="I6" s="31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206</v>
      </c>
      <c r="P6" s="34">
        <v>-8.0510199999999994</v>
      </c>
      <c r="Q6" s="34">
        <v>5.1599999999999997E-3</v>
      </c>
      <c r="R6" s="34">
        <v>-3.8390000000000001E-2</v>
      </c>
      <c r="S6" s="33" t="s">
        <v>255</v>
      </c>
      <c r="T6" s="4"/>
    </row>
    <row r="7" spans="1:29" x14ac:dyDescent="0.25">
      <c r="A7" s="4" t="s">
        <v>207</v>
      </c>
      <c r="B7" s="32">
        <v>0.185</v>
      </c>
      <c r="C7" s="32">
        <v>4.5999999999999999E-2</v>
      </c>
      <c r="D7" s="32">
        <v>-7.6999999999999999E-2</v>
      </c>
      <c r="E7" s="31"/>
      <c r="F7" s="31"/>
      <c r="G7" s="31">
        <v>306.52375000000001</v>
      </c>
      <c r="H7" s="31">
        <v>79.433250000000001</v>
      </c>
      <c r="I7" s="31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206</v>
      </c>
      <c r="P7" s="34">
        <v>-8.0521899999999995</v>
      </c>
      <c r="Q7" s="34">
        <v>6.5900000000000004E-3</v>
      </c>
      <c r="R7" s="34">
        <v>-2.3779999999999999E-2</v>
      </c>
      <c r="S7" s="33" t="s">
        <v>208</v>
      </c>
      <c r="T7" s="4"/>
      <c r="U7">
        <f>(SQRT((H12-H10)^2+(G12-G10)^2))/0.0254</f>
        <v>51.160887778143675</v>
      </c>
    </row>
    <row r="8" spans="1:29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25">
      <c r="A9" s="4" t="s">
        <v>209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202</v>
      </c>
      <c r="H9" s="22" t="s">
        <v>203</v>
      </c>
      <c r="I9" s="22" t="s">
        <v>204</v>
      </c>
      <c r="J9" s="4"/>
      <c r="K9" s="22" t="s">
        <v>202</v>
      </c>
      <c r="L9" s="22" t="s">
        <v>203</v>
      </c>
      <c r="M9" s="22" t="s">
        <v>204</v>
      </c>
      <c r="N9" s="4"/>
      <c r="O9" s="4"/>
      <c r="P9" s="4"/>
      <c r="Q9" s="4"/>
      <c r="R9" s="4"/>
      <c r="S9" s="4"/>
      <c r="T9" s="4"/>
    </row>
    <row r="10" spans="1:29" x14ac:dyDescent="0.25">
      <c r="A10" s="4" t="s">
        <v>210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3">
        <v>303.09971999999999</v>
      </c>
      <c r="H10" s="3">
        <v>79.718710000000002</v>
      </c>
      <c r="I10" s="3">
        <v>104.76967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-8.0570737509460049</v>
      </c>
      <c r="Q10" s="16">
        <f>ATAN(((I12-I10)/(G12-G10)))*180/3.1415</f>
        <v>5.7891525279446998E-3</v>
      </c>
      <c r="R10" s="16">
        <f>ATAN(((I10-I11)/(H11-H10)))*180/3.1415</f>
        <v>-3.7775224851010959E-2</v>
      </c>
      <c r="S10" s="4"/>
      <c r="T10" s="4"/>
      <c r="U10">
        <v>157.74</v>
      </c>
      <c r="V10">
        <f>U10*0.0254</f>
        <v>4.006596</v>
      </c>
      <c r="W10" s="3">
        <f>'Rel to Goni'!$D$76+HODO!V10-HODO!G10</f>
        <v>1.8026000000020304E-2</v>
      </c>
      <c r="X10">
        <v>-34.716999999999999</v>
      </c>
      <c r="Y10" s="4">
        <f>X10*0.0254</f>
        <v>-0.88181179999999992</v>
      </c>
      <c r="Z10" s="3">
        <f>80.6+HODO!Y10-HODO!H10</f>
        <v>-5.2180000000134896E-4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25">
      <c r="A11" s="4" t="s">
        <v>211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3">
        <v>303.12058000000002</v>
      </c>
      <c r="H11" s="3">
        <v>79.87039</v>
      </c>
      <c r="I11" s="3">
        <v>104.76976999999999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25">
      <c r="A12" s="4" t="s">
        <v>212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3">
        <v>304.38637999999997</v>
      </c>
      <c r="H12" s="3">
        <v>79.536580000000001</v>
      </c>
      <c r="I12" s="3">
        <v>104.7698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Goni'!$D$76+HODO!V12-HODO!G12</f>
        <v>1.4015200000017103E-2</v>
      </c>
      <c r="X12">
        <v>-41.859000000000002</v>
      </c>
      <c r="Y12" s="4">
        <f>X12*0.0254</f>
        <v>-1.0632185999999999</v>
      </c>
      <c r="Z12" s="3">
        <f>80.6+HODO!Y12-HODO!H12</f>
        <v>2.0139999999457814E-4</v>
      </c>
    </row>
    <row r="13" spans="1:29" x14ac:dyDescent="0.25">
      <c r="A13" s="4" t="s">
        <v>213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3">
        <v>304.40762000000001</v>
      </c>
      <c r="H13" s="3">
        <v>79.688360000000003</v>
      </c>
      <c r="I13" s="3">
        <v>104.76990000000001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2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25">
      <c r="A15" s="4" t="s">
        <v>214</v>
      </c>
      <c r="B15" s="23">
        <v>0.09</v>
      </c>
      <c r="C15" s="23">
        <v>0.85</v>
      </c>
      <c r="D15" s="23">
        <v>-0.74</v>
      </c>
      <c r="E15" s="4"/>
      <c r="F15" s="4"/>
      <c r="G15" s="3">
        <v>304.38850000000002</v>
      </c>
      <c r="H15" s="3">
        <v>79.537000000000006</v>
      </c>
      <c r="I15" s="3">
        <v>104.77021000000001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-8.055351895281019</v>
      </c>
      <c r="Q15" s="16">
        <f>ATAN(((I17-I15)/(G17-G15)))*180/3.1415</f>
        <v>-9.4033780027255424E-3</v>
      </c>
      <c r="R15" s="16">
        <f>ATAN(((I15-I16)/(H16-H15)))*180/3.1415</f>
        <v>-0.21027201359025313</v>
      </c>
      <c r="S15" s="4"/>
      <c r="T15" s="4"/>
      <c r="U15">
        <v>208.48500000000001</v>
      </c>
      <c r="V15" s="4">
        <f>U15*0.0254</f>
        <v>5.2955190000000005</v>
      </c>
      <c r="W15" s="3">
        <f>'Rel to Goni'!$D$76+HODO!V15-HODO!G15</f>
        <v>1.8169000000000324E-2</v>
      </c>
      <c r="X15">
        <v>-41.893999999999998</v>
      </c>
      <c r="Y15" s="4">
        <f>X15*0.0254</f>
        <v>-1.0641075999999998</v>
      </c>
      <c r="Z15" s="3">
        <f>80.6+HODO!Y15-HODO!H15</f>
        <v>-1.1076000000116437E-3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25">
      <c r="A16" s="4" t="s">
        <v>215</v>
      </c>
      <c r="B16" s="23">
        <v>0.13</v>
      </c>
      <c r="C16" s="23">
        <v>153.02000000000001</v>
      </c>
      <c r="D16" s="23">
        <v>-0.18</v>
      </c>
      <c r="E16" s="4"/>
      <c r="F16" s="4"/>
      <c r="G16" s="3">
        <v>304.40983999999997</v>
      </c>
      <c r="H16" s="3">
        <v>79.686869999999999</v>
      </c>
      <c r="I16" s="3">
        <v>104.77076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25">
      <c r="A17" s="4" t="s">
        <v>216</v>
      </c>
      <c r="B17" s="23">
        <v>1291.5</v>
      </c>
      <c r="C17" s="23">
        <v>0.85</v>
      </c>
      <c r="D17" s="23">
        <v>-0.83</v>
      </c>
      <c r="E17" s="4"/>
      <c r="F17" s="4"/>
      <c r="G17" s="3">
        <v>305.66809000000001</v>
      </c>
      <c r="H17" s="3">
        <v>79.355909999999994</v>
      </c>
      <c r="I17" s="3">
        <v>104.77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Goni'!$D$76+HODO!V17-HODO!G17</f>
        <v>1.4928999999995085E-2</v>
      </c>
      <c r="X17">
        <v>-49.000999999999998</v>
      </c>
      <c r="Y17" s="4">
        <f>X17*0.0254</f>
        <v>-1.2446253999999999</v>
      </c>
      <c r="Z17" s="3">
        <f>80.6+HODO!Y17-HODO!H17</f>
        <v>-5.3540000000396049E-4</v>
      </c>
    </row>
    <row r="18" spans="1:29" x14ac:dyDescent="0.25">
      <c r="A18" s="4" t="s">
        <v>217</v>
      </c>
      <c r="B18" s="23">
        <v>1291.46</v>
      </c>
      <c r="C18" s="23">
        <v>152.69</v>
      </c>
      <c r="D18" s="23">
        <v>-0.27</v>
      </c>
      <c r="E18" s="4"/>
      <c r="F18" s="4"/>
      <c r="G18" s="3">
        <v>305.68912999999998</v>
      </c>
      <c r="H18" s="3">
        <v>79.505899999999997</v>
      </c>
      <c r="I18" s="3">
        <v>104.77055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2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25">
      <c r="A20" s="26" t="s">
        <v>218</v>
      </c>
      <c r="B20" s="28">
        <v>0.24</v>
      </c>
      <c r="C20" s="28">
        <v>-0.5</v>
      </c>
      <c r="D20" s="28">
        <v>-0.51</v>
      </c>
      <c r="E20" s="26"/>
      <c r="F20" s="26"/>
      <c r="G20" s="29">
        <v>305.67</v>
      </c>
      <c r="H20" s="29">
        <v>79.354569999999995</v>
      </c>
      <c r="I20" s="29">
        <v>104.77070000000001</v>
      </c>
      <c r="J20" s="26"/>
      <c r="K20" s="29">
        <v>305.66962000000001</v>
      </c>
      <c r="L20" s="29">
        <v>79.354690000000005</v>
      </c>
      <c r="M20" s="29">
        <v>104.77079999999999</v>
      </c>
      <c r="N20" s="4"/>
      <c r="O20" s="4"/>
      <c r="P20" s="16">
        <f>ATAN(((H22-H20)/(G22-G20)))*180/3.1415</f>
        <v>-8.1001918662131729</v>
      </c>
      <c r="Q20" s="16">
        <f>ATAN(((I22-I20)/(G22-G20)))*180/3.1415</f>
        <v>2.2637125319813579E-2</v>
      </c>
      <c r="R20" s="16">
        <f>ATAN(((I20-I21)/(H21-H20)))*180/3.1415</f>
        <v>0.16192065088884786</v>
      </c>
      <c r="S20" s="4"/>
      <c r="T20" s="4"/>
      <c r="U20">
        <v>258.92200000000003</v>
      </c>
      <c r="V20" s="4">
        <f>U20*0.0254</f>
        <v>6.5766188000000003</v>
      </c>
      <c r="W20" s="3">
        <f>'Rel to Goni'!$D$76+HODO!V20-HODO!G20</f>
        <v>1.7768799999998919E-2</v>
      </c>
      <c r="X20">
        <v>-49.027999999999999</v>
      </c>
      <c r="Y20" s="4">
        <f>X20*0.0254</f>
        <v>-1.2453112</v>
      </c>
      <c r="Z20" s="3">
        <f>80.6+HODO!Y20-HODO!H20</f>
        <v>1.1879999999564461E-4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25">
      <c r="A21" s="26" t="s">
        <v>219</v>
      </c>
      <c r="B21" s="28">
        <v>0.88</v>
      </c>
      <c r="C21" s="28">
        <v>152.5</v>
      </c>
      <c r="D21" s="28">
        <v>-0.69</v>
      </c>
      <c r="E21" s="26"/>
      <c r="F21" s="26"/>
      <c r="G21" s="29">
        <v>305.69146999999998</v>
      </c>
      <c r="H21" s="29">
        <v>79.506730000000005</v>
      </c>
      <c r="I21" s="29">
        <v>104.77027</v>
      </c>
      <c r="J21" s="26"/>
      <c r="K21" s="26"/>
      <c r="L21" s="26"/>
      <c r="M21" s="26"/>
      <c r="N21" s="4"/>
      <c r="O21" s="4"/>
      <c r="P21" s="4"/>
      <c r="Q21" s="4"/>
      <c r="R21" s="4"/>
      <c r="S21" s="4"/>
      <c r="T21" s="4"/>
    </row>
    <row r="22" spans="1:29" x14ac:dyDescent="0.25">
      <c r="A22" s="26" t="s">
        <v>220</v>
      </c>
      <c r="B22" s="28">
        <v>997.33</v>
      </c>
      <c r="C22" s="28">
        <v>-1.32</v>
      </c>
      <c r="D22" s="28">
        <v>0.17</v>
      </c>
      <c r="E22" s="26"/>
      <c r="F22" s="26"/>
      <c r="G22" s="29">
        <v>306.65714000000003</v>
      </c>
      <c r="H22" s="29">
        <v>79.214079999999996</v>
      </c>
      <c r="I22" s="29">
        <v>104.77109</v>
      </c>
      <c r="J22" s="26"/>
      <c r="K22" s="26"/>
      <c r="L22" s="26"/>
      <c r="M22" s="26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Goni'!$D$76+HODO!V22-HODO!G22</f>
        <v>1.7774400000007518E-2</v>
      </c>
      <c r="X22">
        <v>-54.524000000000001</v>
      </c>
      <c r="Y22" s="4">
        <f>X22*0.0254</f>
        <v>-1.3849096000000001</v>
      </c>
      <c r="Z22" s="3">
        <f>80.6+HODO!Y22-HODO!H22</f>
        <v>1.0103999999984126E-3</v>
      </c>
    </row>
    <row r="23" spans="1:29" x14ac:dyDescent="0.25">
      <c r="A23" s="26" t="s">
        <v>221</v>
      </c>
      <c r="B23" s="28">
        <v>997.56</v>
      </c>
      <c r="C23" s="28">
        <v>151.68</v>
      </c>
      <c r="D23" s="28">
        <v>-0.01</v>
      </c>
      <c r="E23" s="26"/>
      <c r="F23" s="26"/>
      <c r="G23" s="29">
        <v>306.67782999999997</v>
      </c>
      <c r="H23" s="29">
        <v>79.362970000000004</v>
      </c>
      <c r="I23" s="29">
        <v>104.77067</v>
      </c>
      <c r="J23" s="26"/>
      <c r="K23" s="26"/>
      <c r="L23" s="26"/>
      <c r="M23" s="26"/>
      <c r="N23" s="4"/>
      <c r="O23" s="4"/>
      <c r="P23" s="4"/>
      <c r="Q23" s="4"/>
      <c r="R23" s="4"/>
      <c r="S23" s="4"/>
      <c r="T23" s="4"/>
      <c r="U23" s="24"/>
    </row>
    <row r="24" spans="1:29" x14ac:dyDescent="0.2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25">
      <c r="A25" s="26" t="s">
        <v>222</v>
      </c>
      <c r="B25" s="28">
        <v>-1.29</v>
      </c>
      <c r="C25" s="28">
        <v>0.02</v>
      </c>
      <c r="D25" s="28">
        <v>-0.55000000000000004</v>
      </c>
      <c r="E25" s="26"/>
      <c r="F25" s="26"/>
      <c r="G25" s="29">
        <v>306.65971999999999</v>
      </c>
      <c r="H25" s="29">
        <v>79.214740000000006</v>
      </c>
      <c r="I25" s="29">
        <v>104.77036</v>
      </c>
      <c r="J25" s="26"/>
      <c r="K25" s="29">
        <v>306.66052000000002</v>
      </c>
      <c r="L25" s="29">
        <v>79.214560000000006</v>
      </c>
      <c r="M25" s="29">
        <v>104.77079999999999</v>
      </c>
      <c r="N25" s="4"/>
      <c r="O25" s="4"/>
      <c r="P25" s="16">
        <f>ATAN(((H27-H25)/(G27-G25)))*180/3.1415</f>
        <v>-7.8893194045335466</v>
      </c>
      <c r="Q25" s="16">
        <f>ATAN(((I27-I25)/(G27-G25)))*180/3.1415</f>
        <v>7.1438431894607296E-3</v>
      </c>
      <c r="R25" s="16">
        <f>ATAN(((I25-I26)/(H26-H25)))*180/3.1415</f>
        <v>-0.28610850715798436</v>
      </c>
      <c r="S25" s="4"/>
      <c r="T25" s="4"/>
      <c r="U25">
        <v>297.93400000000003</v>
      </c>
      <c r="V25" s="4">
        <f>U25*0.0254</f>
        <v>7.5675236000000004</v>
      </c>
      <c r="W25" s="3">
        <f>'Rel to Goni'!$D$76+HODO!V25-HODO!G25</f>
        <v>1.8953600000031656E-2</v>
      </c>
      <c r="X25">
        <v>-54.545000000000002</v>
      </c>
      <c r="Y25" s="4">
        <f>X25*0.0254</f>
        <v>-1.385443</v>
      </c>
      <c r="Z25" s="3">
        <f>80.6+HODO!Y25-HODO!H25</f>
        <v>-1.8300000000692762E-4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25">
      <c r="A26" s="26" t="s">
        <v>223</v>
      </c>
      <c r="B26" s="28">
        <v>-1.53</v>
      </c>
      <c r="C26" s="28">
        <v>153.47</v>
      </c>
      <c r="D26" s="28">
        <v>-0.18</v>
      </c>
      <c r="E26" s="26"/>
      <c r="F26" s="26"/>
      <c r="G26" s="29">
        <v>306.68059</v>
      </c>
      <c r="H26" s="29">
        <v>79.36694</v>
      </c>
      <c r="I26" s="29">
        <v>104.77112</v>
      </c>
      <c r="J26" s="26"/>
      <c r="K26" s="26"/>
      <c r="L26" s="26"/>
      <c r="M26" s="26"/>
      <c r="N26" s="4"/>
      <c r="O26" s="4"/>
      <c r="P26" s="16">
        <f>ATAN(((H28-H26)/(G28-G26)))*180/3.1415</f>
        <v>-7.8896567257793704</v>
      </c>
      <c r="Q26" s="4"/>
      <c r="R26" s="4"/>
      <c r="S26" s="4"/>
      <c r="T26" s="4"/>
    </row>
    <row r="27" spans="1:29" x14ac:dyDescent="0.25">
      <c r="A27" s="26" t="s">
        <v>224</v>
      </c>
      <c r="B27" s="28">
        <v>1051.5</v>
      </c>
      <c r="C27" s="28">
        <v>0.64</v>
      </c>
      <c r="D27" s="28">
        <v>-1.04</v>
      </c>
      <c r="E27" s="26"/>
      <c r="F27" s="26"/>
      <c r="G27" s="29">
        <v>307.70238999999998</v>
      </c>
      <c r="H27" s="29">
        <v>79.070260000000005</v>
      </c>
      <c r="I27" s="29">
        <v>104.77049</v>
      </c>
      <c r="J27" s="26"/>
      <c r="K27" s="29"/>
      <c r="L27" s="26"/>
      <c r="M27" s="26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Goni'!$D$76+HODO!V27-HODO!G27</f>
        <v>1.6870800000049258E-2</v>
      </c>
      <c r="X27">
        <v>-60.338999999999999</v>
      </c>
      <c r="Y27" s="4">
        <f>X27*0.0254</f>
        <v>-1.5326105999999999</v>
      </c>
      <c r="Z27" s="3">
        <f>80.6+HODO!Y27-HODO!H27</f>
        <v>-2.8706000000084941E-3</v>
      </c>
    </row>
    <row r="28" spans="1:29" x14ac:dyDescent="0.25">
      <c r="A28" s="26" t="s">
        <v>225</v>
      </c>
      <c r="B28" s="28">
        <v>1051.5899999999999</v>
      </c>
      <c r="C28" s="28">
        <v>154.09</v>
      </c>
      <c r="D28" s="28">
        <v>-0.68</v>
      </c>
      <c r="E28" s="26"/>
      <c r="F28" s="26"/>
      <c r="G28" s="29">
        <v>307.72372000000001</v>
      </c>
      <c r="H28" s="29">
        <v>79.222390000000004</v>
      </c>
      <c r="I28" s="29">
        <v>104.77112</v>
      </c>
      <c r="J28" s="26"/>
      <c r="K28" s="29"/>
      <c r="L28" s="26"/>
      <c r="M28" s="26"/>
      <c r="N28" s="4"/>
      <c r="O28" s="4"/>
      <c r="P28" s="4"/>
      <c r="Q28" s="4"/>
      <c r="R28" s="4"/>
      <c r="S28" s="4"/>
      <c r="T28" s="4"/>
    </row>
    <row r="29" spans="1:29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4"/>
      <c r="O29" s="4"/>
      <c r="P29" s="4"/>
      <c r="Q29" s="4"/>
      <c r="R29" s="4"/>
      <c r="S29" s="4"/>
      <c r="T29" s="4"/>
    </row>
    <row r="30" spans="1:29" x14ac:dyDescent="0.25">
      <c r="A30" s="26" t="s">
        <v>226</v>
      </c>
      <c r="B30" s="28">
        <v>-0.08</v>
      </c>
      <c r="C30" s="28">
        <v>0.9</v>
      </c>
      <c r="D30" s="28">
        <v>-1</v>
      </c>
      <c r="E30" s="26"/>
      <c r="F30" s="26"/>
      <c r="G30" s="29">
        <v>307.70461999999998</v>
      </c>
      <c r="H30" s="29">
        <v>79.068129999999996</v>
      </c>
      <c r="I30" s="29">
        <v>104.77021000000001</v>
      </c>
      <c r="J30" s="26"/>
      <c r="K30" s="29">
        <v>307.70424000000003</v>
      </c>
      <c r="L30" s="29">
        <v>79.066929999999999</v>
      </c>
      <c r="M30" s="29">
        <v>104.77079999999999</v>
      </c>
      <c r="N30" s="4"/>
      <c r="O30" s="4"/>
      <c r="P30" s="16">
        <f>ATAN(((H32-H30)/(G32-G30)))*180/3.1415</f>
        <v>-8.1281657324848471</v>
      </c>
      <c r="Q30" s="16">
        <f>ATAN(((I32-I30)/(G32-G30)))*180/3.1415</f>
        <v>-2.1652902576445449E-2</v>
      </c>
      <c r="R30" s="16">
        <f>ATAN(((I30-I31)/(H31-H30)))*180/3.1415</f>
        <v>-8.7210692712047427E-2</v>
      </c>
      <c r="S30" s="4"/>
      <c r="T30" s="4"/>
      <c r="U30">
        <v>339.02499999999998</v>
      </c>
      <c r="V30" s="4">
        <f>U30*0.0254</f>
        <v>8.6112349999999989</v>
      </c>
      <c r="W30" s="3">
        <f>'Rel to Goni'!$D$76+HODO!V30-HODO!G30</f>
        <v>1.7765000000053988E-2</v>
      </c>
      <c r="X30">
        <v>-60.356999999999999</v>
      </c>
      <c r="Y30" s="4">
        <f>X30*0.0254</f>
        <v>-1.5330678</v>
      </c>
      <c r="Z30" s="3">
        <f>80.6+HODO!Y30-HODO!H30</f>
        <v>-1.1977999999999156E-3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25">
      <c r="A31" s="26" t="s">
        <v>227</v>
      </c>
      <c r="B31" s="28">
        <v>-0.56999999999999995</v>
      </c>
      <c r="C31" s="28">
        <v>154.41999999999999</v>
      </c>
      <c r="D31" s="28">
        <v>-0.43</v>
      </c>
      <c r="E31" s="26"/>
      <c r="F31" s="26"/>
      <c r="G31" s="29">
        <v>307.72329000000002</v>
      </c>
      <c r="H31" s="29">
        <v>79.219239999999999</v>
      </c>
      <c r="I31" s="29">
        <v>104.77043999999999</v>
      </c>
      <c r="J31" s="26"/>
      <c r="K31" s="29"/>
      <c r="L31" s="26"/>
      <c r="M31" s="26"/>
      <c r="N31" s="4"/>
      <c r="O31" s="4"/>
      <c r="P31" s="4"/>
      <c r="Q31" s="4"/>
      <c r="R31" s="4"/>
      <c r="S31" s="4"/>
      <c r="T31" s="4"/>
    </row>
    <row r="32" spans="1:29" x14ac:dyDescent="0.25">
      <c r="A32" s="26" t="s">
        <v>228</v>
      </c>
      <c r="B32" s="28">
        <v>1042.83</v>
      </c>
      <c r="C32" s="28">
        <v>-0.41</v>
      </c>
      <c r="D32" s="28">
        <v>-1.1599999999999999</v>
      </c>
      <c r="E32" s="26"/>
      <c r="F32" s="26"/>
      <c r="G32" s="29">
        <v>308.73662999999999</v>
      </c>
      <c r="H32" s="29">
        <v>78.920739999999995</v>
      </c>
      <c r="I32" s="29">
        <v>104.76982</v>
      </c>
      <c r="J32" s="26"/>
      <c r="K32" s="29"/>
      <c r="L32" s="26"/>
      <c r="M32" s="26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Goni'!$D$76+HODO!V32-HODO!G32</f>
        <v>1.6893400000014935E-2</v>
      </c>
      <c r="X32">
        <v>-66.097999999999999</v>
      </c>
      <c r="Y32" s="4">
        <f>X32*0.0254</f>
        <v>-1.6788892</v>
      </c>
      <c r="Z32" s="3">
        <f>80.6+HODO!Y32-HODO!H32</f>
        <v>3.7079999999889424E-4</v>
      </c>
    </row>
    <row r="33" spans="1:29" x14ac:dyDescent="0.25">
      <c r="A33" s="26" t="s">
        <v>229</v>
      </c>
      <c r="B33" s="30" t="s">
        <v>254</v>
      </c>
      <c r="C33" s="28">
        <v>153.12</v>
      </c>
      <c r="D33" s="28">
        <v>-0.59</v>
      </c>
      <c r="E33" s="26"/>
      <c r="F33" s="26"/>
      <c r="G33" s="27">
        <v>308.75821000000002</v>
      </c>
      <c r="H33" s="29">
        <v>79.071439999999996</v>
      </c>
      <c r="I33" s="29">
        <v>104.77043999999999</v>
      </c>
      <c r="J33" s="26"/>
      <c r="K33" s="29"/>
      <c r="L33" s="26"/>
      <c r="M33" s="26"/>
      <c r="N33" s="4"/>
      <c r="O33" s="4"/>
      <c r="P33" s="4"/>
      <c r="Q33" s="4"/>
      <c r="R33" s="4"/>
      <c r="S33" s="4"/>
      <c r="T33" s="4"/>
    </row>
    <row r="34" spans="1:29" x14ac:dyDescent="0.25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25">
      <c r="A35" s="4" t="s">
        <v>230</v>
      </c>
      <c r="B35" s="23">
        <v>0.64</v>
      </c>
      <c r="C35" s="23">
        <v>1.43</v>
      </c>
      <c r="D35" s="23">
        <v>-1.61</v>
      </c>
      <c r="E35" s="4"/>
      <c r="F35" s="4"/>
      <c r="G35" s="3">
        <v>308.89981999999998</v>
      </c>
      <c r="H35" s="3">
        <v>78.899590000000003</v>
      </c>
      <c r="I35" s="3">
        <v>104.76897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-8.0935378904385402</v>
      </c>
      <c r="Q35" s="16">
        <f>ATAN(((I37-I35)/(G37-G35)))*180/3.1415</f>
        <v>1.4469545111226417E-3</v>
      </c>
      <c r="R35" s="16">
        <f>ATAN(((I35-I36)/(H36-H35)))*180/3.1415</f>
        <v>-0.3144850020968411</v>
      </c>
      <c r="S35" s="4"/>
      <c r="T35" s="4"/>
      <c r="U35">
        <v>386.05700000000002</v>
      </c>
      <c r="V35" s="4">
        <f>U35*0.0254</f>
        <v>9.8058478000000004</v>
      </c>
      <c r="W35" s="3">
        <f>'Rel to Goni'!$D$76+HODO!V35-HODO!G35</f>
        <v>1.7177800000013121E-2</v>
      </c>
      <c r="X35">
        <v>-67.009</v>
      </c>
      <c r="Y35" s="4">
        <f>X35*0.0254</f>
        <v>-1.7020286</v>
      </c>
      <c r="Z35" s="3">
        <f>80.6+HODO!Y35-HODO!H35</f>
        <v>-1.6186000000146805E-3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25">
      <c r="A36" s="4" t="s">
        <v>231</v>
      </c>
      <c r="B36" s="23">
        <v>0.76</v>
      </c>
      <c r="C36" s="23">
        <v>154.96</v>
      </c>
      <c r="D36" s="23">
        <v>-0.9</v>
      </c>
      <c r="E36" s="4"/>
      <c r="F36" s="4"/>
      <c r="G36" s="3">
        <v>308.92129999999997</v>
      </c>
      <c r="H36" s="3">
        <v>79.050809999999998</v>
      </c>
      <c r="I36" s="3">
        <v>104.7698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25">
      <c r="A37" s="4" t="s">
        <v>232</v>
      </c>
      <c r="B37" s="23">
        <v>1200.53</v>
      </c>
      <c r="C37" s="23">
        <v>0.51</v>
      </c>
      <c r="D37" s="23">
        <v>-0.92</v>
      </c>
      <c r="E37" s="4"/>
      <c r="F37" s="4"/>
      <c r="G37" s="3">
        <v>310.08778000000001</v>
      </c>
      <c r="H37" s="3">
        <v>78.73066</v>
      </c>
      <c r="I37" s="3">
        <v>104.76900000000001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Goni'!$D$76+HODO!V37-HODO!G37</f>
        <v>1.7556800000022577E-2</v>
      </c>
      <c r="X37">
        <v>-73.625</v>
      </c>
      <c r="Y37" s="4">
        <f>X37*0.0254</f>
        <v>-1.8700749999999999</v>
      </c>
      <c r="Z37" s="3">
        <f>80.6+HODO!Y37-HODO!H37</f>
        <v>-7.3500000000592536E-4</v>
      </c>
    </row>
    <row r="38" spans="1:29" x14ac:dyDescent="0.25">
      <c r="A38" s="4" t="s">
        <v>233</v>
      </c>
      <c r="B38" s="23">
        <v>1200.44</v>
      </c>
      <c r="C38" s="23">
        <v>154.05000000000001</v>
      </c>
      <c r="D38" s="23">
        <v>-0.2</v>
      </c>
      <c r="E38" s="4"/>
      <c r="F38" s="4"/>
      <c r="G38" s="3">
        <v>310.10935999999998</v>
      </c>
      <c r="H38" s="3">
        <v>78.882329999999996</v>
      </c>
      <c r="I38" s="3">
        <v>104.76984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25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25">
      <c r="A40" s="4" t="s">
        <v>234</v>
      </c>
      <c r="B40" s="23">
        <v>-0.75</v>
      </c>
      <c r="C40" s="23">
        <v>0</v>
      </c>
      <c r="D40" s="23">
        <v>-0.63</v>
      </c>
      <c r="E40" s="4"/>
      <c r="F40" s="4"/>
      <c r="G40" s="3">
        <v>310.14328999999998</v>
      </c>
      <c r="H40" s="3">
        <v>78.722629999999995</v>
      </c>
      <c r="I40" s="3">
        <v>104.76913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-8.0758076979028548</v>
      </c>
      <c r="Q40" s="16">
        <f>ATAN(((I42-I40)/(G42-G40)))*180/3.1415</f>
        <v>-2.0120679366794899E-2</v>
      </c>
      <c r="R40" s="16">
        <f>ATAN(((I40-I41)/(H41-H40)))*180/3.1415</f>
        <v>-1.8973927832729984E-2</v>
      </c>
      <c r="S40" s="4"/>
      <c r="T40" s="4"/>
      <c r="U40">
        <v>435.06900000000002</v>
      </c>
      <c r="V40" s="4">
        <f>U40*0.0254</f>
        <v>11.050752599999999</v>
      </c>
      <c r="W40" s="3">
        <f>'Rel to Goni'!$D$76+HODO!V40-HODO!G40</f>
        <v>1.8612600000039947E-2</v>
      </c>
      <c r="X40">
        <v>-73.94</v>
      </c>
      <c r="Y40" s="4">
        <f>X40*0.0254</f>
        <v>-1.8780759999999999</v>
      </c>
      <c r="Z40" s="3">
        <f>80.6+HODO!Y40-HODO!H40</f>
        <v>-7.0599999999387819E-4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25">
      <c r="A41" s="4" t="s">
        <v>235</v>
      </c>
      <c r="B41" s="23">
        <v>-0.45</v>
      </c>
      <c r="C41" s="23">
        <v>152.52000000000001</v>
      </c>
      <c r="D41" s="23">
        <v>-0.62</v>
      </c>
      <c r="E41" s="4"/>
      <c r="F41" s="4"/>
      <c r="G41" s="3">
        <v>310.16478000000001</v>
      </c>
      <c r="H41" s="3">
        <v>78.873620000000003</v>
      </c>
      <c r="I41" s="3">
        <v>104.76918000000001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25">
      <c r="A42" s="4" t="s">
        <v>236</v>
      </c>
      <c r="B42" s="23">
        <v>1219.8699999999999</v>
      </c>
      <c r="C42" s="23">
        <v>-0.24</v>
      </c>
      <c r="D42" s="23">
        <v>-0.85</v>
      </c>
      <c r="E42" s="4"/>
      <c r="F42" s="4"/>
      <c r="G42" s="3">
        <v>311.33931999999999</v>
      </c>
      <c r="H42" s="3">
        <v>78.552930000000003</v>
      </c>
      <c r="I42" s="3">
        <v>104.76871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Goni'!$D$76+HODO!V42-HODO!G42</f>
        <v>2.9768400000023121E-2</v>
      </c>
      <c r="X42">
        <v>-80.662000000000006</v>
      </c>
      <c r="Y42" s="4">
        <f>X42*0.0254</f>
        <v>-2.0488148000000002</v>
      </c>
      <c r="Z42" s="3">
        <f>80.6+HODO!Y42-HODO!H42</f>
        <v>-1.7448000000115371E-3</v>
      </c>
    </row>
    <row r="43" spans="1:29" x14ac:dyDescent="0.25">
      <c r="A43" s="4" t="s">
        <v>237</v>
      </c>
      <c r="B43" s="23">
        <v>1219.7</v>
      </c>
      <c r="C43" s="23">
        <v>152.84</v>
      </c>
      <c r="D43" s="23">
        <v>-0.85</v>
      </c>
      <c r="E43" s="4"/>
      <c r="F43" s="4"/>
      <c r="G43" s="3">
        <v>311.30200000000002</v>
      </c>
      <c r="H43" s="3">
        <v>78.704009999999997</v>
      </c>
      <c r="I43" s="3">
        <v>104.76877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25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25">
      <c r="A45" s="4" t="s">
        <v>238</v>
      </c>
      <c r="B45" s="23">
        <v>-0.19</v>
      </c>
      <c r="C45" s="23">
        <v>-0.14000000000000001</v>
      </c>
      <c r="D45" s="23">
        <v>-0.7</v>
      </c>
      <c r="E45" s="4"/>
      <c r="F45" s="4"/>
      <c r="G45" s="3">
        <v>311.56472000000002</v>
      </c>
      <c r="H45" s="3">
        <v>78.526529999999994</v>
      </c>
      <c r="I45" s="3">
        <v>104.76994999999999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-8.0223195158520699</v>
      </c>
      <c r="Q45" s="16">
        <f>ATAN(((I47-I45)/(G47-G45)))*180/3.1415</f>
        <v>-4.8089597672083727E-2</v>
      </c>
      <c r="R45" s="16">
        <f>ATAN(((I45-I46)/(H46-H45)))*180/3.1415</f>
        <v>0.24284874708321036</v>
      </c>
      <c r="S45" s="4"/>
      <c r="T45" s="4"/>
      <c r="U45">
        <v>491.01299999999998</v>
      </c>
      <c r="V45" s="4">
        <f>U45*0.0254</f>
        <v>12.4717302</v>
      </c>
      <c r="W45" s="3">
        <f>'Rel to Goni'!$D$76+HODO!V45-HODO!G45</f>
        <v>1.8160200000011173E-2</v>
      </c>
      <c r="X45">
        <v>-81.652000000000001</v>
      </c>
      <c r="Y45" s="4">
        <f>X45*0.0254</f>
        <v>-2.0739608</v>
      </c>
      <c r="Z45" s="3">
        <f>80.6+HODO!Y45-HODO!H45</f>
        <v>-4.9079999999435131E-4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25">
      <c r="A46" s="4" t="s">
        <v>239</v>
      </c>
      <c r="B46" s="23">
        <v>-0.23</v>
      </c>
      <c r="C46" s="23">
        <v>152.63</v>
      </c>
      <c r="D46" s="23">
        <v>-0.77</v>
      </c>
      <c r="E46" s="4"/>
      <c r="F46" s="4"/>
      <c r="G46" s="3">
        <v>311.58605999999997</v>
      </c>
      <c r="H46" s="3">
        <v>78.677530000000004</v>
      </c>
      <c r="I46" s="3">
        <v>104.76931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25">
      <c r="A47" s="4" t="s">
        <v>240</v>
      </c>
      <c r="B47" s="23">
        <v>890</v>
      </c>
      <c r="C47" s="23">
        <v>-0.04</v>
      </c>
      <c r="D47" s="23">
        <v>-0.81</v>
      </c>
      <c r="E47" s="4"/>
      <c r="F47" s="4"/>
      <c r="G47" s="3">
        <v>312.44641000000001</v>
      </c>
      <c r="H47" s="3">
        <v>78.402270000000001</v>
      </c>
      <c r="I47" s="3">
        <v>104.76921</v>
      </c>
      <c r="J47" s="4"/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Goni'!$D$76+HODO!V47-HODO!G47</f>
        <v>1.6707199999984823E-2</v>
      </c>
      <c r="X47">
        <v>-86.754000000000005</v>
      </c>
      <c r="Y47" s="4">
        <f>X47*0.0254</f>
        <v>-2.2035515999999999</v>
      </c>
      <c r="Z47" s="3">
        <f>80.6+HODO!Y47-HODO!H47</f>
        <v>-5.8216000000044232E-3</v>
      </c>
    </row>
    <row r="48" spans="1:29" x14ac:dyDescent="0.25">
      <c r="A48" s="4" t="s">
        <v>241</v>
      </c>
      <c r="B48" s="23">
        <v>890.27</v>
      </c>
      <c r="C48" s="23">
        <v>151.91999999999999</v>
      </c>
      <c r="D48" s="23">
        <v>-0.87</v>
      </c>
      <c r="E48" s="4"/>
      <c r="F48" s="4"/>
      <c r="G48" s="3">
        <v>312.46793000000002</v>
      </c>
      <c r="H48" s="3">
        <v>78.553250000000006</v>
      </c>
      <c r="I48" s="3">
        <v>104.76855999999999</v>
      </c>
      <c r="J48" s="4"/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" x14ac:dyDescent="0.25">
      <c r="A50" t="s">
        <v>256</v>
      </c>
    </row>
    <row r="51" spans="1:1" x14ac:dyDescent="0.25">
      <c r="A51" t="s">
        <v>293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95" sqref="U95"/>
    </sheetView>
  </sheetViews>
  <sheetFormatPr defaultRowHeight="15" x14ac:dyDescent="0.25"/>
  <sheetData>
    <row r="1" spans="1:1" x14ac:dyDescent="0.25">
      <c r="A1" t="s">
        <v>294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3"/>
  <sheetViews>
    <sheetView topLeftCell="A40" workbookViewId="0">
      <selection activeCell="A77" sqref="A77:A78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3" t="s">
        <v>258</v>
      </c>
    </row>
    <row r="2" spans="1:16" x14ac:dyDescent="0.25">
      <c r="A2" s="65" t="s">
        <v>67</v>
      </c>
      <c r="B2" s="65"/>
      <c r="C2" s="65"/>
      <c r="D2" s="65"/>
    </row>
    <row r="3" spans="1:16" x14ac:dyDescent="0.25">
      <c r="A3" s="65"/>
      <c r="B3" s="65"/>
      <c r="C3" s="65"/>
      <c r="D3" s="65"/>
    </row>
    <row r="4" spans="1:16" x14ac:dyDescent="0.25">
      <c r="A4" s="65"/>
      <c r="B4" s="65"/>
      <c r="C4" s="65"/>
      <c r="D4" s="65"/>
    </row>
    <row r="5" spans="1:16" x14ac:dyDescent="0.25">
      <c r="A5" s="66"/>
      <c r="B5" s="66"/>
      <c r="C5" s="66"/>
      <c r="D5" s="66"/>
    </row>
    <row r="7" spans="1:16" x14ac:dyDescent="0.25">
      <c r="A7" s="4" t="s">
        <v>174</v>
      </c>
    </row>
    <row r="8" spans="1:16" x14ac:dyDescent="0.25">
      <c r="A8" s="4" t="s">
        <v>175</v>
      </c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7" t="s">
        <v>48</v>
      </c>
      <c r="M10" s="67"/>
      <c r="N10" s="67"/>
      <c r="O10" s="67"/>
      <c r="P10" s="67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Acc'!D12-$D$76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Acc'!D13-$D$76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155</v>
      </c>
      <c r="B14" s="15" t="s">
        <v>1</v>
      </c>
      <c r="C14" s="15"/>
      <c r="D14" s="16">
        <f>'Rel to Acc'!D14-$D$76</f>
        <v>-2.4900000000002365E-2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156</v>
      </c>
      <c r="B15" s="15"/>
      <c r="C15" s="15"/>
      <c r="D15" s="16">
        <f>'Rel to Acc'!D15-$D$76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Acc'!D16-$D$76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165</v>
      </c>
      <c r="B17" s="15"/>
      <c r="C17" s="15"/>
      <c r="D17" s="16">
        <f>'Rel to Acc'!D17-$D$76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Acc'!D18-$D$76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162</v>
      </c>
      <c r="B19" s="15"/>
      <c r="C19" s="15"/>
      <c r="D19" s="16">
        <f>'Rel to Acc'!D19-$D$76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57" customFormat="1" x14ac:dyDescent="0.25">
      <c r="A20" s="56" t="s">
        <v>72</v>
      </c>
      <c r="B20" s="56" t="s">
        <v>4</v>
      </c>
      <c r="C20" s="56"/>
      <c r="D20" s="58">
        <f>'Rel to Acc'!D20-$D$76</f>
        <v>3.9885699999999815</v>
      </c>
      <c r="E20" s="58">
        <f>'Rel to Acc'!E20-80.6</f>
        <v>-0.8812899999999928</v>
      </c>
      <c r="F20" s="58">
        <f>'data from JD'!F20+'data from JD'!P20/1000</f>
        <v>-2.7500000000000002E-4</v>
      </c>
      <c r="G20" s="58">
        <f>'Rel to Acc'!G20-104.7</f>
        <v>6.9670000000002119E-2</v>
      </c>
      <c r="H20" s="58">
        <f>'Rel to Acc'!H20</f>
        <v>-8.0570737509460049</v>
      </c>
      <c r="I20" s="58">
        <f>'Rel to Acc'!I20</f>
        <v>5.7891525279446998E-3</v>
      </c>
      <c r="J20" s="58">
        <f>'Rel to Acc'!J20</f>
        <v>-3.7775224851010959E-2</v>
      </c>
      <c r="K20" s="56"/>
      <c r="L20" s="56"/>
      <c r="M20" s="56"/>
      <c r="N20" s="56"/>
      <c r="O20" s="56"/>
      <c r="P20" s="56"/>
    </row>
    <row r="21" spans="1:16" s="57" customFormat="1" x14ac:dyDescent="0.25">
      <c r="A21" s="56" t="s">
        <v>73</v>
      </c>
      <c r="B21" s="56" t="s">
        <v>5</v>
      </c>
      <c r="C21" s="56"/>
      <c r="D21" s="58">
        <f>'Rel to Acc'!D21-$D$76</f>
        <v>5.2773500000000126</v>
      </c>
      <c r="E21" s="58">
        <f>'Rel to Acc'!E21-80.6</f>
        <v>-1.0629999999999882</v>
      </c>
      <c r="F21" s="58">
        <f>'data from JD'!F21+'data from JD'!P21/1000</f>
        <v>-1.75E-4</v>
      </c>
      <c r="G21" s="58">
        <f>'Rel to Acc'!G21-104.7</f>
        <v>7.0210000000002992E-2</v>
      </c>
      <c r="H21" s="58">
        <f>'Rel to Acc'!H21</f>
        <v>-8.055351895281019</v>
      </c>
      <c r="I21" s="58">
        <f>'Rel to Acc'!I21</f>
        <v>-9.4033780027255424E-3</v>
      </c>
      <c r="J21" s="58">
        <f>'Rel to Acc'!J21</f>
        <v>-0.21027201359025313</v>
      </c>
      <c r="K21" s="56"/>
      <c r="L21" s="56"/>
      <c r="M21" s="56"/>
      <c r="N21" s="56"/>
      <c r="O21" s="56"/>
      <c r="P21" s="56"/>
    </row>
    <row r="22" spans="1:16" s="57" customFormat="1" x14ac:dyDescent="0.25">
      <c r="A22" s="56" t="s">
        <v>74</v>
      </c>
      <c r="B22" s="56" t="s">
        <v>6</v>
      </c>
      <c r="C22" s="56"/>
      <c r="D22" s="58">
        <f>'Rel to Acc'!D22-$D$76</f>
        <v>6.5588500000000067</v>
      </c>
      <c r="E22" s="58">
        <f>'Rel to Acc'!E22-80.6</f>
        <v>-1.2454299999999989</v>
      </c>
      <c r="F22" s="58">
        <f>'data from JD'!F22+'data from JD'!P22/1000</f>
        <v>0</v>
      </c>
      <c r="G22" s="58">
        <f>'Rel to Acc'!G22-104.7</f>
        <v>7.0700000000002206E-2</v>
      </c>
      <c r="H22" s="58">
        <f>'Rel to Acc'!H22</f>
        <v>-8.1001918662131729</v>
      </c>
      <c r="I22" s="58">
        <f>'Rel to Acc'!I22</f>
        <v>2.2637125319813579E-2</v>
      </c>
      <c r="J22" s="58">
        <f>'Rel to Acc'!J22</f>
        <v>0.16192065088884786</v>
      </c>
      <c r="K22" s="56"/>
      <c r="L22" s="56"/>
      <c r="M22" s="56"/>
      <c r="N22" s="56"/>
      <c r="O22" s="56"/>
      <c r="P22" s="56"/>
    </row>
    <row r="23" spans="1:16" s="57" customFormat="1" x14ac:dyDescent="0.25">
      <c r="A23" s="56" t="s">
        <v>75</v>
      </c>
      <c r="B23" s="56" t="s">
        <v>7</v>
      </c>
      <c r="C23" s="56"/>
      <c r="D23" s="58">
        <f>'Rel to Acc'!D23-$D$76</f>
        <v>7.5485699999999838</v>
      </c>
      <c r="E23" s="58">
        <f>'Rel to Acc'!E23-80.6</f>
        <v>-1.3852599999999882</v>
      </c>
      <c r="F23" s="58">
        <f>'data from JD'!F23+'data from JD'!P23/1000</f>
        <v>7.4999999999999993E-5</v>
      </c>
      <c r="G23" s="58">
        <f>'Rel to Acc'!G23-104.7</f>
        <v>7.0359999999993761E-2</v>
      </c>
      <c r="H23" s="58">
        <f>'Rel to Acc'!H23</f>
        <v>-7.8893194045335466</v>
      </c>
      <c r="I23" s="58">
        <f>'Rel to Acc'!I23</f>
        <v>7.1438431894607296E-3</v>
      </c>
      <c r="J23" s="58">
        <f>'Rel to Acc'!J23</f>
        <v>-0.28610850715798436</v>
      </c>
      <c r="K23" s="56"/>
      <c r="L23" s="56"/>
      <c r="M23" s="56"/>
      <c r="N23" s="56"/>
      <c r="O23" s="56"/>
      <c r="P23" s="56"/>
    </row>
    <row r="24" spans="1:16" s="57" customFormat="1" x14ac:dyDescent="0.25">
      <c r="A24" s="56" t="s">
        <v>76</v>
      </c>
      <c r="B24" s="56" t="s">
        <v>8</v>
      </c>
      <c r="C24" s="56"/>
      <c r="D24" s="58">
        <f>'Rel to Acc'!D24-$D$76</f>
        <v>8.593469999999968</v>
      </c>
      <c r="E24" s="58">
        <f>'Rel to Acc'!E24-80.6</f>
        <v>-1.5318699999999978</v>
      </c>
      <c r="F24" s="58">
        <f>'data from JD'!F24+'data from JD'!P24/1000</f>
        <v>-2.2499999999999999E-4</v>
      </c>
      <c r="G24" s="58">
        <f>'Rel to Acc'!G24-104.7</f>
        <v>7.0210000000002992E-2</v>
      </c>
      <c r="H24" s="58">
        <f>'Rel to Acc'!H24</f>
        <v>-8.1281657324848471</v>
      </c>
      <c r="I24" s="58">
        <f>'Rel to Acc'!I24</f>
        <v>-2.1652902576445449E-2</v>
      </c>
      <c r="J24" s="58">
        <f>'Rel to Acc'!J24</f>
        <v>-8.7210692712047427E-2</v>
      </c>
      <c r="K24" s="56"/>
      <c r="L24" s="56"/>
      <c r="M24" s="56"/>
      <c r="N24" s="56"/>
      <c r="O24" s="56"/>
      <c r="P24" s="56"/>
    </row>
    <row r="25" spans="1:16" s="57" customFormat="1" x14ac:dyDescent="0.25">
      <c r="A25" s="56" t="s">
        <v>77</v>
      </c>
      <c r="B25" s="56" t="s">
        <v>9</v>
      </c>
      <c r="C25" s="56"/>
      <c r="D25" s="58">
        <f>'Rel to Acc'!D25-$D$76</f>
        <v>9.7886699999999678</v>
      </c>
      <c r="E25" s="58">
        <f>'Rel to Acc'!E25-80.6</f>
        <v>-1.7004099999999909</v>
      </c>
      <c r="F25" s="58">
        <f>'data from JD'!F25+'data from JD'!P25/1000</f>
        <v>-5.0000000000000001E-4</v>
      </c>
      <c r="G25" s="58">
        <f>'Rel to Acc'!G25-104.7</f>
        <v>6.8969999999993092E-2</v>
      </c>
      <c r="H25" s="58">
        <f>'Rel to Acc'!H25</f>
        <v>-8.0935378904385402</v>
      </c>
      <c r="I25" s="58">
        <f>'Rel to Acc'!I25</f>
        <v>1.4469545111226417E-3</v>
      </c>
      <c r="J25" s="58">
        <f>'Rel to Acc'!J25</f>
        <v>-0.3144850020968411</v>
      </c>
      <c r="K25" s="56"/>
      <c r="L25" s="56"/>
      <c r="M25" s="56"/>
      <c r="N25" s="56"/>
      <c r="O25" s="56"/>
      <c r="P25" s="56"/>
    </row>
    <row r="26" spans="1:16" s="57" customFormat="1" x14ac:dyDescent="0.25">
      <c r="A26" s="56" t="s">
        <v>78</v>
      </c>
      <c r="B26" s="56" t="s">
        <v>10</v>
      </c>
      <c r="C26" s="56"/>
      <c r="D26" s="58">
        <f>'Rel to Acc'!D26-$D$76</f>
        <v>11.03213999999997</v>
      </c>
      <c r="E26" s="58">
        <f>'Rel to Acc'!E26-80.6</f>
        <v>-1.8773699999999991</v>
      </c>
      <c r="F26" s="58">
        <f>'data from JD'!F26+'data from JD'!P26/1000</f>
        <v>4.4999999999999999E-4</v>
      </c>
      <c r="G26" s="58">
        <f>'Rel to Acc'!G26-104.7</f>
        <v>6.9130000000001246E-2</v>
      </c>
      <c r="H26" s="58">
        <f>'Rel to Acc'!H26</f>
        <v>-8.0758076979028548</v>
      </c>
      <c r="I26" s="58">
        <f>'Rel to Acc'!I26</f>
        <v>-2.0120679366794899E-2</v>
      </c>
      <c r="J26" s="58">
        <f>'Rel to Acc'!J26</f>
        <v>-1.8973927832729984E-2</v>
      </c>
      <c r="K26" s="56"/>
      <c r="L26" s="56"/>
      <c r="M26" s="56"/>
      <c r="N26" s="56"/>
      <c r="O26" s="56"/>
      <c r="P26" s="56"/>
    </row>
    <row r="27" spans="1:16" s="57" customFormat="1" x14ac:dyDescent="0.25">
      <c r="A27" s="56" t="s">
        <v>79</v>
      </c>
      <c r="B27" s="56" t="s">
        <v>11</v>
      </c>
      <c r="C27" s="56"/>
      <c r="D27" s="58">
        <f>'Rel to Acc'!D27-$D$76</f>
        <v>12.453570000000013</v>
      </c>
      <c r="E27" s="58">
        <f>'Rel to Acc'!E27-80.6</f>
        <v>-2.0734700000000004</v>
      </c>
      <c r="F27" s="58">
        <f>'data from JD'!F27+'data from JD'!P27/1000</f>
        <v>1.25E-4</v>
      </c>
      <c r="G27" s="58">
        <f>'Rel to Acc'!G27-104.7</f>
        <v>6.9949999999991519E-2</v>
      </c>
      <c r="H27" s="58">
        <f>'Rel to Acc'!H27</f>
        <v>-8.0435622717000008</v>
      </c>
      <c r="I27" s="58">
        <f>'Rel to Acc'!I27</f>
        <v>-1.6094320299999999E-2</v>
      </c>
      <c r="J27" s="58">
        <f>'Rel to Acc'!J27</f>
        <v>-0.18133323034000001</v>
      </c>
      <c r="K27" s="56"/>
      <c r="L27" s="56"/>
      <c r="M27" s="56"/>
      <c r="N27" s="56"/>
      <c r="O27" s="56"/>
      <c r="P27" s="56"/>
    </row>
    <row r="28" spans="1:16" x14ac:dyDescent="0.25">
      <c r="A28" s="15" t="s">
        <v>43</v>
      </c>
      <c r="B28" s="15" t="s">
        <v>42</v>
      </c>
      <c r="C28" s="15"/>
      <c r="D28" s="16">
        <f>'Rel to Acc'!D28-$D$76</f>
        <v>7.4121099999999842</v>
      </c>
      <c r="E28" s="16">
        <f>'Rel to Acc'!E28-80.6</f>
        <v>-1.1668200000000013</v>
      </c>
      <c r="F28" s="16">
        <f>'data from JD'!F28+'data from JD'!P28/1000</f>
        <v>-0.91003700003305099</v>
      </c>
      <c r="G28" s="16">
        <f>'Rel to Acc'!G28-104.7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Acc'!D29-$D$76</f>
        <v>75.158849999999973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7" customFormat="1" x14ac:dyDescent="0.25">
      <c r="A30" s="56" t="s">
        <v>52</v>
      </c>
      <c r="B30" s="56" t="s">
        <v>25</v>
      </c>
      <c r="C30" s="56"/>
      <c r="D30" s="58">
        <f>'Rel to Acc'!D30-$D$76</f>
        <v>75.373960000000011</v>
      </c>
      <c r="E30" s="58">
        <f>'Rel to Acc'!E30-80.6</f>
        <v>0.10155000000000314</v>
      </c>
      <c r="F30" s="58">
        <f>'data from JD'!F30+'data from JD'!P30/1000</f>
        <v>-0.89004400002670281</v>
      </c>
      <c r="G30" s="58">
        <f>'Rel to Acc'!G30-104.7</f>
        <v>-1.6000000000815362E-4</v>
      </c>
      <c r="H30" s="58">
        <f>'data from JD'!L30+'data from JD'!R30</f>
        <v>-2.5799999999999998E-3</v>
      </c>
      <c r="I30" s="59">
        <v>1.49E-2</v>
      </c>
      <c r="J30" s="59">
        <v>6.8799999999999998E-3</v>
      </c>
      <c r="K30" s="56"/>
      <c r="L30" s="56"/>
      <c r="M30" s="56"/>
      <c r="N30" s="56"/>
      <c r="O30" s="56"/>
      <c r="P30" s="56"/>
    </row>
    <row r="31" spans="1:16" x14ac:dyDescent="0.25">
      <c r="A31" s="15" t="s">
        <v>53</v>
      </c>
      <c r="B31" s="15" t="s">
        <v>26</v>
      </c>
      <c r="C31" s="15"/>
      <c r="D31" s="16">
        <f>'Rel to Acc'!D31-$D$76</f>
        <v>81.261430000000018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Acc'!D32-$D$76</f>
        <v>77.672730000000001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Acc'!D33-$D$76</f>
        <v>82.028186000000005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161</v>
      </c>
      <c r="B34" s="15"/>
      <c r="C34" s="15"/>
      <c r="D34" s="16">
        <f>'Rel to Acc'!D34-$D$76</f>
        <v>83.951399999999978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Acc'!D35-$D$76</f>
        <v>86.119579999999985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44" customFormat="1" x14ac:dyDescent="0.25">
      <c r="A36" s="40" t="s">
        <v>57</v>
      </c>
      <c r="B36" s="40" t="s">
        <v>21</v>
      </c>
      <c r="C36" s="40"/>
      <c r="D36" s="41">
        <f>'Rel to Acc'!D36-$D$76</f>
        <v>87.656180000000006</v>
      </c>
      <c r="E36" s="41">
        <f>'Rel to Acc'!E36-80.6</f>
        <v>-9.9999999989108801E-5</v>
      </c>
      <c r="F36" s="41">
        <f>'data from JD'!F36+'data from JD'!P36/1000</f>
        <v>0.17991300000029103</v>
      </c>
      <c r="G36" s="41">
        <f>'Rel to Acc'!G36-104.7</f>
        <v>-4.3999999999755346E-4</v>
      </c>
      <c r="H36" s="41">
        <f>'data from JD'!L36+'data from JD'!R36</f>
        <v>-1.15E-3</v>
      </c>
      <c r="I36" s="43">
        <v>8.5900000000000004E-3</v>
      </c>
      <c r="J36" s="43">
        <v>5.6999999999999998E-4</v>
      </c>
      <c r="K36" s="40"/>
      <c r="L36" s="40"/>
      <c r="M36" s="40"/>
      <c r="N36" s="40"/>
      <c r="O36" s="40"/>
      <c r="P36" s="40"/>
    </row>
    <row r="37" spans="1:16" s="44" customFormat="1" x14ac:dyDescent="0.25">
      <c r="A37" s="40" t="s">
        <v>58</v>
      </c>
      <c r="B37" s="40" t="s">
        <v>19</v>
      </c>
      <c r="C37" s="40"/>
      <c r="D37" s="41">
        <f>'Rel to Acc'!D37-$D$76</f>
        <v>90.58359999999999</v>
      </c>
      <c r="E37" s="41">
        <f>'Rel to Acc'!E37-80.6</f>
        <v>-0.23858999999998787</v>
      </c>
      <c r="F37" s="41">
        <f>'data from JD'!F37+'data from JD'!P37/1000</f>
        <v>0.18153199999524153</v>
      </c>
      <c r="G37" s="41">
        <f>'Rel to Acc'!G37-104.7</f>
        <v>1.0000000003174137E-5</v>
      </c>
      <c r="H37" s="41">
        <f>'data from JD'!L37+'data from JD'!R37</f>
        <v>-4.6595800000000001</v>
      </c>
      <c r="I37" s="43">
        <v>8.0500000000000002E-2</v>
      </c>
      <c r="J37" s="43">
        <v>-0.15642</v>
      </c>
      <c r="K37" s="40"/>
      <c r="L37" s="40"/>
      <c r="M37" s="40"/>
      <c r="N37" s="40"/>
      <c r="O37" s="40"/>
      <c r="P37" s="40"/>
    </row>
    <row r="38" spans="1:16" s="44" customFormat="1" x14ac:dyDescent="0.25">
      <c r="A38" s="40" t="s">
        <v>59</v>
      </c>
      <c r="B38" s="40" t="s">
        <v>20</v>
      </c>
      <c r="C38" s="40"/>
      <c r="D38" s="41">
        <f>'Rel to Acc'!D38-$D$76</f>
        <v>90.583059999999989</v>
      </c>
      <c r="E38" s="41">
        <f>'Rel to Acc'!E38-80.6</f>
        <v>0.23852000000000828</v>
      </c>
      <c r="F38" s="41">
        <f>'data from JD'!F38+'data from JD'!P38/1000</f>
        <v>0.18081299999524153</v>
      </c>
      <c r="G38" s="41">
        <f>'Rel to Acc'!G38-104.7</f>
        <v>-2.0000000006348273E-5</v>
      </c>
      <c r="H38" s="41">
        <f>'data from JD'!L38+'data from JD'!R38</f>
        <v>4.5707700000000004</v>
      </c>
      <c r="I38" s="43">
        <v>-0.13464999999999999</v>
      </c>
      <c r="J38" s="43">
        <v>3.0939999999999999E-2</v>
      </c>
      <c r="K38" s="40"/>
      <c r="L38" s="40"/>
      <c r="M38" s="40"/>
      <c r="N38" s="40"/>
      <c r="O38" s="40"/>
      <c r="P38" s="40"/>
    </row>
    <row r="39" spans="1:16" s="44" customFormat="1" x14ac:dyDescent="0.25">
      <c r="A39" s="40" t="s">
        <v>60</v>
      </c>
      <c r="B39" s="41" t="s">
        <v>86</v>
      </c>
      <c r="C39" s="40"/>
      <c r="D39" s="41">
        <f>'Rel to Acc'!D39-$D$76</f>
        <v>91.072349999999972</v>
      </c>
      <c r="E39" s="41">
        <f>'Rel to Acc'!E39-80.6</f>
        <v>-0.27482999999999436</v>
      </c>
      <c r="F39" s="41">
        <f>'data from JD'!F39+'data from JD'!P39/1000</f>
        <v>0.18167999999524154</v>
      </c>
      <c r="G39" s="41">
        <f>'Rel to Acc'!G39-104.7</f>
        <v>2.6699999999948432E-3</v>
      </c>
      <c r="H39" s="41">
        <f>'Rel to Acc'!H39</f>
        <v>-4.6928999999999998</v>
      </c>
      <c r="I39" s="43"/>
      <c r="J39" s="43"/>
      <c r="K39" s="40"/>
      <c r="L39" s="40"/>
      <c r="M39" s="40"/>
      <c r="N39" s="40"/>
      <c r="O39" s="40"/>
      <c r="P39" s="40"/>
    </row>
    <row r="40" spans="1:16" s="44" customFormat="1" x14ac:dyDescent="0.25">
      <c r="A40" s="40" t="s">
        <v>61</v>
      </c>
      <c r="B40" s="41" t="s">
        <v>85</v>
      </c>
      <c r="C40" s="40"/>
      <c r="D40" s="41">
        <f>'Rel to Acc'!D40-$D$76</f>
        <v>91.072339999999997</v>
      </c>
      <c r="E40" s="41">
        <f>'Rel to Acc'!E40-80.6</f>
        <v>0.27509000000000583</v>
      </c>
      <c r="F40" s="41">
        <f>'data from JD'!F40+'data from JD'!P40/1000</f>
        <v>0.18207999999524152</v>
      </c>
      <c r="G40" s="41">
        <f>'Rel to Acc'!G40-104.7</f>
        <v>8.6999999999193278E-4</v>
      </c>
      <c r="H40" s="41">
        <f>'Rel to Acc'!H40</f>
        <v>4.7812999999999999</v>
      </c>
      <c r="I40" s="43"/>
      <c r="J40" s="43"/>
      <c r="K40" s="40"/>
      <c r="L40" s="40"/>
      <c r="M40" s="40"/>
      <c r="N40" s="40"/>
      <c r="O40" s="40"/>
      <c r="P40" s="40"/>
    </row>
    <row r="41" spans="1:16" x14ac:dyDescent="0.25">
      <c r="A41" s="15" t="s">
        <v>62</v>
      </c>
      <c r="B41" s="15" t="s">
        <v>23</v>
      </c>
      <c r="C41" s="15"/>
      <c r="D41" s="16">
        <f>'Rel to Acc'!D41-$D$76</f>
        <v>100.91665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Acc'!D42-$D$76</f>
        <v>98.519450000000006</v>
      </c>
      <c r="E42" s="16">
        <f>'Rel to Acc'!E42-80.6</f>
        <v>-1.3794152842763197E-3</v>
      </c>
      <c r="F42" s="16">
        <f>'data from JD'!F42+'data from JD'!P42/1000</f>
        <v>6.1090199999782993</v>
      </c>
      <c r="G42" s="16">
        <f>'Rel to Acc'!G42-104.7</f>
        <v>-5.648102954580736E-4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Acc'!D43-$D$76</f>
        <v>103.31405000000001</v>
      </c>
      <c r="E43" s="16">
        <f>'Rel to Acc'!E43-80.6</f>
        <v>7.7950534063120358E-4</v>
      </c>
      <c r="F43" s="16">
        <f>'data from JD'!F45+'data from JD'!P45/1000</f>
        <v>0.17992000000029104</v>
      </c>
      <c r="G43" s="16">
        <f>'Rel to Acc'!G43-104.7</f>
        <v>5.6485741795597733E-4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Acc'!D44-$D$76</f>
        <v>101.14535000000001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7" customFormat="1" x14ac:dyDescent="0.25">
      <c r="A45" s="56" t="s">
        <v>195</v>
      </c>
      <c r="B45" s="56"/>
      <c r="C45" s="56"/>
      <c r="D45" s="58">
        <f>'Rel to Acc'!D45-$D$76</f>
        <v>99.531090000000006</v>
      </c>
      <c r="E45" s="58">
        <f>'Rel to Acc'!E45-80.6</f>
        <v>-6.0747831696517096E-5</v>
      </c>
      <c r="F45" s="58">
        <f>'data from JD'!F43+'data from JD'!P43/1000</f>
        <v>0</v>
      </c>
      <c r="G45" s="58">
        <f>'Rel to Acc'!G45-104.7</f>
        <v>3.6389778003353968E-5</v>
      </c>
      <c r="H45" s="58"/>
      <c r="I45" s="59"/>
      <c r="J45" s="59"/>
      <c r="K45" s="56"/>
      <c r="L45" s="56"/>
      <c r="M45" s="56"/>
      <c r="N45" s="56"/>
      <c r="O45" s="56"/>
      <c r="P45" s="56"/>
    </row>
    <row r="46" spans="1:16" s="57" customFormat="1" x14ac:dyDescent="0.25">
      <c r="A46" s="56" t="s">
        <v>194</v>
      </c>
      <c r="B46" s="56" t="s">
        <v>151</v>
      </c>
      <c r="C46" s="56"/>
      <c r="D46" s="58">
        <f>'Rel to Acc'!D46-$D$76</f>
        <v>99.67883999999998</v>
      </c>
      <c r="E46" s="58">
        <f>'Rel to Acc'!E46-80.6</f>
        <v>-5.999999999062311E-5</v>
      </c>
      <c r="F46" s="58">
        <f>'data from JD'!F45+'data from JD'!P45/1000</f>
        <v>0.17992000000029104</v>
      </c>
      <c r="G46" s="58">
        <f>'Rel to Acc'!G46-104.7</f>
        <v>3.9999999998485691E-5</v>
      </c>
      <c r="H46" s="58"/>
      <c r="I46" s="59"/>
      <c r="J46" s="59" t="s">
        <v>46</v>
      </c>
      <c r="K46" s="56"/>
      <c r="L46" s="56"/>
      <c r="M46" s="56"/>
      <c r="N46" s="56"/>
      <c r="O46" s="56"/>
      <c r="P46" s="56"/>
    </row>
    <row r="47" spans="1:16" s="57" customFormat="1" x14ac:dyDescent="0.25">
      <c r="A47" s="56" t="s">
        <v>196</v>
      </c>
      <c r="B47" s="56"/>
      <c r="C47" s="56"/>
      <c r="D47" s="58">
        <f>'Rel to Acc'!D47-$D$76</f>
        <v>99.826589999999953</v>
      </c>
      <c r="E47" s="58">
        <f>'Rel to Acc'!E47-80.6</f>
        <v>-5.9252168284729123E-5</v>
      </c>
      <c r="F47" s="58">
        <f>'data from JD'!F46+'data from JD'!P46/1000</f>
        <v>0</v>
      </c>
      <c r="G47" s="58">
        <f>'Rel to Acc'!G47-104.7</f>
        <v>4.3610221993617415E-5</v>
      </c>
      <c r="H47" s="58"/>
      <c r="I47" s="59"/>
      <c r="J47" s="59"/>
      <c r="K47" s="56"/>
      <c r="L47" s="56"/>
      <c r="M47" s="56"/>
      <c r="N47" s="56"/>
      <c r="O47" s="56"/>
      <c r="P47" s="56"/>
    </row>
    <row r="48" spans="1:16" s="44" customFormat="1" x14ac:dyDescent="0.25">
      <c r="A48" s="40" t="s">
        <v>152</v>
      </c>
      <c r="B48" s="40"/>
      <c r="C48" s="40"/>
      <c r="D48" s="41">
        <f>'Rel to Acc'!D48-$D$76</f>
        <v>99.873019999999997</v>
      </c>
      <c r="E48" s="41">
        <f>'Rel to Acc'!E48-80.6</f>
        <v>1.2683470616536852E-3</v>
      </c>
      <c r="F48" s="41">
        <f>'data from JD'!F48+'data from JD'!P48/1000</f>
        <v>0</v>
      </c>
      <c r="G48" s="41">
        <f>'Rel to Acc'!G48-104.7</f>
        <v>2.0109847570353168E-3</v>
      </c>
      <c r="H48" s="41"/>
      <c r="I48" s="43"/>
      <c r="J48" s="43"/>
      <c r="K48" s="40"/>
      <c r="L48" s="40"/>
      <c r="M48" s="40"/>
      <c r="N48" s="40"/>
      <c r="O48" s="40"/>
      <c r="P48" s="40"/>
    </row>
    <row r="49" spans="1:16" s="44" customFormat="1" x14ac:dyDescent="0.25">
      <c r="A49" s="40" t="s">
        <v>80</v>
      </c>
      <c r="B49" s="40" t="s">
        <v>18</v>
      </c>
      <c r="C49" s="41" t="s">
        <v>46</v>
      </c>
      <c r="D49" s="41">
        <f>'Rel to Acc'!D49-$D$76</f>
        <v>99.326549999999997</v>
      </c>
      <c r="E49" s="41"/>
      <c r="F49" s="41">
        <f>'data from JD'!F49+'data from JD'!P49/1000</f>
        <v>1.23E-3</v>
      </c>
      <c r="G49" s="41"/>
      <c r="H49" s="41"/>
      <c r="I49" s="41">
        <f>ATAN(((G51-G49)/(D51-D49))*180/3.1415)</f>
        <v>0.10772596426591248</v>
      </c>
      <c r="J49" s="43">
        <v>-11.25</v>
      </c>
      <c r="K49" s="40"/>
      <c r="L49" s="40"/>
      <c r="M49" s="40"/>
      <c r="N49" s="40"/>
      <c r="O49" s="40"/>
      <c r="P49" s="40"/>
    </row>
    <row r="50" spans="1:16" s="44" customFormat="1" x14ac:dyDescent="0.25">
      <c r="A50" s="40" t="s">
        <v>92</v>
      </c>
      <c r="B50" s="40"/>
      <c r="C50" s="41"/>
      <c r="D50" s="41">
        <f>'Rel to Acc'!D50-$D$76</f>
        <v>99.413850000000025</v>
      </c>
      <c r="E50" s="41">
        <f>'Rel to Acc'!E50-80.6</f>
        <v>-6.9288379833665203E-5</v>
      </c>
      <c r="F50" s="41">
        <f>'data from JD'!F50+'data from JD'!P50/1000</f>
        <v>1.23E-3</v>
      </c>
      <c r="G50" s="41">
        <f>'Rel to Acc'!G50-104.7</f>
        <v>-9.7746354836658611E-4</v>
      </c>
      <c r="H50" s="41"/>
      <c r="I50" s="43"/>
      <c r="J50" s="43"/>
      <c r="K50" s="40"/>
      <c r="L50" s="40"/>
      <c r="M50" s="40"/>
      <c r="N50" s="40"/>
      <c r="O50" s="40"/>
      <c r="P50" s="40"/>
    </row>
    <row r="51" spans="1:16" s="44" customFormat="1" x14ac:dyDescent="0.25">
      <c r="A51" s="40" t="s">
        <v>93</v>
      </c>
      <c r="B51" s="40"/>
      <c r="C51" s="41"/>
      <c r="D51" s="41">
        <f>'Rel to Acc'!D51-$D$76</f>
        <v>99.998949999999979</v>
      </c>
      <c r="E51" s="41">
        <f>'Rel to Acc'!E51-80.6</f>
        <v>1.5409860872921399E-3</v>
      </c>
      <c r="F51" s="41">
        <f>'data from JD'!F51+'data from JD'!P51/1000</f>
        <v>-4.4000000000000002E-4</v>
      </c>
      <c r="G51" s="41">
        <f>'Rel to Acc'!G51-104.7</f>
        <v>1.2691039528505144E-3</v>
      </c>
      <c r="H51" s="41"/>
      <c r="I51" s="43"/>
      <c r="J51" s="43"/>
      <c r="K51" s="40"/>
      <c r="L51" s="40"/>
      <c r="M51" s="40"/>
      <c r="N51" s="40"/>
      <c r="O51" s="40"/>
      <c r="P51" s="40"/>
    </row>
    <row r="52" spans="1:16" x14ac:dyDescent="0.25">
      <c r="A52" s="15" t="s">
        <v>111</v>
      </c>
      <c r="B52" s="15"/>
      <c r="C52" s="15"/>
      <c r="D52" s="16">
        <f>'Rel to Acc'!D52-$D$76</f>
        <v>100.84944000000002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Acc'!D53-$D$76</f>
        <v>101.43513999999999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Acc'!D54-$D$76</f>
        <v>102.02103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Acc'!D55-$D$76</f>
        <v>102.40778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Acc'!D56-$D$76</f>
        <v>99.953449999999975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Acc'!D57-$D$76</f>
        <v>99.203449999999975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Acc'!D58-$D$76</f>
        <v>100.70344999999998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57" customFormat="1" x14ac:dyDescent="0.25">
      <c r="A59" s="56" t="s">
        <v>65</v>
      </c>
      <c r="B59" s="56" t="s">
        <v>15</v>
      </c>
      <c r="C59" s="56"/>
      <c r="D59" s="58">
        <f>'Rel to Acc'!D59-$D$76</f>
        <v>105.27366000000001</v>
      </c>
      <c r="E59" s="58">
        <f>'Rel to Acc'!E59-80.6</f>
        <v>5.0800000000066348E-3</v>
      </c>
      <c r="F59" s="58">
        <f>'data from JD'!F57+'data from JD'!P57/1000</f>
        <v>0.17997900000029105</v>
      </c>
      <c r="G59" s="58">
        <f>'Rel to Acc'!G59-104.7</f>
        <v>1.0000000000331966E-4</v>
      </c>
      <c r="H59" s="58">
        <f>'Rel to Acc'!H59</f>
        <v>-4.5839999999999999E-2</v>
      </c>
      <c r="I59" s="58">
        <f>'Rel to Acc'!I59</f>
        <v>3.524E-2</v>
      </c>
      <c r="J59" s="58">
        <f>'Rel to Acc'!J59</f>
        <v>-1.49E-2</v>
      </c>
      <c r="K59" s="56"/>
      <c r="L59" s="56"/>
      <c r="M59" s="56"/>
      <c r="N59" s="56"/>
      <c r="O59" s="56"/>
      <c r="P59" s="56"/>
    </row>
    <row r="60" spans="1:16" s="57" customFormat="1" x14ac:dyDescent="0.25">
      <c r="A60" s="56" t="s">
        <v>66</v>
      </c>
      <c r="B60" s="56" t="s">
        <v>16</v>
      </c>
      <c r="C60" s="56"/>
      <c r="D60" s="58">
        <f>'Rel to Acc'!D60-$D$76</f>
        <v>105.07529</v>
      </c>
      <c r="E60" s="58">
        <f>'Rel to Acc'!E60-80.6</f>
        <v>3.3400000000085583E-3</v>
      </c>
      <c r="F60" s="58">
        <f>'data from JD'!F58+'data from JD'!P58/1000</f>
        <v>0.18225100000029104</v>
      </c>
      <c r="G60" s="58">
        <f>'Rel to Acc'!G60-104.7</f>
        <v>4.7699999999935017E-3</v>
      </c>
      <c r="H60" s="58">
        <f>'Rel to Acc'!H60</f>
        <v>-4.1540000000000001E-2</v>
      </c>
      <c r="I60" s="58">
        <f>'Rel to Acc'!I60</f>
        <v>4.4979999999999999E-2</v>
      </c>
      <c r="J60" s="58">
        <f>'Rel to Acc'!J60</f>
        <v>-0.13836999999999999</v>
      </c>
      <c r="K60" s="56"/>
      <c r="L60" s="56"/>
      <c r="M60" s="56"/>
      <c r="N60" s="56"/>
      <c r="O60" s="56"/>
      <c r="P60" s="56"/>
    </row>
    <row r="61" spans="1:16" s="57" customFormat="1" x14ac:dyDescent="0.25">
      <c r="A61" s="56" t="s">
        <v>252</v>
      </c>
      <c r="B61" s="56"/>
      <c r="C61" s="56"/>
      <c r="D61" s="58">
        <f>'Rel to Acc'!D61-$D$76</f>
        <v>111.78820000000002</v>
      </c>
      <c r="E61" s="58">
        <f>'Rel to Acc'!E61-80.6</f>
        <v>0</v>
      </c>
      <c r="F61" s="58">
        <f>'data from JD'!F59+'data from JD'!P59/1000</f>
        <v>0</v>
      </c>
      <c r="G61" s="58">
        <f>'Rel to Acc'!G61-104.7</f>
        <v>-1.4000000000180535E-4</v>
      </c>
      <c r="H61" s="58">
        <f>'Rel to Acc'!H61</f>
        <v>-7.85E-2</v>
      </c>
      <c r="I61" s="58">
        <f>'Rel to Acc'!I61</f>
        <v>1.1169999999999999E-2</v>
      </c>
      <c r="J61" s="58">
        <f>'Rel to Acc'!J61</f>
        <v>-4.0390000000000002E-2</v>
      </c>
      <c r="K61" s="56"/>
      <c r="L61" s="56"/>
      <c r="M61" s="56"/>
      <c r="N61" s="56"/>
      <c r="O61" s="56"/>
      <c r="P61" s="56"/>
    </row>
    <row r="62" spans="1:16" x14ac:dyDescent="0.25">
      <c r="A62" s="15" t="s">
        <v>257</v>
      </c>
      <c r="B62" s="15"/>
      <c r="D62" s="16">
        <f>'Rel to Acc'!D62-$D$76</f>
        <v>-299.11115000000001</v>
      </c>
      <c r="E62" s="16">
        <f>'Rel to Acc'!E62-80.6</f>
        <v>-80.599999999999994</v>
      </c>
      <c r="F62" s="16">
        <f>'data from JD'!F60+'data from JD'!P60/1000</f>
        <v>0</v>
      </c>
      <c r="G62" s="16">
        <f>'Rel to Acc'!G62-104.7</f>
        <v>-104.7</v>
      </c>
      <c r="H62" s="15">
        <f>'Rel to Acc'!H62</f>
        <v>0</v>
      </c>
      <c r="I62" s="15">
        <f>'Rel to Acc'!I62</f>
        <v>0</v>
      </c>
      <c r="J62" s="15">
        <f>'Rel to Acc'!J62</f>
        <v>0</v>
      </c>
    </row>
    <row r="63" spans="1:16" s="44" customFormat="1" x14ac:dyDescent="0.25">
      <c r="A63" s="54" t="s">
        <v>259</v>
      </c>
      <c r="B63" s="55" t="s">
        <v>260</v>
      </c>
      <c r="D63" s="55">
        <f>'Rel to Acc'!D63-$D$76</f>
        <v>115.27085</v>
      </c>
      <c r="E63" s="55">
        <f>'Rel to Acc'!E63-80.6</f>
        <v>0</v>
      </c>
      <c r="F63" s="55">
        <f>'data from JD'!F61+'data from JD'!P61/1000</f>
        <v>0</v>
      </c>
      <c r="G63" s="55">
        <f>'Rel to Acc'!G63-104.7</f>
        <v>0</v>
      </c>
      <c r="H63" s="40">
        <f>'Rel to Acc'!H63</f>
        <v>0.1168</v>
      </c>
      <c r="I63" s="40">
        <f>'Rel to Acc'!I63</f>
        <v>0.1065</v>
      </c>
      <c r="J63" s="40" t="str">
        <f>'Rel to Acc'!J63</f>
        <v xml:space="preserve"> </v>
      </c>
    </row>
    <row r="64" spans="1:16" s="44" customFormat="1" x14ac:dyDescent="0.25">
      <c r="A64" s="40" t="s">
        <v>281</v>
      </c>
      <c r="B64" s="41" t="s">
        <v>263</v>
      </c>
      <c r="C64" s="40"/>
      <c r="D64" s="41">
        <f>'Rel to Acc'!D64-$D$76</f>
        <v>104.87090999999998</v>
      </c>
      <c r="E64" s="41">
        <f>'Rel to Acc'!E64-80.6</f>
        <v>7.6800000000076807E-3</v>
      </c>
      <c r="F64" s="41">
        <f>'data from JD'!F62+'data from JD'!P62/1000</f>
        <v>0</v>
      </c>
      <c r="G64" s="41">
        <f>'Rel to Acc'!G64-104.7</f>
        <v>-0.81810000000000116</v>
      </c>
      <c r="H64" s="40">
        <f>'Rel to Acc'!H64</f>
        <v>-0.1003</v>
      </c>
      <c r="I64" s="40">
        <f>'Rel to Acc'!I64</f>
        <v>-7.9100000000000004E-2</v>
      </c>
      <c r="J64" s="40">
        <f>'Rel to Acc'!J64</f>
        <v>3.8100000000000002E-2</v>
      </c>
    </row>
    <row r="65" spans="1:10" s="44" customFormat="1" x14ac:dyDescent="0.25">
      <c r="A65" s="40" t="s">
        <v>282</v>
      </c>
      <c r="B65" s="41" t="s">
        <v>264</v>
      </c>
      <c r="C65" s="40"/>
      <c r="D65" s="41">
        <f>'Rel to Acc'!D65-$D$76</f>
        <v>104.87144999999998</v>
      </c>
      <c r="E65" s="41">
        <f>'Rel to Acc'!E65-80.6</f>
        <v>8.3300000000008367E-3</v>
      </c>
      <c r="F65" s="41">
        <f>'data from JD'!F63+'data from JD'!P63/1000</f>
        <v>0</v>
      </c>
      <c r="G65" s="41">
        <f>'Rel to Acc'!G65-104.7</f>
        <v>-0.30340999999999951</v>
      </c>
      <c r="H65" s="40">
        <f>'Rel to Acc'!H65</f>
        <v>-9.6299999999999997E-2</v>
      </c>
      <c r="I65" s="40">
        <f>'Rel to Acc'!I65</f>
        <v>-0.21429999999999999</v>
      </c>
      <c r="J65" s="40">
        <f>'Rel to Acc'!J65</f>
        <v>3.5499999999999997E-2</v>
      </c>
    </row>
    <row r="66" spans="1:10" s="57" customFormat="1" x14ac:dyDescent="0.25">
      <c r="A66" s="56" t="s">
        <v>274</v>
      </c>
      <c r="B66" s="58"/>
      <c r="C66" s="56"/>
      <c r="D66" s="58">
        <f>'Rel to Acc'!D66-$D$76</f>
        <v>104.83190999999999</v>
      </c>
      <c r="E66" s="58">
        <f>'Rel to Acc'!E66-80.6</f>
        <v>-3.0128299999999939</v>
      </c>
      <c r="F66" s="58">
        <f>'data from JD'!F64+'data from JD'!P64/1000</f>
        <v>0</v>
      </c>
      <c r="G66" s="58">
        <f>'Rel to Acc'!G66-104.7</f>
        <v>-0.30389999999999873</v>
      </c>
      <c r="H66" s="56">
        <f>'Rel to Acc'!H66</f>
        <v>-0.18936</v>
      </c>
      <c r="I66" s="56">
        <f>'Rel to Acc'!I66</f>
        <v>-0.22489000000000001</v>
      </c>
      <c r="J66" s="56">
        <f>'Rel to Acc'!J66</f>
        <v>4.8410000000000002E-2</v>
      </c>
    </row>
    <row r="67" spans="1:10" s="57" customFormat="1" x14ac:dyDescent="0.25">
      <c r="A67" s="69" t="s">
        <v>291</v>
      </c>
      <c r="B67" s="70" t="s">
        <v>289</v>
      </c>
      <c r="C67" s="73"/>
      <c r="D67" s="58">
        <f>'Rel to Acc'!D67-$D$76</f>
        <v>104.87304</v>
      </c>
      <c r="E67" s="58">
        <f>'Rel to Acc'!E67-80.6</f>
        <v>1.3800000000117052E-3</v>
      </c>
      <c r="F67" s="58">
        <f>'data from JD'!F65+'data from JD'!P65/1000</f>
        <v>0</v>
      </c>
      <c r="G67" s="58">
        <f>'Rel to Acc'!G67-104.7</f>
        <v>0.29903000000000191</v>
      </c>
      <c r="H67" s="56">
        <f>'Rel to Acc'!H67</f>
        <v>-8.3650000000000002E-2</v>
      </c>
      <c r="I67" s="56">
        <f>'Rel to Acc'!I67</f>
        <v>-0.15384</v>
      </c>
      <c r="J67" s="56">
        <f>'Rel to Acc'!J67</f>
        <v>-7.7299999999999999E-3</v>
      </c>
    </row>
    <row r="68" spans="1:10" s="57" customFormat="1" x14ac:dyDescent="0.25">
      <c r="A68" s="69" t="s">
        <v>292</v>
      </c>
      <c r="B68" s="70" t="s">
        <v>290</v>
      </c>
      <c r="C68" s="73"/>
      <c r="D68" s="58">
        <f>'Rel to Acc'!D68-$D$76</f>
        <v>104.87425999999999</v>
      </c>
      <c r="E68" s="58">
        <f>'Rel to Acc'!E68-80.6</f>
        <v>1.4600000000086766E-3</v>
      </c>
      <c r="F68" s="58">
        <f>'data from JD'!F66+'data from JD'!P66/1000</f>
        <v>0</v>
      </c>
      <c r="G68" s="58">
        <f>'Rel to Acc'!G68-104.7</f>
        <v>0.81400999999999613</v>
      </c>
      <c r="H68" s="56">
        <f>'Rel to Acc'!H68</f>
        <v>-9.5680000000000001E-2</v>
      </c>
      <c r="I68" s="56">
        <f>'Rel to Acc'!I68</f>
        <v>-0.18362999999999999</v>
      </c>
      <c r="J68" s="56">
        <f>'Rel to Acc'!J68</f>
        <v>-1.461E-2</v>
      </c>
    </row>
    <row r="69" spans="1:10" s="57" customFormat="1" x14ac:dyDescent="0.25">
      <c r="A69" s="69" t="s">
        <v>286</v>
      </c>
      <c r="B69" s="75"/>
      <c r="C69" s="73"/>
      <c r="D69" s="58">
        <f>'Rel to Acc'!D69-$D$76</f>
        <v>104.84782000000001</v>
      </c>
      <c r="E69" s="58">
        <f>'Rel to Acc'!E69-80.6</f>
        <v>3.0224800000000016</v>
      </c>
      <c r="F69" s="58">
        <f>'data from JD'!F67+'data from JD'!P67/1000</f>
        <v>0</v>
      </c>
      <c r="G69" s="58">
        <f>'Rel to Acc'!G69-104.7</f>
        <v>0.81273000000000195</v>
      </c>
      <c r="H69" s="56">
        <f>'Rel to Acc'!H69</f>
        <v>-0.1023</v>
      </c>
      <c r="I69" s="56">
        <f>'Rel to Acc'!I69</f>
        <v>-0.18340000000000001</v>
      </c>
      <c r="J69" s="56">
        <f>'Rel to Acc'!J69</f>
        <v>-4.4400000000000002E-2</v>
      </c>
    </row>
    <row r="70" spans="1:10" s="57" customFormat="1" x14ac:dyDescent="0.25">
      <c r="A70" s="69" t="s">
        <v>297</v>
      </c>
      <c r="B70" s="70"/>
      <c r="C70" s="56"/>
      <c r="D70" s="58">
        <f>'Rel to Acc'!D70-$D$76</f>
        <v>104.71006</v>
      </c>
      <c r="E70" s="58">
        <f>'Rel to Acc'!E70-80.6</f>
        <v>-3.0499999999875627E-3</v>
      </c>
      <c r="F70" s="58">
        <f>'data from JD'!F68+'data from JD'!P68/1000</f>
        <v>0</v>
      </c>
      <c r="G70" s="58">
        <f>'Rel to Acc'!G70-104.7</f>
        <v>-0.73967000000000382</v>
      </c>
      <c r="H70" s="56">
        <f>'Rel to Acc'!H70</f>
        <v>0.31080000000000002</v>
      </c>
      <c r="I70" s="56">
        <f>'Rel to Acc'!I70</f>
        <v>-0.18110000000000001</v>
      </c>
      <c r="J70" s="56">
        <f>'Rel to Acc'!J70</f>
        <v>-0.25900000000000001</v>
      </c>
    </row>
    <row r="71" spans="1:10" s="57" customFormat="1" x14ac:dyDescent="0.25">
      <c r="A71" s="69" t="s">
        <v>298</v>
      </c>
      <c r="B71" s="70"/>
      <c r="C71" s="56"/>
      <c r="D71" s="58">
        <f>'Rel to Acc'!D71-$D$76</f>
        <v>104.71125000000001</v>
      </c>
      <c r="E71" s="58">
        <f>'Rel to Acc'!E71-80.6</f>
        <v>0.37676000000000442</v>
      </c>
      <c r="F71" s="58">
        <f>'data from JD'!F69+'data from JD'!P69/1000</f>
        <v>0</v>
      </c>
      <c r="G71" s="58">
        <f>'Rel to Acc'!G71-104.7</f>
        <v>-0.7424699999999973</v>
      </c>
      <c r="H71" s="56">
        <f>'Rel to Acc'!H71</f>
        <v>0.38479999999999998</v>
      </c>
      <c r="I71" s="56">
        <f>'Rel to Acc'!I71</f>
        <v>-0.52800000000000002</v>
      </c>
      <c r="J71" s="56">
        <f>'Rel to Acc'!J71</f>
        <v>-0.1593</v>
      </c>
    </row>
    <row r="72" spans="1:10" s="57" customFormat="1" x14ac:dyDescent="0.25">
      <c r="A72" s="69" t="s">
        <v>299</v>
      </c>
      <c r="B72" s="70"/>
      <c r="C72" s="56"/>
      <c r="D72" s="58">
        <f>'Rel to Acc'!D72-$D$76</f>
        <v>104.71053000000001</v>
      </c>
      <c r="E72" s="58">
        <f>'Rel to Acc'!E72-80.6</f>
        <v>-0.390199999999993</v>
      </c>
      <c r="F72" s="58">
        <f>'data from JD'!F70+'data from JD'!P70/1000</f>
        <v>0</v>
      </c>
      <c r="G72" s="58">
        <f>'Rel to Acc'!G72-104.7</f>
        <v>-0.74255000000000848</v>
      </c>
      <c r="H72" s="56">
        <f>'Rel to Acc'!H72</f>
        <v>0.24210000000000001</v>
      </c>
      <c r="I72" s="56">
        <f>'Rel to Acc'!I72</f>
        <v>-0.5776</v>
      </c>
      <c r="J72" s="56">
        <f>'Rel to Acc'!J72</f>
        <v>-0.22489999999999999</v>
      </c>
    </row>
    <row r="73" spans="1:10" s="33" customFormat="1" x14ac:dyDescent="0.25">
      <c r="A73" s="45"/>
      <c r="B73" s="24"/>
      <c r="D73" s="24"/>
      <c r="E73" s="24"/>
      <c r="F73" s="24"/>
      <c r="G73" s="24"/>
      <c r="H73" s="45"/>
      <c r="I73" s="45"/>
      <c r="J73" s="45"/>
    </row>
    <row r="74" spans="1:10" ht="15.75" x14ac:dyDescent="0.25">
      <c r="A74" s="10" t="s">
        <v>81</v>
      </c>
      <c r="D74" s="4">
        <f>'Rel to Acc'!D42+0.508</f>
        <v>398.1386</v>
      </c>
      <c r="E74" s="2">
        <v>80.599999999999994</v>
      </c>
      <c r="F74" s="2"/>
      <c r="G74" s="2">
        <v>104.7</v>
      </c>
    </row>
    <row r="75" spans="1:10" s="33" customFormat="1" ht="15.75" x14ac:dyDescent="0.25">
      <c r="A75" s="10"/>
      <c r="E75" s="2"/>
      <c r="F75" s="2"/>
      <c r="G75" s="2"/>
    </row>
    <row r="76" spans="1:10" s="47" customFormat="1" x14ac:dyDescent="0.25">
      <c r="B76" s="47" t="s">
        <v>266</v>
      </c>
      <c r="D76" s="47">
        <f>'Rel to Acc'!D15</f>
        <v>299.11115000000001</v>
      </c>
      <c r="E76" s="47" t="s">
        <v>46</v>
      </c>
      <c r="G76" s="47" t="s">
        <v>46</v>
      </c>
    </row>
    <row r="77" spans="1:10" s="57" customFormat="1" x14ac:dyDescent="0.25">
      <c r="A77" s="56" t="s">
        <v>295</v>
      </c>
    </row>
    <row r="78" spans="1:10" x14ac:dyDescent="0.25">
      <c r="A78" s="76" t="s">
        <v>300</v>
      </c>
    </row>
    <row r="79" spans="1:10" x14ac:dyDescent="0.25">
      <c r="A79" s="35" t="s">
        <v>46</v>
      </c>
    </row>
    <row r="80" spans="1:10" x14ac:dyDescent="0.25">
      <c r="A80" s="35" t="s">
        <v>268</v>
      </c>
    </row>
    <row r="81" spans="1:1" x14ac:dyDescent="0.25">
      <c r="A81" s="35" t="s">
        <v>46</v>
      </c>
    </row>
    <row r="82" spans="1:1" x14ac:dyDescent="0.25">
      <c r="A82" s="35" t="s">
        <v>265</v>
      </c>
    </row>
    <row r="83" spans="1:1" x14ac:dyDescent="0.25">
      <c r="A83" s="35"/>
    </row>
  </sheetData>
  <mergeCells count="2">
    <mergeCell ref="A2:D5"/>
    <mergeCell ref="L10:P10"/>
  </mergeCells>
  <pageMargins left="0.7" right="0.7" top="0.75" bottom="0.75" header="0.3" footer="0.3"/>
  <pageSetup paperSize="17"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2"/>
  <sheetViews>
    <sheetView topLeftCell="A46" workbookViewId="0">
      <selection activeCell="A76" sqref="A76:A77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3" t="s">
        <v>258</v>
      </c>
    </row>
    <row r="2" spans="1:16" x14ac:dyDescent="0.25">
      <c r="A2" s="65" t="s">
        <v>89</v>
      </c>
      <c r="B2" s="65"/>
      <c r="C2" s="65"/>
      <c r="D2" s="65"/>
    </row>
    <row r="3" spans="1:16" x14ac:dyDescent="0.25">
      <c r="A3" s="65"/>
      <c r="B3" s="65"/>
      <c r="C3" s="65"/>
      <c r="D3" s="65"/>
    </row>
    <row r="4" spans="1:16" x14ac:dyDescent="0.25">
      <c r="A4" s="65"/>
      <c r="B4" s="65"/>
      <c r="C4" s="65"/>
      <c r="D4" s="65"/>
    </row>
    <row r="5" spans="1:16" x14ac:dyDescent="0.25">
      <c r="A5" s="66"/>
      <c r="B5" s="66"/>
      <c r="C5" s="66"/>
      <c r="D5" s="66"/>
    </row>
    <row r="6" spans="1:16" x14ac:dyDescent="0.25">
      <c r="A6" s="66"/>
      <c r="B6" s="66"/>
      <c r="C6" s="66"/>
      <c r="D6" s="66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7" t="s">
        <v>48</v>
      </c>
      <c r="M10" s="67"/>
      <c r="N10" s="67"/>
      <c r="O10" s="67"/>
      <c r="P10" s="67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Acc'!D12-'Rel to HD 0,0'!$D$74</f>
        <v>-114.62456000000003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Acc'!D13-'Rel to HD 0,0'!$D$74</f>
        <v>-100.31955999999997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155</v>
      </c>
      <c r="B14" s="15" t="s">
        <v>1</v>
      </c>
      <c r="C14" s="15"/>
      <c r="D14" s="16">
        <f>'Rel to Acc'!D14-'Rel to HD 0,0'!$D$74</f>
        <v>-99.05234999999999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156</v>
      </c>
      <c r="B15" s="15"/>
      <c r="C15" s="15"/>
      <c r="D15" s="16">
        <f>'Rel to Acc'!D15-'Rel to HD 0,0'!$D$74</f>
        <v>-99.027449999999988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Acc'!D16-'Rel to HD 0,0'!$D$74</f>
        <v>-98.424469999999985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165</v>
      </c>
      <c r="B17" s="15"/>
      <c r="C17" s="15"/>
      <c r="D17" s="16">
        <f>'Rel to Acc'!D17-'Rel to HD 0,0'!$D$74</f>
        <v>-97.973689999999976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88</v>
      </c>
      <c r="B18" s="15" t="s">
        <v>2</v>
      </c>
      <c r="C18" s="15"/>
      <c r="D18" s="16">
        <f>'Rel to Acc'!D18-'Rel to HD 0,0'!$D$74</f>
        <v>-92.750220000000013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162</v>
      </c>
      <c r="B19" s="15"/>
      <c r="C19" s="15"/>
      <c r="D19" s="16">
        <f>'Rel to Acc'!D19-$D$74</f>
        <v>-95.85208878657437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57" customFormat="1" x14ac:dyDescent="0.25">
      <c r="A20" s="56" t="s">
        <v>72</v>
      </c>
      <c r="B20" s="56" t="s">
        <v>4</v>
      </c>
      <c r="C20" s="56"/>
      <c r="D20" s="58">
        <f>'Rel to Acc'!D20-'Rel to HD 0,0'!$D$74</f>
        <v>-95.038880000000006</v>
      </c>
      <c r="E20" s="58">
        <f>'Rel to Acc'!E20-80.6</f>
        <v>-0.8812899999999928</v>
      </c>
      <c r="F20" s="58">
        <f>'data from JD'!F20+'data from JD'!P20/1000</f>
        <v>-2.7500000000000002E-4</v>
      </c>
      <c r="G20" s="58">
        <f>'Rel to Acc'!G20-104.7</f>
        <v>6.9670000000002119E-2</v>
      </c>
      <c r="H20" s="58">
        <f>'Rel to Acc'!H20</f>
        <v>-8.0570737509460049</v>
      </c>
      <c r="I20" s="58">
        <f>'Rel to Acc'!I20</f>
        <v>5.7891525279446998E-3</v>
      </c>
      <c r="J20" s="58">
        <f>'Rel to Acc'!J20</f>
        <v>-3.7775224851010959E-2</v>
      </c>
      <c r="K20" s="56"/>
      <c r="L20" s="56"/>
      <c r="M20" s="56"/>
      <c r="N20" s="56"/>
      <c r="O20" s="56"/>
      <c r="P20" s="56"/>
    </row>
    <row r="21" spans="1:16" s="57" customFormat="1" x14ac:dyDescent="0.25">
      <c r="A21" s="56" t="s">
        <v>73</v>
      </c>
      <c r="B21" s="56" t="s">
        <v>5</v>
      </c>
      <c r="C21" s="56"/>
      <c r="D21" s="58">
        <f>'Rel to Acc'!D21-'Rel to HD 0,0'!$D$74</f>
        <v>-93.750099999999975</v>
      </c>
      <c r="E21" s="58">
        <f>'Rel to Acc'!E21-80.6</f>
        <v>-1.0629999999999882</v>
      </c>
      <c r="F21" s="58">
        <f>'data from JD'!F21+'data from JD'!P21/1000</f>
        <v>-1.75E-4</v>
      </c>
      <c r="G21" s="58">
        <f>'Rel to Acc'!G21-104.7</f>
        <v>7.0210000000002992E-2</v>
      </c>
      <c r="H21" s="58">
        <f>'Rel to Acc'!H21</f>
        <v>-8.055351895281019</v>
      </c>
      <c r="I21" s="58">
        <f>'Rel to Acc'!I21</f>
        <v>-9.4033780027255424E-3</v>
      </c>
      <c r="J21" s="58">
        <f>'Rel to Acc'!J21</f>
        <v>-0.21027201359025313</v>
      </c>
      <c r="K21" s="56"/>
      <c r="L21" s="56"/>
      <c r="M21" s="56"/>
      <c r="N21" s="56"/>
      <c r="O21" s="56"/>
      <c r="P21" s="56"/>
    </row>
    <row r="22" spans="1:16" s="57" customFormat="1" x14ac:dyDescent="0.25">
      <c r="A22" s="56" t="s">
        <v>74</v>
      </c>
      <c r="B22" s="56" t="s">
        <v>6</v>
      </c>
      <c r="C22" s="56"/>
      <c r="D22" s="58">
        <f>'Rel to Acc'!D22-'Rel to HD 0,0'!$D$74</f>
        <v>-92.468599999999981</v>
      </c>
      <c r="E22" s="58">
        <f>'Rel to Acc'!E22-80.6</f>
        <v>-1.2454299999999989</v>
      </c>
      <c r="F22" s="58">
        <f>'data from JD'!F22+'data from JD'!P22/1000</f>
        <v>0</v>
      </c>
      <c r="G22" s="58">
        <f>'Rel to Acc'!G22-104.7</f>
        <v>7.0700000000002206E-2</v>
      </c>
      <c r="H22" s="58">
        <f>'Rel to Acc'!H22</f>
        <v>-8.1001918662131729</v>
      </c>
      <c r="I22" s="58">
        <f>'Rel to Acc'!I22</f>
        <v>2.2637125319813579E-2</v>
      </c>
      <c r="J22" s="58">
        <f>'Rel to Acc'!J22</f>
        <v>0.16192065088884786</v>
      </c>
      <c r="K22" s="56"/>
      <c r="L22" s="56"/>
      <c r="M22" s="56"/>
      <c r="N22" s="56"/>
      <c r="O22" s="56"/>
      <c r="P22" s="56"/>
    </row>
    <row r="23" spans="1:16" s="57" customFormat="1" x14ac:dyDescent="0.25">
      <c r="A23" s="56" t="s">
        <v>75</v>
      </c>
      <c r="B23" s="56" t="s">
        <v>7</v>
      </c>
      <c r="C23" s="56"/>
      <c r="D23" s="58">
        <f>'Rel to Acc'!D23-'Rel to HD 0,0'!$D$74</f>
        <v>-91.478880000000004</v>
      </c>
      <c r="E23" s="58">
        <f>'Rel to Acc'!E23-80.6</f>
        <v>-1.3852599999999882</v>
      </c>
      <c r="F23" s="58">
        <f>'data from JD'!F23+'data from JD'!P23/1000</f>
        <v>7.4999999999999993E-5</v>
      </c>
      <c r="G23" s="58">
        <f>'Rel to Acc'!G23-104.7</f>
        <v>7.0359999999993761E-2</v>
      </c>
      <c r="H23" s="58">
        <f>'Rel to Acc'!H23</f>
        <v>-7.8893194045335466</v>
      </c>
      <c r="I23" s="58">
        <f>'Rel to Acc'!I23</f>
        <v>7.1438431894607296E-3</v>
      </c>
      <c r="J23" s="58">
        <f>'Rel to Acc'!J23</f>
        <v>-0.28610850715798436</v>
      </c>
      <c r="K23" s="56"/>
      <c r="L23" s="56"/>
      <c r="M23" s="56"/>
      <c r="N23" s="56"/>
      <c r="O23" s="56"/>
      <c r="P23" s="56"/>
    </row>
    <row r="24" spans="1:16" s="57" customFormat="1" x14ac:dyDescent="0.25">
      <c r="A24" s="56" t="s">
        <v>76</v>
      </c>
      <c r="B24" s="56" t="s">
        <v>8</v>
      </c>
      <c r="C24" s="56"/>
      <c r="D24" s="58">
        <f>'Rel to Acc'!D24-'Rel to HD 0,0'!$D$74</f>
        <v>-90.43398000000002</v>
      </c>
      <c r="E24" s="58">
        <f>'Rel to Acc'!E24-80.6</f>
        <v>-1.5318699999999978</v>
      </c>
      <c r="F24" s="58">
        <f>'data from JD'!F24+'data from JD'!P24/1000</f>
        <v>-2.2499999999999999E-4</v>
      </c>
      <c r="G24" s="58">
        <f>'Rel to Acc'!G24-104.7</f>
        <v>7.0210000000002992E-2</v>
      </c>
      <c r="H24" s="58">
        <f>'Rel to Acc'!H24</f>
        <v>-8.1281657324848471</v>
      </c>
      <c r="I24" s="58">
        <f>'Rel to Acc'!I24</f>
        <v>-2.1652902576445449E-2</v>
      </c>
      <c r="J24" s="58">
        <f>'Rel to Acc'!J24</f>
        <v>-8.7210692712047427E-2</v>
      </c>
      <c r="K24" s="56"/>
      <c r="L24" s="56"/>
      <c r="M24" s="56"/>
      <c r="N24" s="56"/>
      <c r="O24" s="56"/>
      <c r="P24" s="56"/>
    </row>
    <row r="25" spans="1:16" s="57" customFormat="1" x14ac:dyDescent="0.25">
      <c r="A25" s="56" t="s">
        <v>77</v>
      </c>
      <c r="B25" s="56" t="s">
        <v>9</v>
      </c>
      <c r="C25" s="56"/>
      <c r="D25" s="58">
        <f>'Rel to Acc'!D25-'Rel to HD 0,0'!$D$74</f>
        <v>-89.23878000000002</v>
      </c>
      <c r="E25" s="58">
        <f>'Rel to Acc'!E25-80.6</f>
        <v>-1.7004099999999909</v>
      </c>
      <c r="F25" s="58">
        <f>'data from JD'!F25+'data from JD'!P25/1000</f>
        <v>-5.0000000000000001E-4</v>
      </c>
      <c r="G25" s="58">
        <f>'Rel to Acc'!G25-104.7</f>
        <v>6.8969999999993092E-2</v>
      </c>
      <c r="H25" s="58">
        <f>'Rel to Acc'!H25</f>
        <v>-8.0935378904385402</v>
      </c>
      <c r="I25" s="58">
        <f>'Rel to Acc'!I25</f>
        <v>1.4469545111226417E-3</v>
      </c>
      <c r="J25" s="58">
        <f>'Rel to Acc'!J25</f>
        <v>-0.3144850020968411</v>
      </c>
      <c r="K25" s="56"/>
      <c r="L25" s="56"/>
      <c r="M25" s="56"/>
      <c r="N25" s="56"/>
      <c r="O25" s="56"/>
      <c r="P25" s="56"/>
    </row>
    <row r="26" spans="1:16" s="57" customFormat="1" x14ac:dyDescent="0.25">
      <c r="A26" s="56" t="s">
        <v>78</v>
      </c>
      <c r="B26" s="56" t="s">
        <v>10</v>
      </c>
      <c r="C26" s="56"/>
      <c r="D26" s="58">
        <f>'Rel to Acc'!D26-'Rel to HD 0,0'!$D$74</f>
        <v>-87.995310000000018</v>
      </c>
      <c r="E26" s="58">
        <f>'Rel to Acc'!E26-80.6</f>
        <v>-1.8773699999999991</v>
      </c>
      <c r="F26" s="58">
        <f>'data from JD'!F26+'data from JD'!P26/1000</f>
        <v>4.4999999999999999E-4</v>
      </c>
      <c r="G26" s="58">
        <f>'Rel to Acc'!G26-104.7</f>
        <v>6.9130000000001246E-2</v>
      </c>
      <c r="H26" s="58">
        <f>'Rel to Acc'!H26</f>
        <v>-8.0758076979028548</v>
      </c>
      <c r="I26" s="58">
        <f>'Rel to Acc'!I26</f>
        <v>-2.0120679366794899E-2</v>
      </c>
      <c r="J26" s="58">
        <f>'Rel to Acc'!J26</f>
        <v>-1.8973927832729984E-2</v>
      </c>
      <c r="K26" s="56"/>
      <c r="L26" s="56"/>
      <c r="M26" s="56"/>
      <c r="N26" s="56"/>
      <c r="O26" s="56"/>
      <c r="P26" s="56"/>
    </row>
    <row r="27" spans="1:16" s="57" customFormat="1" x14ac:dyDescent="0.25">
      <c r="A27" s="56" t="s">
        <v>79</v>
      </c>
      <c r="B27" s="56" t="s">
        <v>11</v>
      </c>
      <c r="C27" s="56"/>
      <c r="D27" s="58">
        <f>'Rel to Acc'!D27-'Rel to HD 0,0'!$D$74</f>
        <v>-86.573879999999974</v>
      </c>
      <c r="E27" s="58">
        <f>'Rel to Acc'!E27-80.6</f>
        <v>-2.0734700000000004</v>
      </c>
      <c r="F27" s="58">
        <f>'data from JD'!F27+'data from JD'!P27/1000</f>
        <v>1.25E-4</v>
      </c>
      <c r="G27" s="58">
        <f>'Rel to Acc'!G27-104.7</f>
        <v>6.9949999999991519E-2</v>
      </c>
      <c r="H27" s="58">
        <f>'Rel to Acc'!H27</f>
        <v>-8.0435622717000008</v>
      </c>
      <c r="I27" s="58">
        <f>'Rel to Acc'!I27</f>
        <v>-1.6094320299999999E-2</v>
      </c>
      <c r="J27" s="58">
        <f>'Rel to Acc'!J27</f>
        <v>-0.18133323034000001</v>
      </c>
      <c r="K27" s="56"/>
      <c r="L27" s="56"/>
      <c r="M27" s="56"/>
      <c r="N27" s="56"/>
      <c r="O27" s="56"/>
      <c r="P27" s="56"/>
    </row>
    <row r="28" spans="1:16" x14ac:dyDescent="0.25">
      <c r="A28" s="15" t="s">
        <v>43</v>
      </c>
      <c r="B28" s="15" t="s">
        <v>42</v>
      </c>
      <c r="C28" s="15"/>
      <c r="D28" s="16">
        <f>'Rel to Acc'!D28-'Rel to HD 0,0'!$D$74</f>
        <v>-91.615340000000003</v>
      </c>
      <c r="E28" s="16">
        <f>'Rel to Acc'!E28-80.6</f>
        <v>-1.1668200000000013</v>
      </c>
      <c r="F28" s="16">
        <f>'data from JD'!F28+'data from JD'!P28/1000</f>
        <v>-0.91003700003305099</v>
      </c>
      <c r="G28" s="16">
        <f>'Rel to Acc'!G28-104.7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Acc'!D29-'Rel to HD 0,0'!$D$74</f>
        <v>-23.868600000000015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7" customFormat="1" x14ac:dyDescent="0.25">
      <c r="A30" s="56" t="s">
        <v>52</v>
      </c>
      <c r="B30" s="56" t="s">
        <v>25</v>
      </c>
      <c r="C30" s="56"/>
      <c r="D30" s="58">
        <f>'Rel to Acc'!D30-'Rel to HD 0,0'!$D$74</f>
        <v>-23.653489999999977</v>
      </c>
      <c r="E30" s="58">
        <f>'Rel to Acc'!E30-80.6</f>
        <v>0.10155000000000314</v>
      </c>
      <c r="F30" s="58">
        <f>'data from JD'!F30+'data from JD'!P30/1000</f>
        <v>-0.89004400002670281</v>
      </c>
      <c r="G30" s="58">
        <f>'Rel to Acc'!G30-104.7</f>
        <v>-1.6000000000815362E-4</v>
      </c>
      <c r="H30" s="58">
        <f>'data from JD'!L30+'data from JD'!R30</f>
        <v>-2.5799999999999998E-3</v>
      </c>
      <c r="I30" s="59">
        <v>1.49E-2</v>
      </c>
      <c r="J30" s="59">
        <v>6.8799999999999998E-3</v>
      </c>
      <c r="K30" s="56"/>
      <c r="L30" s="56"/>
      <c r="M30" s="56"/>
      <c r="N30" s="56"/>
      <c r="O30" s="56"/>
      <c r="P30" s="56"/>
    </row>
    <row r="31" spans="1:16" x14ac:dyDescent="0.25">
      <c r="A31" s="15" t="s">
        <v>53</v>
      </c>
      <c r="B31" s="15" t="s">
        <v>26</v>
      </c>
      <c r="C31" s="15"/>
      <c r="D31" s="16">
        <f>'Rel to Acc'!D31-'Rel to HD 0,0'!$D$74</f>
        <v>-17.766019999999969</v>
      </c>
      <c r="E31" s="16">
        <f>'Rel to Acc'!E31-80.6</f>
        <v>3.7000000000375621E-4</v>
      </c>
      <c r="F31" s="16">
        <f>'data from JD'!F31+'data from JD'!P31/1000</f>
        <v>-0.88995200002670272</v>
      </c>
      <c r="G31" s="16">
        <f>'Rel to Acc'!G31-104.7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Acc'!D32-'Rel to HD 0,0'!$D$74</f>
        <v>-21.354719999999986</v>
      </c>
      <c r="E32" s="16">
        <f>'Rel to Acc'!E32-80.6</f>
        <v>3.5000000001161879E-4</v>
      </c>
      <c r="F32" s="16">
        <f>'data from JD'!F32+'data from JD'!P32/1000</f>
        <v>-8.9999999999999985E-6</v>
      </c>
      <c r="G32" s="16">
        <f>'Rel to Acc'!G32-104.7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Acc'!D33-'Rel to HD 0,0'!$D$74</f>
        <v>-16.999263999999982</v>
      </c>
      <c r="E33" s="16">
        <f>'Rel to Acc'!E33-80.6</f>
        <v>1.0000000003174137E-5</v>
      </c>
      <c r="F33" s="16">
        <f>'data from JD'!F33+'data from JD'!P33/1000</f>
        <v>3.1999999999999999E-5</v>
      </c>
      <c r="G33" s="16">
        <f>'Rel to Acc'!G33-104.7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161</v>
      </c>
      <c r="B34" s="15"/>
      <c r="C34" s="15"/>
      <c r="D34" s="16">
        <f>'Rel to Acc'!D34-'Rel to HD 0,0'!$D$74</f>
        <v>-15.076050000000009</v>
      </c>
      <c r="E34" s="16">
        <f>'Rel to Acc'!E34-80.6</f>
        <v>1.0000000003174137E-5</v>
      </c>
      <c r="F34" s="16">
        <f>'data from JD'!F35+'data from JD'!P35/1000</f>
        <v>-0.12002400003808963</v>
      </c>
      <c r="G34" s="16">
        <f>'Rel to Acc'!G34-104.7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x14ac:dyDescent="0.25">
      <c r="A35" s="15" t="s">
        <v>56</v>
      </c>
      <c r="B35" s="15" t="s">
        <v>22</v>
      </c>
      <c r="C35" s="15"/>
      <c r="D35" s="16">
        <f>'Rel to Acc'!D35-'Rel to HD 0,0'!$D$74</f>
        <v>-12.907870000000003</v>
      </c>
      <c r="E35" s="16">
        <f>'Rel to Acc'!E35-80.6</f>
        <v>3.9999999998485691E-5</v>
      </c>
      <c r="F35" s="16">
        <f>'data from JD'!F35+'data from JD'!P35/1000</f>
        <v>-0.12002400003808963</v>
      </c>
      <c r="G35" s="16">
        <f>'Rel to Acc'!G35-104.7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47" customFormat="1" x14ac:dyDescent="0.25">
      <c r="A36" s="25" t="s">
        <v>57</v>
      </c>
      <c r="B36" s="25" t="s">
        <v>21</v>
      </c>
      <c r="C36" s="25"/>
      <c r="D36" s="50">
        <f>'Rel to Acc'!D36-'Rel to HD 0,0'!$D$74</f>
        <v>-11.371269999999981</v>
      </c>
      <c r="E36" s="50">
        <f>'Rel to Acc'!E36-80.6</f>
        <v>-9.9999999989108801E-5</v>
      </c>
      <c r="F36" s="50">
        <f>'data from JD'!F36+'data from JD'!P36/1000</f>
        <v>0.17991300000029103</v>
      </c>
      <c r="G36" s="50">
        <f>'Rel to Acc'!G36-104.7</f>
        <v>-4.3999999999755346E-4</v>
      </c>
      <c r="H36" s="50">
        <f>'data from JD'!L36+'data from JD'!R36</f>
        <v>-1.15E-3</v>
      </c>
      <c r="I36" s="51">
        <v>8.5900000000000004E-3</v>
      </c>
      <c r="J36" s="51">
        <v>5.6999999999999998E-4</v>
      </c>
      <c r="K36" s="25"/>
      <c r="L36" s="25"/>
      <c r="M36" s="25"/>
      <c r="N36" s="25"/>
      <c r="O36" s="25"/>
      <c r="P36" s="25"/>
    </row>
    <row r="37" spans="1:16" s="47" customFormat="1" x14ac:dyDescent="0.25">
      <c r="A37" s="25" t="s">
        <v>58</v>
      </c>
      <c r="B37" s="25" t="s">
        <v>19</v>
      </c>
      <c r="C37" s="25"/>
      <c r="D37" s="50">
        <f>'Rel to Acc'!D37-'Rel to HD 0,0'!$D$74</f>
        <v>-8.4438499999999976</v>
      </c>
      <c r="E37" s="50">
        <f>'Rel to Acc'!E37-80.6</f>
        <v>-0.23858999999998787</v>
      </c>
      <c r="F37" s="50">
        <f>'data from JD'!F37+'data from JD'!P37/1000</f>
        <v>0.18153199999524153</v>
      </c>
      <c r="G37" s="50">
        <f>'Rel to Acc'!G37-104.7</f>
        <v>1.0000000003174137E-5</v>
      </c>
      <c r="H37" s="50">
        <f>'data from JD'!L37+'data from JD'!R37</f>
        <v>-4.6595800000000001</v>
      </c>
      <c r="I37" s="51">
        <v>8.0500000000000002E-2</v>
      </c>
      <c r="J37" s="51">
        <v>-0.15642</v>
      </c>
      <c r="K37" s="25"/>
      <c r="L37" s="25"/>
      <c r="M37" s="25"/>
      <c r="N37" s="25"/>
      <c r="O37" s="25"/>
      <c r="P37" s="25"/>
    </row>
    <row r="38" spans="1:16" s="47" customFormat="1" x14ac:dyDescent="0.25">
      <c r="A38" s="25" t="s">
        <v>59</v>
      </c>
      <c r="B38" s="25" t="s">
        <v>20</v>
      </c>
      <c r="C38" s="25"/>
      <c r="D38" s="50">
        <f>'Rel to Acc'!D38-'Rel to HD 0,0'!$D$74</f>
        <v>-8.4443899999999985</v>
      </c>
      <c r="E38" s="50">
        <f>'Rel to Acc'!E38-80.6</f>
        <v>0.23852000000000828</v>
      </c>
      <c r="F38" s="50">
        <f>'data from JD'!F38+'data from JD'!P38/1000</f>
        <v>0.18081299999524153</v>
      </c>
      <c r="G38" s="50">
        <f>'Rel to Acc'!G38-104.7</f>
        <v>-2.0000000006348273E-5</v>
      </c>
      <c r="H38" s="50">
        <f>'data from JD'!L38+'data from JD'!R38</f>
        <v>4.5707700000000004</v>
      </c>
      <c r="I38" s="51">
        <v>-0.13464999999999999</v>
      </c>
      <c r="J38" s="51">
        <v>3.0939999999999999E-2</v>
      </c>
      <c r="K38" s="25"/>
      <c r="L38" s="25"/>
      <c r="M38" s="25"/>
      <c r="N38" s="25"/>
      <c r="O38" s="25"/>
      <c r="P38" s="25"/>
    </row>
    <row r="39" spans="1:16" s="47" customFormat="1" x14ac:dyDescent="0.25">
      <c r="A39" s="25" t="s">
        <v>60</v>
      </c>
      <c r="B39" s="50" t="s">
        <v>86</v>
      </c>
      <c r="C39" s="25"/>
      <c r="D39" s="50">
        <f>'Rel to Acc'!D39-'Rel to HD 0,0'!$D$74</f>
        <v>-7.9551000000000158</v>
      </c>
      <c r="E39" s="50">
        <f>'Rel to Acc'!E39-80.6</f>
        <v>-0.27482999999999436</v>
      </c>
      <c r="F39" s="50">
        <f>'data from JD'!F39+'data from JD'!P39/1000</f>
        <v>0.18167999999524154</v>
      </c>
      <c r="G39" s="50">
        <f>'Rel to Acc'!G39-104.7</f>
        <v>2.6699999999948432E-3</v>
      </c>
      <c r="H39" s="50">
        <f>'Rel to Acc'!H39</f>
        <v>-4.6928999999999998</v>
      </c>
      <c r="I39" s="51"/>
      <c r="J39" s="51"/>
      <c r="K39" s="25"/>
      <c r="L39" s="25"/>
      <c r="M39" s="25"/>
      <c r="N39" s="25"/>
      <c r="O39" s="25"/>
      <c r="P39" s="25"/>
    </row>
    <row r="40" spans="1:16" s="47" customFormat="1" x14ac:dyDescent="0.25">
      <c r="A40" s="25" t="s">
        <v>61</v>
      </c>
      <c r="B40" s="50" t="s">
        <v>85</v>
      </c>
      <c r="C40" s="25"/>
      <c r="D40" s="50">
        <f>'Rel to Acc'!D40-'Rel to HD 0,0'!$D$74</f>
        <v>-7.9551099999999906</v>
      </c>
      <c r="E40" s="50">
        <f>'Rel to Acc'!E40-80.6</f>
        <v>0.27509000000000583</v>
      </c>
      <c r="F40" s="50">
        <f>'data from JD'!F40+'data from JD'!P40/1000</f>
        <v>0.18207999999524152</v>
      </c>
      <c r="G40" s="50">
        <f>'Rel to Acc'!G40-104.7</f>
        <v>8.6999999999193278E-4</v>
      </c>
      <c r="H40" s="50">
        <f>'Rel to Acc'!H40</f>
        <v>4.7812999999999999</v>
      </c>
      <c r="I40" s="51"/>
      <c r="J40" s="51"/>
      <c r="K40" s="25"/>
      <c r="L40" s="25"/>
      <c r="M40" s="25"/>
      <c r="N40" s="25"/>
      <c r="O40" s="25"/>
      <c r="P40" s="25"/>
    </row>
    <row r="41" spans="1:16" x14ac:dyDescent="0.25">
      <c r="A41" s="15" t="s">
        <v>62</v>
      </c>
      <c r="B41" s="15" t="s">
        <v>23</v>
      </c>
      <c r="C41" s="15"/>
      <c r="D41" s="16">
        <f>'Rel to Acc'!D41-'Rel to HD 0,0'!$D$74</f>
        <v>1.8892000000000166</v>
      </c>
      <c r="E41" s="16">
        <f>'Rel to Acc'!E41-80.6</f>
        <v>-2.9999999999574811E-4</v>
      </c>
      <c r="F41" s="16">
        <f>'data from JD'!F41+'data from JD'!P41/1000</f>
        <v>6.0598799999340072</v>
      </c>
      <c r="G41" s="16">
        <f>'Rel to Acc'!G41-104.7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Acc'!D42-'Rel to HD 0,0'!$D$74</f>
        <v>-0.50799999999998136</v>
      </c>
      <c r="E42" s="16">
        <f>'Rel to Acc'!E42-80.6</f>
        <v>-1.3794152842763197E-3</v>
      </c>
      <c r="F42" s="16">
        <f>'data from JD'!F42+'data from JD'!P42/1000</f>
        <v>6.1090199999782993</v>
      </c>
      <c r="G42" s="16">
        <f>'Rel to Acc'!G42-104.7</f>
        <v>-5.648102954580736E-4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Acc'!D43-'Rel to HD 0,0'!$D$74</f>
        <v>4.2866000000000213</v>
      </c>
      <c r="E43" s="16">
        <f>'Rel to Acc'!E43-80.6</f>
        <v>7.7950534063120358E-4</v>
      </c>
      <c r="F43" s="16">
        <f>'data from JD'!F45+'data from JD'!P45/1000</f>
        <v>0.17992000000029104</v>
      </c>
      <c r="G43" s="16">
        <f>'Rel to Acc'!G43-104.7</f>
        <v>5.6485741795597733E-4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Acc'!D44-'Rel to HD 0,0'!$D$74</f>
        <v>2.1179000000000201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7" customFormat="1" x14ac:dyDescent="0.25">
      <c r="A45" s="56" t="s">
        <v>270</v>
      </c>
      <c r="B45" s="56"/>
      <c r="C45" s="56"/>
      <c r="D45" s="58">
        <f>'Rel to Acc'!D45-'Rel to HD 0,0'!$D$74</f>
        <v>0.50364000000001852</v>
      </c>
      <c r="E45" s="58">
        <f>'Rel to Acc'!E45-80.6</f>
        <v>-6.0747831696517096E-5</v>
      </c>
      <c r="F45" s="58">
        <f>'data from JD'!F43+'data from JD'!P43/1000</f>
        <v>0</v>
      </c>
      <c r="G45" s="58">
        <f>'Rel to Acc'!G45-104.7</f>
        <v>3.6389778003353968E-5</v>
      </c>
      <c r="H45" s="58"/>
      <c r="I45" s="59"/>
      <c r="J45" s="59"/>
      <c r="K45" s="56"/>
      <c r="L45" s="56"/>
      <c r="M45" s="56"/>
      <c r="N45" s="56"/>
      <c r="O45" s="56"/>
      <c r="P45" s="56"/>
    </row>
    <row r="46" spans="1:16" s="57" customFormat="1" x14ac:dyDescent="0.25">
      <c r="A46" s="56" t="s">
        <v>269</v>
      </c>
      <c r="B46" s="56" t="s">
        <v>151</v>
      </c>
      <c r="C46" s="56"/>
      <c r="D46" s="58">
        <f>'Rel to Acc'!D46-'Rel to HD 0,0'!$D$74</f>
        <v>0.65138999999999214</v>
      </c>
      <c r="E46" s="58">
        <f>'Rel to Acc'!E46-80.6</f>
        <v>-5.999999999062311E-5</v>
      </c>
      <c r="F46" s="58">
        <f>'data from JD'!F45+'data from JD'!P45/1000</f>
        <v>0.17992000000029104</v>
      </c>
      <c r="G46" s="58">
        <f>'Rel to Acc'!G46-104.7</f>
        <v>3.9999999998485691E-5</v>
      </c>
      <c r="H46" s="58"/>
      <c r="I46" s="59"/>
      <c r="J46" s="59" t="s">
        <v>46</v>
      </c>
      <c r="K46" s="56"/>
      <c r="L46" s="56"/>
      <c r="M46" s="56"/>
      <c r="N46" s="56"/>
      <c r="O46" s="56"/>
      <c r="P46" s="56"/>
    </row>
    <row r="47" spans="1:16" s="57" customFormat="1" x14ac:dyDescent="0.25">
      <c r="A47" s="56" t="s">
        <v>271</v>
      </c>
      <c r="B47" s="56"/>
      <c r="C47" s="56"/>
      <c r="D47" s="58">
        <f>'Rel to Acc'!D47-'Rel to HD 0,0'!$D$74</f>
        <v>0.79913999999996577</v>
      </c>
      <c r="E47" s="58">
        <f>'Rel to Acc'!E47-80.6</f>
        <v>-5.9252168284729123E-5</v>
      </c>
      <c r="F47" s="58">
        <f>'data from JD'!F46+'data from JD'!P46/1000</f>
        <v>0</v>
      </c>
      <c r="G47" s="58">
        <f>'Rel to Acc'!G47-104.7</f>
        <v>4.3610221993617415E-5</v>
      </c>
      <c r="H47" s="58"/>
      <c r="I47" s="59"/>
      <c r="J47" s="59"/>
      <c r="K47" s="56"/>
      <c r="L47" s="56"/>
      <c r="M47" s="56"/>
      <c r="N47" s="56"/>
      <c r="O47" s="56"/>
      <c r="P47" s="56"/>
    </row>
    <row r="48" spans="1:16" s="47" customFormat="1" x14ac:dyDescent="0.25">
      <c r="A48" s="25" t="s">
        <v>152</v>
      </c>
      <c r="B48" s="25"/>
      <c r="C48" s="25"/>
      <c r="D48" s="50">
        <f>'Rel to Acc'!D48-'Rel to HD 0,0'!$D$74</f>
        <v>0.84557000000000926</v>
      </c>
      <c r="E48" s="50">
        <f>'Rel to Acc'!E48-80.6</f>
        <v>1.2683470616536852E-3</v>
      </c>
      <c r="F48" s="50">
        <f>'data from JD'!F48+'data from JD'!P48/1000</f>
        <v>0</v>
      </c>
      <c r="G48" s="50">
        <f>'Rel to Acc'!G48-104.7</f>
        <v>2.0109847570353168E-3</v>
      </c>
      <c r="H48" s="50"/>
      <c r="I48" s="51"/>
      <c r="J48" s="51"/>
      <c r="K48" s="25"/>
      <c r="L48" s="25"/>
      <c r="M48" s="25"/>
      <c r="N48" s="25"/>
      <c r="O48" s="25"/>
      <c r="P48" s="25"/>
    </row>
    <row r="49" spans="1:16" s="47" customFormat="1" x14ac:dyDescent="0.25">
      <c r="A49" s="25" t="s">
        <v>80</v>
      </c>
      <c r="B49" s="25" t="s">
        <v>18</v>
      </c>
      <c r="C49" s="50" t="s">
        <v>46</v>
      </c>
      <c r="D49" s="50">
        <f>'Rel to Acc'!D49-'Rel to HD 0,0'!$D$74</f>
        <v>0.29910000000000991</v>
      </c>
      <c r="E49" s="50"/>
      <c r="F49" s="50">
        <f>'data from JD'!F49+'data from JD'!P49/1000</f>
        <v>1.23E-3</v>
      </c>
      <c r="G49" s="50"/>
      <c r="H49" s="50"/>
      <c r="I49" s="50">
        <f>ATAN(((G51-G49)/(D51-D49))*180/3.1415)</f>
        <v>0.10772596426591248</v>
      </c>
      <c r="J49" s="51">
        <v>-11.25</v>
      </c>
      <c r="K49" s="25"/>
      <c r="L49" s="25"/>
      <c r="M49" s="25"/>
      <c r="N49" s="25"/>
      <c r="O49" s="25"/>
      <c r="P49" s="25"/>
    </row>
    <row r="50" spans="1:16" s="47" customFormat="1" x14ac:dyDescent="0.25">
      <c r="A50" s="25" t="s">
        <v>92</v>
      </c>
      <c r="B50" s="25"/>
      <c r="C50" s="50"/>
      <c r="D50" s="50">
        <f>'Rel to Acc'!D50-'Rel to HD 0,0'!$D$74</f>
        <v>0.38640000000003738</v>
      </c>
      <c r="E50" s="50">
        <f>'Rel to Acc'!E50-80.6</f>
        <v>-6.9288379833665203E-5</v>
      </c>
      <c r="F50" s="50">
        <f>'data from JD'!F50+'data from JD'!P50/1000</f>
        <v>1.23E-3</v>
      </c>
      <c r="G50" s="50">
        <f>'Rel to Acc'!G50-104.7</f>
        <v>-9.7746354836658611E-4</v>
      </c>
      <c r="H50" s="50"/>
      <c r="I50" s="50"/>
      <c r="J50" s="51"/>
      <c r="K50" s="25"/>
      <c r="L50" s="25"/>
      <c r="M50" s="25"/>
      <c r="N50" s="25"/>
      <c r="O50" s="25"/>
      <c r="P50" s="25"/>
    </row>
    <row r="51" spans="1:16" s="47" customFormat="1" x14ac:dyDescent="0.25">
      <c r="A51" s="25" t="s">
        <v>93</v>
      </c>
      <c r="B51" s="25"/>
      <c r="C51" s="50"/>
      <c r="D51" s="50">
        <f>'Rel to Acc'!D51-'Rel to HD 0,0'!$D$74</f>
        <v>0.97149999999999181</v>
      </c>
      <c r="E51" s="50">
        <f>'Rel to Acc'!E51-80.6</f>
        <v>1.5409860872921399E-3</v>
      </c>
      <c r="F51" s="50">
        <f>'data from JD'!F51+'data from JD'!P51/1000</f>
        <v>-4.4000000000000002E-4</v>
      </c>
      <c r="G51" s="50">
        <f>'Rel to Acc'!G51-104.7</f>
        <v>1.2691039528505144E-3</v>
      </c>
      <c r="H51" s="50"/>
      <c r="I51" s="50"/>
      <c r="J51" s="51"/>
      <c r="K51" s="25"/>
      <c r="L51" s="25"/>
      <c r="M51" s="25"/>
      <c r="N51" s="25"/>
      <c r="O51" s="25"/>
      <c r="P51" s="25"/>
    </row>
    <row r="52" spans="1:16" x14ac:dyDescent="0.25">
      <c r="A52" s="15" t="s">
        <v>111</v>
      </c>
      <c r="B52" s="15"/>
      <c r="C52" s="15"/>
      <c r="D52" s="16">
        <f>'Rel to Acc'!D52-'Rel to HD 0,0'!$D$74</f>
        <v>1.821990000000028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-5.2999999996927727E-4</v>
      </c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Acc'!D53-'Rel to HD 0,0'!$D$74</f>
        <v>2.4076900000000023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-5.3000000002612069E-4</v>
      </c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Acc'!D54-'Rel to HD 0,0'!$D$74</f>
        <v>2.9935800000000086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-5.2999999996927727E-4</v>
      </c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Acc'!D55-'Rel to HD 0,0'!$D$74</f>
        <v>3.3803300000000149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-5.2999999996927727E-4</v>
      </c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Acc'!D56-'Rel to HD 0,0'!$D$74</f>
        <v>0.92599999999998772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Acc'!D57-'Rel to HD 0,0'!$D$74</f>
        <v>0.17599999999998772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Acc'!D58-'Rel to HD 0,0'!$D$74</f>
        <v>1.6759999999999877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44" customFormat="1" x14ac:dyDescent="0.25">
      <c r="A59" s="40" t="s">
        <v>65</v>
      </c>
      <c r="B59" s="40" t="s">
        <v>15</v>
      </c>
      <c r="C59" s="40"/>
      <c r="D59" s="41">
        <f>'Rel to Acc'!D59-'Rel to HD 0,0'!$D$74</f>
        <v>6.2462100000000191</v>
      </c>
      <c r="E59" s="41">
        <f>'Rel to Acc'!E59-80.6</f>
        <v>5.0800000000066348E-3</v>
      </c>
      <c r="F59" s="41">
        <f>'data from JD'!F57+'data from JD'!P57/1000</f>
        <v>0.17997900000029105</v>
      </c>
      <c r="G59" s="41">
        <f>'Rel to Acc'!G59-104.7</f>
        <v>1.0000000000331966E-4</v>
      </c>
      <c r="H59" s="41">
        <f>'data from JD'!L57+'data from JD'!R57</f>
        <v>-7.0190000000000002E-2</v>
      </c>
      <c r="I59" s="43">
        <v>4.1829999999999999E-2</v>
      </c>
      <c r="J59" s="43">
        <v>-1.49E-2</v>
      </c>
      <c r="K59" s="40"/>
      <c r="L59" s="40"/>
      <c r="M59" s="40"/>
      <c r="N59" s="40"/>
      <c r="O59" s="40"/>
      <c r="P59" s="40"/>
    </row>
    <row r="60" spans="1:16" s="44" customFormat="1" x14ac:dyDescent="0.25">
      <c r="A60" s="40" t="s">
        <v>66</v>
      </c>
      <c r="B60" s="40" t="s">
        <v>16</v>
      </c>
      <c r="C60" s="40"/>
      <c r="D60" s="41">
        <f>'Rel to Acc'!D60-'Rel to HD 0,0'!$D$74</f>
        <v>6.0478400000000079</v>
      </c>
      <c r="E60" s="41">
        <f>'Rel to Acc'!E60-80.6</f>
        <v>3.3400000000085583E-3</v>
      </c>
      <c r="F60" s="41">
        <f>'data from JD'!F58+'data from JD'!P58/1000</f>
        <v>0.18225100000029104</v>
      </c>
      <c r="G60" s="41">
        <f>'Rel to Acc'!G60-104.7</f>
        <v>4.7699999999935017E-3</v>
      </c>
      <c r="H60" s="41">
        <f>'Rel to Acc'!H60</f>
        <v>-4.1540000000000001E-2</v>
      </c>
      <c r="I60" s="41">
        <f>'Rel to Acc'!I60</f>
        <v>4.4979999999999999E-2</v>
      </c>
      <c r="J60" s="41">
        <f>'Rel to Acc'!J60</f>
        <v>-0.13836999999999999</v>
      </c>
      <c r="K60" s="40"/>
      <c r="L60" s="40"/>
      <c r="M60" s="40"/>
      <c r="N60" s="40"/>
      <c r="O60" s="40"/>
      <c r="P60" s="40"/>
    </row>
    <row r="61" spans="1:16" s="57" customFormat="1" x14ac:dyDescent="0.25">
      <c r="A61" s="56" t="s">
        <v>252</v>
      </c>
      <c r="B61" s="56"/>
      <c r="C61" s="56"/>
      <c r="D61" s="58">
        <f>'Rel to Acc'!D61-'Rel to HD 0,0'!$D$74</f>
        <v>12.76075000000003</v>
      </c>
      <c r="E61" s="58">
        <f>'Rel to Acc'!E61-80.6</f>
        <v>0</v>
      </c>
      <c r="F61" s="58">
        <f>'data from JD'!F59+'data from JD'!P59/1000</f>
        <v>0</v>
      </c>
      <c r="G61" s="58">
        <f>'Rel to Acc'!G61-104.7</f>
        <v>-1.4000000000180535E-4</v>
      </c>
      <c r="H61" s="58">
        <f>'Rel to Acc'!H61</f>
        <v>-7.85E-2</v>
      </c>
      <c r="I61" s="58">
        <f>'Rel to Acc'!I61</f>
        <v>1.1169999999999999E-2</v>
      </c>
      <c r="J61" s="58">
        <f>'Rel to Acc'!J61</f>
        <v>-4.0390000000000002E-2</v>
      </c>
      <c r="K61" s="56"/>
      <c r="L61" s="56"/>
      <c r="M61" s="56"/>
      <c r="N61" s="56"/>
      <c r="O61" s="56"/>
      <c r="P61" s="56"/>
    </row>
    <row r="62" spans="1:16" x14ac:dyDescent="0.25">
      <c r="A62" s="15" t="s">
        <v>257</v>
      </c>
      <c r="B62" s="15"/>
      <c r="D62" s="16">
        <f>'Rel to Acc'!D62-'Rel to HD 0,0'!$D$74</f>
        <v>-398.1386</v>
      </c>
      <c r="E62" s="16">
        <f>'Rel to Acc'!E62-80.6</f>
        <v>-80.599999999999994</v>
      </c>
      <c r="G62" s="16">
        <f>'Rel to Acc'!G62-104.7</f>
        <v>-104.7</v>
      </c>
    </row>
    <row r="63" spans="1:16" s="44" customFormat="1" x14ac:dyDescent="0.25">
      <c r="A63" s="54" t="s">
        <v>259</v>
      </c>
      <c r="B63" s="55" t="s">
        <v>260</v>
      </c>
      <c r="D63" s="55">
        <f>'Rel to Acc'!D63-'Rel to HD 0,0'!$D$74</f>
        <v>16.243400000000008</v>
      </c>
      <c r="E63" s="55">
        <f>'Rel to Acc'!E63-80.6</f>
        <v>0</v>
      </c>
      <c r="G63" s="55">
        <f>'Rel to Acc'!G63-104.7</f>
        <v>0</v>
      </c>
      <c r="H63" s="54">
        <f>'Rel to Acc'!H63</f>
        <v>0.1168</v>
      </c>
      <c r="I63" s="54">
        <f>'Rel to Acc'!I63</f>
        <v>0.1065</v>
      </c>
      <c r="J63" s="54" t="str">
        <f>'Rel to Acc'!J63</f>
        <v xml:space="preserve"> </v>
      </c>
    </row>
    <row r="64" spans="1:16" s="57" customFormat="1" x14ac:dyDescent="0.25">
      <c r="A64" s="56" t="s">
        <v>276</v>
      </c>
      <c r="B64" s="58" t="s">
        <v>263</v>
      </c>
      <c r="C64" s="56"/>
      <c r="D64" s="58">
        <f>'Rel to Acc'!D64-'Rel to HD 0,0'!$D$74</f>
        <v>5.8434599999999932</v>
      </c>
      <c r="E64" s="58">
        <f>'Rel to Acc'!E64-80.6</f>
        <v>7.6800000000076807E-3</v>
      </c>
      <c r="F64" s="56"/>
      <c r="G64" s="58">
        <f>'Rel to Acc'!G64-104.7</f>
        <v>-0.81810000000000116</v>
      </c>
      <c r="H64" s="56">
        <f>'Rel to Acc'!H64</f>
        <v>-0.1003</v>
      </c>
      <c r="I64" s="56">
        <f>'Rel to Acc'!I64</f>
        <v>-7.9100000000000004E-2</v>
      </c>
      <c r="J64" s="56">
        <f>'Rel to Acc'!J64</f>
        <v>3.8100000000000002E-2</v>
      </c>
    </row>
    <row r="65" spans="1:13" s="57" customFormat="1" x14ac:dyDescent="0.25">
      <c r="A65" s="56" t="s">
        <v>277</v>
      </c>
      <c r="B65" s="58" t="s">
        <v>264</v>
      </c>
      <c r="C65" s="56"/>
      <c r="D65" s="58">
        <f>'Rel to Acc'!D65-'Rel to HD 0,0'!$D$74</f>
        <v>5.8439999999999941</v>
      </c>
      <c r="E65" s="58">
        <f>'Rel to Acc'!E65-80.6</f>
        <v>8.3300000000008367E-3</v>
      </c>
      <c r="F65" s="56"/>
      <c r="G65" s="58">
        <f>'Rel to Acc'!G65-104.7</f>
        <v>-0.30340999999999951</v>
      </c>
      <c r="H65" s="56">
        <f>'Rel to Acc'!H65</f>
        <v>-9.6299999999999997E-2</v>
      </c>
      <c r="I65" s="56">
        <f>'Rel to Acc'!I65</f>
        <v>-0.21429999999999999</v>
      </c>
      <c r="J65" s="56">
        <f>'Rel to Acc'!J65</f>
        <v>3.5499999999999997E-2</v>
      </c>
      <c r="M65" s="60"/>
    </row>
    <row r="66" spans="1:13" s="57" customFormat="1" x14ac:dyDescent="0.25">
      <c r="A66" s="56" t="s">
        <v>274</v>
      </c>
      <c r="B66" s="58"/>
      <c r="C66" s="56"/>
      <c r="D66" s="58">
        <f>'Rel to Acc'!D66-'Rel to HD 0,0'!$D$74</f>
        <v>5.8044600000000059</v>
      </c>
      <c r="E66" s="58">
        <f>'Rel to Acc'!E66-80.6</f>
        <v>-3.0128299999999939</v>
      </c>
      <c r="F66" s="56"/>
      <c r="G66" s="58">
        <f>'Rel to Acc'!G66-104.7</f>
        <v>-0.30389999999999873</v>
      </c>
      <c r="H66" s="56">
        <f>'Rel to Acc'!H66</f>
        <v>-0.18936</v>
      </c>
      <c r="I66" s="56">
        <f>'Rel to Acc'!I66</f>
        <v>-0.22489000000000001</v>
      </c>
      <c r="J66" s="56">
        <f>'Rel to Acc'!J66</f>
        <v>4.8410000000000002E-2</v>
      </c>
    </row>
    <row r="67" spans="1:13" s="57" customFormat="1" x14ac:dyDescent="0.25">
      <c r="A67" s="69" t="s">
        <v>291</v>
      </c>
      <c r="B67" s="70" t="s">
        <v>289</v>
      </c>
      <c r="C67" s="73"/>
      <c r="D67" s="58">
        <f>'Rel to Acc'!D67-'Rel to HD 0,0'!$D$74</f>
        <v>5.8455900000000156</v>
      </c>
      <c r="E67" s="58">
        <f>'Rel to Acc'!E67-80.6</f>
        <v>1.3800000000117052E-3</v>
      </c>
      <c r="F67" s="56"/>
      <c r="G67" s="58">
        <f>'Rel to Acc'!G67-104.7</f>
        <v>0.29903000000000191</v>
      </c>
      <c r="H67" s="56">
        <f>'Rel to Acc'!H67</f>
        <v>-8.3650000000000002E-2</v>
      </c>
      <c r="I67" s="56">
        <f>'Rel to Acc'!I67</f>
        <v>-0.15384</v>
      </c>
      <c r="J67" s="56">
        <f>'Rel to Acc'!J67</f>
        <v>-7.7299999999999999E-3</v>
      </c>
    </row>
    <row r="68" spans="1:13" s="57" customFormat="1" x14ac:dyDescent="0.25">
      <c r="A68" s="69" t="s">
        <v>292</v>
      </c>
      <c r="B68" s="70" t="s">
        <v>290</v>
      </c>
      <c r="C68" s="73"/>
      <c r="D68" s="58">
        <f>'Rel to Acc'!D68-'Rel to HD 0,0'!$D$74</f>
        <v>5.8468100000000049</v>
      </c>
      <c r="E68" s="58">
        <f>'Rel to Acc'!E68-80.6</f>
        <v>1.4600000000086766E-3</v>
      </c>
      <c r="F68" s="56"/>
      <c r="G68" s="58">
        <f>'Rel to Acc'!G68-104.7</f>
        <v>0.81400999999999613</v>
      </c>
      <c r="H68" s="56">
        <f>'Rel to Acc'!H68</f>
        <v>-9.5680000000000001E-2</v>
      </c>
      <c r="I68" s="56">
        <f>'Rel to Acc'!I68</f>
        <v>-0.18362999999999999</v>
      </c>
      <c r="J68" s="56">
        <f>'Rel to Acc'!J68</f>
        <v>-1.461E-2</v>
      </c>
    </row>
    <row r="69" spans="1:13" s="57" customFormat="1" x14ac:dyDescent="0.25">
      <c r="A69" s="69" t="s">
        <v>286</v>
      </c>
      <c r="B69" s="70"/>
      <c r="C69" s="73"/>
      <c r="D69" s="58">
        <f>'Rel to Acc'!D69-'Rel to HD 0,0'!$D$74</f>
        <v>5.8203700000000254</v>
      </c>
      <c r="E69" s="58">
        <f>'Rel to Acc'!E69-80.6</f>
        <v>3.0224800000000016</v>
      </c>
      <c r="F69" s="56"/>
      <c r="G69" s="58">
        <f>'Rel to Acc'!G69-104.7</f>
        <v>0.81273000000000195</v>
      </c>
      <c r="H69" s="56">
        <f>'Rel to Acc'!H69</f>
        <v>-0.1023</v>
      </c>
      <c r="I69" s="56">
        <f>'Rel to Acc'!I69</f>
        <v>-0.18340000000000001</v>
      </c>
      <c r="J69" s="56">
        <f>'Rel to Acc'!J69</f>
        <v>-4.4400000000000002E-2</v>
      </c>
    </row>
    <row r="70" spans="1:13" s="57" customFormat="1" x14ac:dyDescent="0.25">
      <c r="A70" s="69" t="s">
        <v>297</v>
      </c>
      <c r="B70" s="70" t="s">
        <v>46</v>
      </c>
      <c r="C70" s="73"/>
      <c r="D70" s="58">
        <f>'Rel to Acc'!D70-'Rel to HD 0,0'!$D$74</f>
        <v>5.682610000000011</v>
      </c>
      <c r="E70" s="58">
        <f>'Rel to Acc'!E70-80.6</f>
        <v>-3.0499999999875627E-3</v>
      </c>
      <c r="F70" s="56"/>
      <c r="G70" s="58">
        <f>'Rel to Acc'!G70-104.7</f>
        <v>-0.73967000000000382</v>
      </c>
      <c r="H70" s="56">
        <f>'Rel to Acc'!H70</f>
        <v>0.31080000000000002</v>
      </c>
      <c r="I70" s="56">
        <f>'Rel to Acc'!I70</f>
        <v>-0.18110000000000001</v>
      </c>
      <c r="J70" s="56">
        <f>'Rel to Acc'!J70</f>
        <v>-0.25900000000000001</v>
      </c>
    </row>
    <row r="71" spans="1:13" s="57" customFormat="1" x14ac:dyDescent="0.25">
      <c r="A71" s="69" t="s">
        <v>298</v>
      </c>
      <c r="B71" s="70" t="s">
        <v>46</v>
      </c>
      <c r="C71" s="73"/>
      <c r="D71" s="58">
        <f>'Rel to Acc'!D71-'Rel to HD 0,0'!$D$74</f>
        <v>5.6838000000000193</v>
      </c>
      <c r="E71" s="58">
        <f>'Rel to Acc'!E71-80.6</f>
        <v>0.37676000000000442</v>
      </c>
      <c r="F71" s="56"/>
      <c r="G71" s="58">
        <f>'Rel to Acc'!G71-104.7</f>
        <v>-0.7424699999999973</v>
      </c>
      <c r="H71" s="56">
        <f>'Rel to Acc'!H71</f>
        <v>0.38479999999999998</v>
      </c>
      <c r="I71" s="56">
        <f>'Rel to Acc'!I71</f>
        <v>-0.52800000000000002</v>
      </c>
      <c r="J71" s="56">
        <f>'Rel to Acc'!J71</f>
        <v>-0.1593</v>
      </c>
    </row>
    <row r="72" spans="1:13" s="57" customFormat="1" x14ac:dyDescent="0.25">
      <c r="A72" s="69" t="s">
        <v>299</v>
      </c>
      <c r="B72" s="70"/>
      <c r="C72" s="73"/>
      <c r="D72" s="58">
        <f>'Rel to Acc'!D72-'Rel to HD 0,0'!$D$74</f>
        <v>5.6830800000000181</v>
      </c>
      <c r="E72" s="58">
        <f>'Rel to Acc'!E72-80.6</f>
        <v>-0.390199999999993</v>
      </c>
      <c r="F72" s="56"/>
      <c r="G72" s="58">
        <f>'Rel to Acc'!G72-104.7</f>
        <v>-0.74255000000000848</v>
      </c>
      <c r="H72" s="56">
        <f>'Rel to Acc'!H72</f>
        <v>0.24210000000000001</v>
      </c>
      <c r="I72" s="56">
        <f>'Rel to Acc'!I72</f>
        <v>-0.5776</v>
      </c>
      <c r="J72" s="56">
        <f>'Rel to Acc'!J72</f>
        <v>-0.22489999999999999</v>
      </c>
    </row>
    <row r="73" spans="1:13" s="33" customFormat="1" x14ac:dyDescent="0.25">
      <c r="A73" s="45"/>
      <c r="B73" s="24"/>
      <c r="D73" s="24"/>
      <c r="E73" s="24"/>
      <c r="G73" s="24"/>
      <c r="H73" s="45"/>
      <c r="I73" s="45"/>
      <c r="J73" s="45"/>
      <c r="L73" s="2"/>
    </row>
    <row r="74" spans="1:13" ht="15.75" x14ac:dyDescent="0.25">
      <c r="A74" s="10" t="s">
        <v>176</v>
      </c>
      <c r="D74" s="4">
        <f>'Rel to Acc'!D74</f>
        <v>398.1386</v>
      </c>
      <c r="E74" s="4">
        <v>80.599999999999994</v>
      </c>
      <c r="G74" s="4">
        <v>104.7</v>
      </c>
    </row>
    <row r="75" spans="1:13" s="33" customFormat="1" ht="15.75" x14ac:dyDescent="0.25">
      <c r="A75" s="10"/>
    </row>
    <row r="76" spans="1:13" s="57" customFormat="1" x14ac:dyDescent="0.25">
      <c r="A76" s="56" t="s">
        <v>295</v>
      </c>
    </row>
    <row r="77" spans="1:13" x14ac:dyDescent="0.25">
      <c r="A77" s="76" t="s">
        <v>300</v>
      </c>
    </row>
    <row r="78" spans="1:13" x14ac:dyDescent="0.25">
      <c r="A78" s="35" t="s">
        <v>46</v>
      </c>
    </row>
    <row r="79" spans="1:13" x14ac:dyDescent="0.25">
      <c r="A79" s="35" t="s">
        <v>268</v>
      </c>
    </row>
    <row r="80" spans="1:13" x14ac:dyDescent="0.25">
      <c r="A80" s="35" t="s">
        <v>46</v>
      </c>
    </row>
    <row r="81" spans="1:1" x14ac:dyDescent="0.25">
      <c r="A81" s="35" t="s">
        <v>265</v>
      </c>
    </row>
    <row r="82" spans="1:1" x14ac:dyDescent="0.25">
      <c r="A82" s="35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9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1"/>
  <sheetViews>
    <sheetView topLeftCell="A58" workbookViewId="0">
      <selection activeCell="A94" sqref="A94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3" t="s">
        <v>258</v>
      </c>
    </row>
    <row r="2" spans="1:16" x14ac:dyDescent="0.25">
      <c r="A2" s="65" t="s">
        <v>67</v>
      </c>
      <c r="B2" s="65"/>
      <c r="C2" s="65"/>
      <c r="D2" s="65"/>
    </row>
    <row r="3" spans="1:16" x14ac:dyDescent="0.25">
      <c r="A3" s="65"/>
      <c r="B3" s="65"/>
      <c r="C3" s="65"/>
      <c r="D3" s="65"/>
    </row>
    <row r="4" spans="1:16" x14ac:dyDescent="0.25">
      <c r="A4" s="65"/>
      <c r="B4" s="65"/>
      <c r="C4" s="65"/>
      <c r="D4" s="65"/>
    </row>
    <row r="5" spans="1:16" x14ac:dyDescent="0.25">
      <c r="A5" s="66"/>
      <c r="B5" s="66"/>
      <c r="C5" s="66"/>
      <c r="D5" s="66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7" t="s">
        <v>48</v>
      </c>
      <c r="M10" s="67"/>
      <c r="N10" s="67"/>
      <c r="O10" s="67"/>
      <c r="P10" s="67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Acc'!D12-$D$75</f>
        <v>-116.51376000000005</v>
      </c>
      <c r="E12" s="16">
        <f>'Rel to Acc'!E12-E$75</f>
        <v>2.0999999999560259E-4</v>
      </c>
      <c r="F12" s="16">
        <f>'data from JD'!F12+'data from JD'!P12/1000</f>
        <v>1.84E-4</v>
      </c>
      <c r="G12" s="16">
        <f>'Rel to Acc'!G12-G$75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Acc'!D13-$D$75</f>
        <v>-102.20875999999998</v>
      </c>
      <c r="E13" s="16">
        <f>'Rel to Acc'!E13-E$75</f>
        <v>3.2000000000209639E-4</v>
      </c>
      <c r="F13" s="16">
        <f>'data from JD'!F13+'data from JD'!P13/1000</f>
        <v>-8.9999999999999985E-6</v>
      </c>
      <c r="G13" s="16">
        <f>'Rel to Acc'!G13-G$75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155</v>
      </c>
      <c r="B14" s="15" t="s">
        <v>1</v>
      </c>
      <c r="C14" s="15"/>
      <c r="D14" s="16">
        <f>'Rel to Acc'!D14-$D$75</f>
        <v>-100.94155000000001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156</v>
      </c>
      <c r="B15" s="15"/>
      <c r="C15" s="15"/>
      <c r="D15" s="16">
        <f>'Rel to Acc'!D15-$D$75</f>
        <v>-100.91665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Acc'!D16-$D$75</f>
        <v>-100.31367</v>
      </c>
      <c r="E16" s="16">
        <f>'Rel to Acc'!E16-E$75</f>
        <v>5.6000000000722139E-4</v>
      </c>
      <c r="F16" s="16">
        <f>'data from JD'!F16+'data from JD'!P16/1000</f>
        <v>6.3399519999660399</v>
      </c>
      <c r="G16" s="16">
        <f>'Rel to Acc'!G16-G$75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165</v>
      </c>
      <c r="B17" s="15"/>
      <c r="C17" s="15"/>
      <c r="D17" s="16">
        <f>'Rel to Acc'!D17-$D$75</f>
        <v>-99.862889999999993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Acc'!D18-$D$75</f>
        <v>-94.63942000000003</v>
      </c>
      <c r="E18" s="16">
        <f>'Rel to Acc'!E18-E$75</f>
        <v>-0.2973700000000008</v>
      </c>
      <c r="F18" s="16">
        <f>'data from JD'!F18+'data from JD'!P18/1000</f>
        <v>-0.57007399998197383</v>
      </c>
      <c r="G18" s="16">
        <f>'Rel to Acc'!G18-G$75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162</v>
      </c>
      <c r="B19" s="15"/>
      <c r="C19" s="15"/>
      <c r="D19" s="16">
        <f>'Rel to Acc'!D19-$D$75</f>
        <v>-97.741288786574387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x14ac:dyDescent="0.25">
      <c r="A20" s="15" t="s">
        <v>72</v>
      </c>
      <c r="B20" s="15" t="s">
        <v>4</v>
      </c>
      <c r="C20" s="15"/>
      <c r="D20" s="16">
        <f>'Rel to Acc'!D20-$D$75</f>
        <v>-96.928080000000023</v>
      </c>
      <c r="E20" s="16">
        <f>'Rel to Acc'!E20-E$75</f>
        <v>-0.88098999999999705</v>
      </c>
      <c r="F20" s="16">
        <f>'data from JD'!F20+'data from JD'!P20/1000</f>
        <v>-2.7500000000000002E-4</v>
      </c>
      <c r="G20" s="16">
        <f>'Rel to Acc'!G20-G$75</f>
        <v>6.9670000000002119E-2</v>
      </c>
      <c r="H20" s="16">
        <f>'Rel to Acc'!H20</f>
        <v>-8.0570737509460049</v>
      </c>
      <c r="I20" s="16">
        <f>'Rel to Acc'!I20</f>
        <v>5.7891525279446998E-3</v>
      </c>
      <c r="J20" s="16">
        <f>'Rel to Acc'!J20</f>
        <v>-3.7775224851010959E-2</v>
      </c>
      <c r="K20" s="15"/>
      <c r="L20" s="15"/>
      <c r="M20" s="15"/>
      <c r="N20" s="15"/>
      <c r="O20" s="15"/>
      <c r="P20" s="15"/>
    </row>
    <row r="21" spans="1:16" x14ac:dyDescent="0.25">
      <c r="A21" s="15" t="s">
        <v>73</v>
      </c>
      <c r="B21" s="15" t="s">
        <v>5</v>
      </c>
      <c r="C21" s="15"/>
      <c r="D21" s="16">
        <f>'Rel to Acc'!D21-$D$75</f>
        <v>-95.639299999999992</v>
      </c>
      <c r="E21" s="16">
        <f>'Rel to Acc'!E21-E$75</f>
        <v>-1.0626999999999924</v>
      </c>
      <c r="F21" s="16">
        <f>'data from JD'!F21+'data from JD'!P21/1000</f>
        <v>-1.75E-4</v>
      </c>
      <c r="G21" s="16">
        <f>'Rel to Acc'!G21-G$75</f>
        <v>7.0210000000002992E-2</v>
      </c>
      <c r="H21" s="16">
        <f>'Rel to Acc'!H21</f>
        <v>-8.055351895281019</v>
      </c>
      <c r="I21" s="16">
        <f>'Rel to Acc'!I21</f>
        <v>-9.4033780027255424E-3</v>
      </c>
      <c r="J21" s="16">
        <f>'Rel to Acc'!J21</f>
        <v>-0.21027201359025313</v>
      </c>
      <c r="K21" s="15"/>
      <c r="L21" s="15"/>
      <c r="M21" s="15"/>
      <c r="N21" s="15"/>
      <c r="O21" s="15"/>
      <c r="P21" s="15"/>
    </row>
    <row r="22" spans="1:16" x14ac:dyDescent="0.25">
      <c r="A22" s="15" t="s">
        <v>74</v>
      </c>
      <c r="B22" s="15" t="s">
        <v>6</v>
      </c>
      <c r="C22" s="15"/>
      <c r="D22" s="16">
        <f>'Rel to Acc'!D22-$D$75</f>
        <v>-94.357799999999997</v>
      </c>
      <c r="E22" s="16">
        <f>'Rel to Acc'!E22-E$75</f>
        <v>-1.2451300000000032</v>
      </c>
      <c r="F22" s="16">
        <f>'data from JD'!F22+'data from JD'!P22/1000</f>
        <v>0</v>
      </c>
      <c r="G22" s="16">
        <f>'Rel to Acc'!G22-G$75</f>
        <v>7.0700000000002206E-2</v>
      </c>
      <c r="H22" s="16">
        <f>'Rel to Acc'!H22</f>
        <v>-8.1001918662131729</v>
      </c>
      <c r="I22" s="16">
        <f>'Rel to Acc'!I22</f>
        <v>2.2637125319813579E-2</v>
      </c>
      <c r="J22" s="16">
        <f>'Rel to Acc'!J22</f>
        <v>0.16192065088884786</v>
      </c>
      <c r="K22" s="15"/>
      <c r="L22" s="15"/>
      <c r="M22" s="15"/>
      <c r="N22" s="15"/>
      <c r="O22" s="15"/>
      <c r="P22" s="15"/>
    </row>
    <row r="23" spans="1:16" x14ac:dyDescent="0.25">
      <c r="A23" s="15" t="s">
        <v>75</v>
      </c>
      <c r="B23" s="15" t="s">
        <v>7</v>
      </c>
      <c r="C23" s="15"/>
      <c r="D23" s="16">
        <f>'Rel to Acc'!D23-$D$75</f>
        <v>-93.36808000000002</v>
      </c>
      <c r="E23" s="16">
        <f>'Rel to Acc'!E23-E$75</f>
        <v>-1.3849599999999924</v>
      </c>
      <c r="F23" s="16">
        <f>'data from JD'!F23+'data from JD'!P23/1000</f>
        <v>7.4999999999999993E-5</v>
      </c>
      <c r="G23" s="16">
        <f>'Rel to Acc'!G23-G$75</f>
        <v>7.0359999999993761E-2</v>
      </c>
      <c r="H23" s="16">
        <f>'Rel to Acc'!H23</f>
        <v>-7.8893194045335466</v>
      </c>
      <c r="I23" s="16">
        <f>'Rel to Acc'!I23</f>
        <v>7.1438431894607296E-3</v>
      </c>
      <c r="J23" s="16">
        <f>'Rel to Acc'!J23</f>
        <v>-0.28610850715798436</v>
      </c>
      <c r="K23" s="15"/>
      <c r="L23" s="15"/>
      <c r="M23" s="15"/>
      <c r="N23" s="15"/>
      <c r="O23" s="15"/>
      <c r="P23" s="15"/>
    </row>
    <row r="24" spans="1:16" x14ac:dyDescent="0.25">
      <c r="A24" s="15" t="s">
        <v>76</v>
      </c>
      <c r="B24" s="15" t="s">
        <v>8</v>
      </c>
      <c r="C24" s="15"/>
      <c r="D24" s="16">
        <f>'Rel to Acc'!D24-$D$75</f>
        <v>-92.323180000000036</v>
      </c>
      <c r="E24" s="16">
        <f>'Rel to Acc'!E24-E$75</f>
        <v>-1.5315700000000021</v>
      </c>
      <c r="F24" s="16">
        <f>'data from JD'!F24+'data from JD'!P24/1000</f>
        <v>-2.2499999999999999E-4</v>
      </c>
      <c r="G24" s="16">
        <f>'Rel to Acc'!G24-G$75</f>
        <v>7.0210000000002992E-2</v>
      </c>
      <c r="H24" s="16">
        <f>'Rel to Acc'!H24</f>
        <v>-8.1281657324848471</v>
      </c>
      <c r="I24" s="16">
        <f>'Rel to Acc'!I24</f>
        <v>-2.1652902576445449E-2</v>
      </c>
      <c r="J24" s="16">
        <f>'Rel to Acc'!J24</f>
        <v>-8.7210692712047427E-2</v>
      </c>
      <c r="K24" s="15"/>
      <c r="L24" s="15"/>
      <c r="M24" s="15"/>
      <c r="N24" s="15"/>
      <c r="O24" s="15"/>
      <c r="P24" s="15"/>
    </row>
    <row r="25" spans="1:16" x14ac:dyDescent="0.25">
      <c r="A25" s="15" t="s">
        <v>77</v>
      </c>
      <c r="B25" s="15" t="s">
        <v>9</v>
      </c>
      <c r="C25" s="15"/>
      <c r="D25" s="16">
        <f>'Rel to Acc'!D25-$D$75</f>
        <v>-91.127980000000036</v>
      </c>
      <c r="E25" s="16">
        <f>'Rel to Acc'!E25-E$75</f>
        <v>-1.7001099999999951</v>
      </c>
      <c r="F25" s="16">
        <f>'data from JD'!F25+'data from JD'!P25/1000</f>
        <v>-5.0000000000000001E-4</v>
      </c>
      <c r="G25" s="16">
        <f>'Rel to Acc'!G25-G$75</f>
        <v>6.8969999999993092E-2</v>
      </c>
      <c r="H25" s="16">
        <f>'Rel to Acc'!H25</f>
        <v>-8.0935378904385402</v>
      </c>
      <c r="I25" s="16">
        <f>'Rel to Acc'!I25</f>
        <v>1.4469545111226417E-3</v>
      </c>
      <c r="J25" s="16">
        <f>'Rel to Acc'!J25</f>
        <v>-0.3144850020968411</v>
      </c>
      <c r="K25" s="15"/>
      <c r="L25" s="15"/>
      <c r="M25" s="15"/>
      <c r="N25" s="15"/>
      <c r="O25" s="15"/>
      <c r="P25" s="15"/>
    </row>
    <row r="26" spans="1:16" x14ac:dyDescent="0.25">
      <c r="A26" s="15" t="s">
        <v>78</v>
      </c>
      <c r="B26" s="15" t="s">
        <v>10</v>
      </c>
      <c r="C26" s="15"/>
      <c r="D26" s="16">
        <f>'Rel to Acc'!D26-$D$75</f>
        <v>-89.884510000000034</v>
      </c>
      <c r="E26" s="16">
        <f>'Rel to Acc'!E26-E$75</f>
        <v>-1.8770700000000033</v>
      </c>
      <c r="F26" s="16">
        <f>'data from JD'!F26+'data from JD'!P26/1000</f>
        <v>4.4999999999999999E-4</v>
      </c>
      <c r="G26" s="16">
        <f>'Rel to Acc'!G26-G$75</f>
        <v>6.9130000000001246E-2</v>
      </c>
      <c r="H26" s="16">
        <f>'Rel to Acc'!H26</f>
        <v>-8.0758076979028548</v>
      </c>
      <c r="I26" s="16">
        <f>'Rel to Acc'!I26</f>
        <v>-2.0120679366794899E-2</v>
      </c>
      <c r="J26" s="16">
        <f>'Rel to Acc'!J26</f>
        <v>-1.8973927832729984E-2</v>
      </c>
      <c r="K26" s="15"/>
      <c r="L26" s="15"/>
      <c r="M26" s="15"/>
      <c r="N26" s="15"/>
      <c r="O26" s="15"/>
      <c r="P26" s="15"/>
    </row>
    <row r="27" spans="1:16" x14ac:dyDescent="0.25">
      <c r="A27" s="15" t="s">
        <v>79</v>
      </c>
      <c r="B27" s="15" t="s">
        <v>11</v>
      </c>
      <c r="C27" s="15"/>
      <c r="D27" s="16">
        <f>'Rel to Acc'!D27-$D$75</f>
        <v>-88.463079999999991</v>
      </c>
      <c r="E27" s="16">
        <f>'Rel to Acc'!E27-E$75</f>
        <v>-2.0731700000000046</v>
      </c>
      <c r="F27" s="16">
        <f>'data from JD'!F27+'data from JD'!P27/1000</f>
        <v>1.25E-4</v>
      </c>
      <c r="G27" s="16">
        <f>'Rel to Acc'!G27-G$75</f>
        <v>6.9949999999991519E-2</v>
      </c>
      <c r="H27" s="16">
        <f>'Rel to Acc'!H27</f>
        <v>-8.0435622717000008</v>
      </c>
      <c r="I27" s="16">
        <f>'Rel to Acc'!I27</f>
        <v>-1.6094320299999999E-2</v>
      </c>
      <c r="J27" s="16">
        <f>'Rel to Acc'!J27</f>
        <v>-0.18133323034000001</v>
      </c>
      <c r="K27" s="15"/>
      <c r="L27" s="15"/>
      <c r="M27" s="15"/>
      <c r="N27" s="15"/>
      <c r="O27" s="15"/>
      <c r="P27" s="15"/>
    </row>
    <row r="28" spans="1:16" x14ac:dyDescent="0.25">
      <c r="A28" s="15" t="s">
        <v>43</v>
      </c>
      <c r="B28" s="15" t="s">
        <v>42</v>
      </c>
      <c r="C28" s="15"/>
      <c r="D28" s="16">
        <f>'Rel to Acc'!D28-$D$75</f>
        <v>-93.50454000000002</v>
      </c>
      <c r="E28" s="16">
        <f>'Rel to Acc'!E28-E$75</f>
        <v>-1.1665200000000056</v>
      </c>
      <c r="F28" s="16">
        <f>'data from JD'!F28+'data from JD'!P28/1000</f>
        <v>-0.91003700003305099</v>
      </c>
      <c r="G28" s="16">
        <f>'Rel to Acc'!G28-G$75</f>
        <v>7.5300000000027012E-3</v>
      </c>
      <c r="H28" s="16">
        <f>'Rel to Acc'!H28</f>
        <v>-8.0512999999999995</v>
      </c>
      <c r="I28" s="16">
        <f>'Rel to Acc'!I28</f>
        <v>2E-3</v>
      </c>
      <c r="J28" s="16">
        <f>'Rel to Acc'!J28</f>
        <v>6.6799999999999998E-2</v>
      </c>
      <c r="K28" s="15"/>
      <c r="L28" s="15"/>
      <c r="M28" s="15"/>
      <c r="N28" s="15"/>
      <c r="O28" s="15"/>
      <c r="P28" s="15"/>
    </row>
    <row r="29" spans="1:16" x14ac:dyDescent="0.25">
      <c r="A29" s="15" t="s">
        <v>44</v>
      </c>
      <c r="B29" s="15"/>
      <c r="C29" s="15"/>
      <c r="D29" s="16">
        <f>'Rel to Acc'!D29-$D$75</f>
        <v>-25.757800000000032</v>
      </c>
      <c r="E29" s="16">
        <f>'Rel to Acc'!E29-E$75</f>
        <v>1.0149999999953252E-3</v>
      </c>
      <c r="F29" s="16">
        <f>'data from JD'!F29+'data from JD'!P29/1000</f>
        <v>4.7599999999999997E-4</v>
      </c>
      <c r="G29" s="16">
        <f>'Rel to Acc'!G29-G$75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x14ac:dyDescent="0.25">
      <c r="A30" s="15" t="s">
        <v>52</v>
      </c>
      <c r="B30" s="15" t="s">
        <v>25</v>
      </c>
      <c r="C30" s="15"/>
      <c r="D30" s="16">
        <f>'Rel to Acc'!D30-$D$75</f>
        <v>-25.542689999999993</v>
      </c>
      <c r="E30" s="16">
        <f>'Rel to Acc'!E30-E$75</f>
        <v>0.10184999999999889</v>
      </c>
      <c r="F30" s="16">
        <f>'data from JD'!F30+'data from JD'!P30/1000</f>
        <v>-0.89004400002670281</v>
      </c>
      <c r="G30" s="16">
        <f>'Rel to Acc'!G30-G$75</f>
        <v>-1.6000000000815362E-4</v>
      </c>
      <c r="H30" s="16">
        <f>'data from JD'!L30+'data from JD'!R30</f>
        <v>-2.5799999999999998E-3</v>
      </c>
      <c r="I30" s="17">
        <v>1.49E-2</v>
      </c>
      <c r="J30" s="17">
        <v>6.8799999999999998E-3</v>
      </c>
      <c r="K30" s="15"/>
      <c r="L30" s="15"/>
      <c r="M30" s="15"/>
      <c r="N30" s="15"/>
      <c r="O30" s="15"/>
      <c r="P30" s="15"/>
    </row>
    <row r="31" spans="1:16" x14ac:dyDescent="0.25">
      <c r="A31" s="15" t="s">
        <v>53</v>
      </c>
      <c r="B31" s="15" t="s">
        <v>26</v>
      </c>
      <c r="C31" s="15"/>
      <c r="D31" s="16">
        <f>'Rel to Acc'!D31-$D$75</f>
        <v>-19.655219999999986</v>
      </c>
      <c r="E31" s="16">
        <f>'Rel to Acc'!E31-E$75</f>
        <v>6.6999999999950433E-4</v>
      </c>
      <c r="F31" s="16">
        <f>'data from JD'!F31+'data from JD'!P31/1000</f>
        <v>-0.88995200002670272</v>
      </c>
      <c r="G31" s="16">
        <f>'Rel to Acc'!G31-G$75</f>
        <v>-3.0999999999892225E-4</v>
      </c>
      <c r="H31" s="16">
        <f>'data from JD'!L31+'data from JD'!R31</f>
        <v>-2.0629999999999999E-2</v>
      </c>
      <c r="I31" s="17">
        <v>1.375E-2</v>
      </c>
      <c r="J31" s="17">
        <v>1.5469999999999999E-2</v>
      </c>
      <c r="K31" s="15"/>
      <c r="L31" s="15"/>
      <c r="M31" s="15"/>
      <c r="N31" s="15"/>
      <c r="O31" s="15"/>
      <c r="P31" s="15"/>
    </row>
    <row r="32" spans="1:16" x14ac:dyDescent="0.25">
      <c r="A32" s="15" t="s">
        <v>54</v>
      </c>
      <c r="B32" s="15" t="s">
        <v>27</v>
      </c>
      <c r="C32" s="15"/>
      <c r="D32" s="16">
        <f>'Rel to Acc'!D32-$D$75</f>
        <v>-23.243920000000003</v>
      </c>
      <c r="E32" s="16">
        <f>'Rel to Acc'!E32-E$75</f>
        <v>6.5000000000736691E-4</v>
      </c>
      <c r="F32" s="16">
        <f>'data from JD'!F32+'data from JD'!P32/1000</f>
        <v>-8.9999999999999985E-6</v>
      </c>
      <c r="G32" s="16">
        <f>'Rel to Acc'!G32-G$75</f>
        <v>-4.3000000000859018E-4</v>
      </c>
      <c r="H32" s="16">
        <f>'data from JD'!L32+'data from JD'!R32</f>
        <v>-8.5999999999999998E-4</v>
      </c>
      <c r="I32" s="17">
        <v>3.15E-3</v>
      </c>
      <c r="J32" s="17">
        <v>2.8649999999999998E-2</v>
      </c>
      <c r="K32" s="15"/>
      <c r="L32" s="15"/>
      <c r="M32" s="15"/>
      <c r="N32" s="15"/>
      <c r="O32" s="15"/>
      <c r="P32" s="15"/>
    </row>
    <row r="33" spans="1:16" x14ac:dyDescent="0.25">
      <c r="A33" s="15" t="s">
        <v>55</v>
      </c>
      <c r="B33" s="15" t="s">
        <v>28</v>
      </c>
      <c r="C33" s="15"/>
      <c r="D33" s="16">
        <f>'Rel to Acc'!D33-$D$75</f>
        <v>-18.888463999999999</v>
      </c>
      <c r="E33" s="16">
        <f>'Rel to Acc'!E33-E$75</f>
        <v>3.0999999999892225E-4</v>
      </c>
      <c r="F33" s="16">
        <f>'data from JD'!F33+'data from JD'!P33/1000</f>
        <v>3.1999999999999999E-5</v>
      </c>
      <c r="G33" s="16">
        <f>'Rel to Acc'!G33-G$75</f>
        <v>3.2000000004472895E-5</v>
      </c>
      <c r="H33" s="16">
        <f>'data from JD'!L33+'data from JD'!R33</f>
        <v>-7.7299999999999999E-3</v>
      </c>
      <c r="I33" s="17">
        <v>2.034E-2</v>
      </c>
      <c r="J33" s="17">
        <v>-5.4400000000000004E-3</v>
      </c>
      <c r="K33" s="15"/>
      <c r="L33" s="15"/>
      <c r="M33" s="15"/>
      <c r="N33" s="15"/>
      <c r="O33" s="15"/>
      <c r="P33" s="15"/>
    </row>
    <row r="34" spans="1:16" x14ac:dyDescent="0.25">
      <c r="A34" s="15" t="s">
        <v>161</v>
      </c>
      <c r="B34" s="15"/>
      <c r="C34" s="15"/>
      <c r="D34" s="16">
        <f>'Rel to Acc'!D34-$D$75</f>
        <v>-16.965250000000026</v>
      </c>
      <c r="E34" s="16">
        <f>'Rel to Acc'!E34-E$75</f>
        <v>3.0999999999892225E-4</v>
      </c>
      <c r="F34" s="16">
        <f>'data from JD'!F35+'data from JD'!P35/1000</f>
        <v>-0.12002400003808963</v>
      </c>
      <c r="G34" s="16">
        <f>'Rel to Acc'!G34-G$75</f>
        <v>-3.4999999999740794E-4</v>
      </c>
      <c r="H34" s="16"/>
      <c r="I34" s="17"/>
      <c r="J34" s="17"/>
      <c r="K34" s="15"/>
      <c r="L34" s="15"/>
      <c r="M34" s="15"/>
      <c r="N34" s="15"/>
      <c r="O34" s="15"/>
      <c r="P34" s="15"/>
    </row>
    <row r="35" spans="1:16" s="33" customFormat="1" ht="15" customHeight="1" x14ac:dyDescent="0.25">
      <c r="A35" s="15" t="s">
        <v>56</v>
      </c>
      <c r="B35" s="15" t="s">
        <v>22</v>
      </c>
      <c r="C35" s="15"/>
      <c r="D35" s="16">
        <f>'Rel to Acc'!D35-$D$75</f>
        <v>-14.797070000000019</v>
      </c>
      <c r="E35" s="16">
        <f>'Rel to Acc'!E35-E$75</f>
        <v>3.399999999942338E-4</v>
      </c>
      <c r="F35" s="16">
        <f>'data from JD'!F36+'data from JD'!P36/1000</f>
        <v>0.17991300000029103</v>
      </c>
      <c r="G35" s="16">
        <f>'Rel to Acc'!G35-G$75</f>
        <v>-2.3999999996249244E-5</v>
      </c>
      <c r="H35" s="16">
        <f>'data from JD'!L35+'data from JD'!R35</f>
        <v>-1.261E-2</v>
      </c>
      <c r="I35" s="17">
        <v>-2.2630000000000001E-2</v>
      </c>
      <c r="J35" s="17">
        <v>7.45E-3</v>
      </c>
      <c r="K35" s="15"/>
      <c r="L35" s="15">
        <v>5270</v>
      </c>
      <c r="M35" s="15">
        <v>10002</v>
      </c>
      <c r="N35" s="15">
        <v>16845</v>
      </c>
      <c r="O35" s="15">
        <v>20638</v>
      </c>
      <c r="P35" s="15">
        <v>24431</v>
      </c>
    </row>
    <row r="36" spans="1:16" s="37" customFormat="1" x14ac:dyDescent="0.25">
      <c r="A36" s="36" t="s">
        <v>57</v>
      </c>
      <c r="B36" s="36" t="s">
        <v>21</v>
      </c>
      <c r="C36" s="36"/>
      <c r="D36" s="38">
        <f>'Rel to Acc'!D36-$D$75</f>
        <v>-13.260469999999998</v>
      </c>
      <c r="E36" s="38">
        <f>'Rel to Acc'!E36-E$75</f>
        <v>2.0000000000663931E-4</v>
      </c>
      <c r="F36" s="38">
        <f>'data from JD'!F37+'data from JD'!P37/1000</f>
        <v>0.18153199999524153</v>
      </c>
      <c r="G36" s="38">
        <f>'Rel to Acc'!G36-G$75</f>
        <v>-4.3999999999755346E-4</v>
      </c>
      <c r="H36" s="38">
        <f>'data from JD'!L36+'data from JD'!R36</f>
        <v>-1.15E-3</v>
      </c>
      <c r="I36" s="39">
        <v>8.5900000000000004E-3</v>
      </c>
      <c r="J36" s="39">
        <v>5.6999999999999998E-4</v>
      </c>
      <c r="K36" s="36"/>
      <c r="L36" s="36"/>
      <c r="M36" s="36"/>
      <c r="N36" s="36"/>
      <c r="O36" s="36"/>
      <c r="P36" s="36"/>
    </row>
    <row r="37" spans="1:16" s="37" customFormat="1" x14ac:dyDescent="0.25">
      <c r="A37" s="36" t="s">
        <v>58</v>
      </c>
      <c r="B37" s="36" t="s">
        <v>19</v>
      </c>
      <c r="C37" s="36"/>
      <c r="D37" s="38">
        <f>'Rel to Acc'!D37-$D$75</f>
        <v>-10.333050000000014</v>
      </c>
      <c r="E37" s="38">
        <f>'Rel to Acc'!E37-E$75</f>
        <v>-0.23828999999999212</v>
      </c>
      <c r="F37" s="38">
        <f>'data from JD'!F38+'data from JD'!P38/1000</f>
        <v>0.18081299999524153</v>
      </c>
      <c r="G37" s="38">
        <f>'Rel to Acc'!G37-G$75</f>
        <v>1.0000000003174137E-5</v>
      </c>
      <c r="H37" s="38">
        <f>'data from JD'!L37+'data from JD'!R37</f>
        <v>-4.6595800000000001</v>
      </c>
      <c r="I37" s="39">
        <v>8.0500000000000002E-2</v>
      </c>
      <c r="J37" s="39">
        <v>-0.15642</v>
      </c>
      <c r="K37" s="36"/>
      <c r="L37" s="36"/>
      <c r="M37" s="36"/>
      <c r="N37" s="36"/>
      <c r="O37" s="36"/>
      <c r="P37" s="36"/>
    </row>
    <row r="38" spans="1:16" s="37" customFormat="1" x14ac:dyDescent="0.25">
      <c r="A38" s="36" t="s">
        <v>59</v>
      </c>
      <c r="B38" s="36" t="s">
        <v>20</v>
      </c>
      <c r="C38" s="36"/>
      <c r="D38" s="38">
        <f>'Rel to Acc'!D38-$D$75</f>
        <v>-10.333590000000015</v>
      </c>
      <c r="E38" s="38">
        <f>'Rel to Acc'!E38-E$75</f>
        <v>0.23882000000000403</v>
      </c>
      <c r="F38" s="38">
        <f>'data from JD'!F39+'data from JD'!P39/1000</f>
        <v>0.18167999999524154</v>
      </c>
      <c r="G38" s="38">
        <f>'Rel to Acc'!G38-G$75</f>
        <v>-2.0000000006348273E-5</v>
      </c>
      <c r="H38" s="38">
        <f>'data from JD'!L38+'data from JD'!R38</f>
        <v>4.5707700000000004</v>
      </c>
      <c r="I38" s="39">
        <v>-0.13464999999999999</v>
      </c>
      <c r="J38" s="39">
        <v>3.0939999999999999E-2</v>
      </c>
      <c r="K38" s="36"/>
      <c r="L38" s="36"/>
      <c r="M38" s="36"/>
      <c r="N38" s="36"/>
      <c r="O38" s="36"/>
      <c r="P38" s="36"/>
    </row>
    <row r="39" spans="1:16" s="37" customFormat="1" x14ac:dyDescent="0.25">
      <c r="A39" s="36" t="s">
        <v>60</v>
      </c>
      <c r="B39" s="38" t="s">
        <v>86</v>
      </c>
      <c r="C39" s="36"/>
      <c r="D39" s="38">
        <f>'Rel to Acc'!D39-$D$75</f>
        <v>-9.8443000000000325</v>
      </c>
      <c r="E39" s="38">
        <f>'Rel to Acc'!E39-E$75</f>
        <v>-0.27452999999999861</v>
      </c>
      <c r="F39" s="38">
        <f>'data from JD'!F40+'data from JD'!P40/1000</f>
        <v>0.18207999999524152</v>
      </c>
      <c r="G39" s="38">
        <f>'Rel to Acc'!G39-G$75</f>
        <v>2.6699999999948432E-3</v>
      </c>
      <c r="H39" s="38">
        <f>'Rel to Acc'!H39</f>
        <v>-4.6928999999999998</v>
      </c>
      <c r="I39" s="39"/>
      <c r="J39" s="39"/>
      <c r="K39" s="36"/>
      <c r="L39" s="36"/>
      <c r="M39" s="36"/>
      <c r="N39" s="36"/>
      <c r="O39" s="36"/>
      <c r="P39" s="36"/>
    </row>
    <row r="40" spans="1:16" s="37" customFormat="1" x14ac:dyDescent="0.25">
      <c r="A40" s="36" t="s">
        <v>61</v>
      </c>
      <c r="B40" s="38" t="s">
        <v>85</v>
      </c>
      <c r="C40" s="36"/>
      <c r="D40" s="38">
        <f>'Rel to Acc'!D40-$D$75</f>
        <v>-9.8443100000000072</v>
      </c>
      <c r="E40" s="38">
        <f>'Rel to Acc'!E40-E$75</f>
        <v>0.27539000000000158</v>
      </c>
      <c r="F40" s="38">
        <f>'data from JD'!F41+'data from JD'!P41/1000</f>
        <v>6.0598799999340072</v>
      </c>
      <c r="G40" s="38">
        <f>'Rel to Acc'!G40-G$75</f>
        <v>8.6999999999193278E-4</v>
      </c>
      <c r="H40" s="38">
        <f>'Rel to Acc'!H40</f>
        <v>4.7812999999999999</v>
      </c>
      <c r="I40" s="39"/>
      <c r="J40" s="39"/>
      <c r="K40" s="36"/>
      <c r="L40" s="36"/>
      <c r="M40" s="36"/>
      <c r="N40" s="36"/>
      <c r="O40" s="36"/>
      <c r="P40" s="36"/>
    </row>
    <row r="41" spans="1:16" x14ac:dyDescent="0.25">
      <c r="A41" s="15" t="s">
        <v>62</v>
      </c>
      <c r="B41" s="15" t="s">
        <v>23</v>
      </c>
      <c r="C41" s="15"/>
      <c r="D41" s="16">
        <f>'Rel to Acc'!D41-$D$75</f>
        <v>0</v>
      </c>
      <c r="E41" s="16">
        <f>'Rel to Acc'!E41-E$75</f>
        <v>0</v>
      </c>
      <c r="F41" s="16">
        <f>'data from JD'!F42+'data from JD'!P42/1000</f>
        <v>6.1090199999782993</v>
      </c>
      <c r="G41" s="16">
        <f>'Rel to Acc'!G41-G$75</f>
        <v>0</v>
      </c>
      <c r="H41" s="16"/>
      <c r="I41" s="17"/>
      <c r="J41" s="17"/>
      <c r="K41" s="15"/>
      <c r="L41" s="15"/>
      <c r="M41" s="15"/>
      <c r="N41" s="15"/>
      <c r="O41" s="15"/>
      <c r="P41" s="15"/>
    </row>
    <row r="42" spans="1:16" x14ac:dyDescent="0.25">
      <c r="A42" s="15" t="s">
        <v>141</v>
      </c>
      <c r="B42" s="15"/>
      <c r="C42" s="15"/>
      <c r="D42" s="16">
        <f>'Rel to Acc'!D42-$D$75</f>
        <v>-2.397199999999998</v>
      </c>
      <c r="E42" s="16">
        <f>'Rel to Acc'!E42-E$75</f>
        <v>-1.0794152842805715E-3</v>
      </c>
      <c r="F42" s="16">
        <f>'data from JD'!F45+'data from JD'!P45/1000</f>
        <v>0.17992000000029104</v>
      </c>
      <c r="G42" s="16">
        <f>'Rel to Acc'!G42-G$75</f>
        <v>-5.648102954580736E-4</v>
      </c>
      <c r="H42" s="16"/>
      <c r="I42" s="17"/>
      <c r="J42" s="17"/>
      <c r="K42" s="15"/>
      <c r="L42" s="15"/>
      <c r="M42" s="15"/>
      <c r="N42" s="15"/>
      <c r="O42" s="15"/>
      <c r="P42" s="15"/>
    </row>
    <row r="43" spans="1:16" x14ac:dyDescent="0.25">
      <c r="A43" s="15" t="s">
        <v>142</v>
      </c>
      <c r="B43" s="15"/>
      <c r="C43" s="15"/>
      <c r="D43" s="16">
        <f>'Rel to Acc'!D43-$D$75</f>
        <v>2.3974000000000046</v>
      </c>
      <c r="E43" s="16">
        <f>'Rel to Acc'!E43-E$75</f>
        <v>1.0795053406269517E-3</v>
      </c>
      <c r="F43" s="16">
        <f>'data from JD'!F48+'data from JD'!P48/1000</f>
        <v>0</v>
      </c>
      <c r="G43" s="16">
        <f>'Rel to Acc'!G43-G$75</f>
        <v>5.6485741795597733E-4</v>
      </c>
      <c r="H43" s="16"/>
      <c r="I43" s="17"/>
      <c r="J43" s="17"/>
      <c r="K43" s="15"/>
      <c r="L43" s="15"/>
      <c r="M43" s="15"/>
      <c r="N43" s="15"/>
      <c r="O43" s="15"/>
      <c r="P43" s="15"/>
    </row>
    <row r="44" spans="1:16" x14ac:dyDescent="0.25">
      <c r="A44" s="15" t="s">
        <v>63</v>
      </c>
      <c r="B44" s="15" t="s">
        <v>45</v>
      </c>
      <c r="C44" s="15"/>
      <c r="D44" s="16">
        <f>'Rel to Acc'!D44-$D$75</f>
        <v>0.22870000000000346</v>
      </c>
      <c r="E44" s="16">
        <f>'Rel to Acc'!E44-E$75</f>
        <v>1.3299999999958345E-3</v>
      </c>
      <c r="F44" s="16">
        <f>'data from JD'!F49+'data from JD'!P49/1000</f>
        <v>1.23E-3</v>
      </c>
      <c r="G44" s="16">
        <f>'Rel to Acc'!G44-G$75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37" customFormat="1" x14ac:dyDescent="0.25">
      <c r="A45" s="36" t="s">
        <v>195</v>
      </c>
      <c r="B45" s="36"/>
      <c r="C45" s="36"/>
      <c r="D45" s="38">
        <f>'Rel to Acc'!D45-$D$75</f>
        <v>-1.3855599999999981</v>
      </c>
      <c r="E45" s="38">
        <f>'Rel to Acc'!E45-E$75</f>
        <v>2.3925216829923102E-4</v>
      </c>
      <c r="F45" s="38">
        <f>'data from JD'!F50+'data from JD'!P50/1000</f>
        <v>1.23E-3</v>
      </c>
      <c r="G45" s="38">
        <f>'Rel to Acc'!G45-G$75</f>
        <v>3.6389778003353968E-5</v>
      </c>
      <c r="H45" s="38"/>
      <c r="I45" s="39"/>
      <c r="J45" s="39"/>
      <c r="K45" s="36"/>
      <c r="L45" s="36"/>
      <c r="M45" s="36"/>
      <c r="N45" s="36"/>
      <c r="O45" s="36"/>
      <c r="P45" s="36"/>
    </row>
    <row r="46" spans="1:16" s="37" customFormat="1" x14ac:dyDescent="0.25">
      <c r="A46" s="36" t="s">
        <v>194</v>
      </c>
      <c r="B46" s="36" t="s">
        <v>151</v>
      </c>
      <c r="C46" s="36"/>
      <c r="D46" s="38">
        <f>'Rel to Acc'!D46-$D$75</f>
        <v>-1.2378100000000245</v>
      </c>
      <c r="E46" s="38">
        <f>'Rel to Acc'!E46-E$75</f>
        <v>2.40000000005125E-4</v>
      </c>
      <c r="F46" s="38">
        <f>'data from JD'!F50+'data from JD'!P50/1000</f>
        <v>1.23E-3</v>
      </c>
      <c r="G46" s="38">
        <f>'Rel to Acc'!G46-G$75</f>
        <v>3.9999999998485691E-5</v>
      </c>
      <c r="H46" s="38"/>
      <c r="I46" s="39"/>
      <c r="J46" s="39" t="s">
        <v>46</v>
      </c>
      <c r="K46" s="36"/>
      <c r="L46" s="36"/>
      <c r="M46" s="36"/>
      <c r="N46" s="36"/>
      <c r="O46" s="36"/>
      <c r="P46" s="36"/>
    </row>
    <row r="47" spans="1:16" s="37" customFormat="1" x14ac:dyDescent="0.25">
      <c r="A47" s="36" t="s">
        <v>196</v>
      </c>
      <c r="B47" s="36"/>
      <c r="C47" s="36"/>
      <c r="D47" s="38">
        <f>'Rel to Acc'!D47-$D$75</f>
        <v>-1.0900600000000509</v>
      </c>
      <c r="E47" s="38">
        <f>'Rel to Acc'!E47-E$75</f>
        <v>2.4074783171101899E-4</v>
      </c>
      <c r="F47" s="38">
        <f>'data from JD'!F52+'data from JD'!P52/1000</f>
        <v>9.3203290000024381</v>
      </c>
      <c r="G47" s="38">
        <f>'Rel to Acc'!G47-G$75</f>
        <v>4.3610221993617415E-5</v>
      </c>
      <c r="H47" s="38"/>
      <c r="I47" s="39"/>
      <c r="J47" s="39"/>
      <c r="K47" s="36"/>
      <c r="L47" s="36"/>
      <c r="M47" s="36"/>
      <c r="N47" s="36"/>
      <c r="O47" s="36"/>
      <c r="P47" s="36"/>
    </row>
    <row r="48" spans="1:16" s="44" customFormat="1" x14ac:dyDescent="0.25">
      <c r="A48" s="40" t="s">
        <v>152</v>
      </c>
      <c r="B48" s="40"/>
      <c r="C48" s="40"/>
      <c r="D48" s="41">
        <f>'Rel to Acc'!D48-$D$75</f>
        <v>-1.0436300000000074</v>
      </c>
      <c r="E48" s="41">
        <f>'Rel to Acc'!E48-E$75</f>
        <v>1.5683470616494333E-3</v>
      </c>
      <c r="F48" s="41">
        <f>'data from JD'!F51+'data from JD'!P51/1000</f>
        <v>-4.4000000000000002E-4</v>
      </c>
      <c r="G48" s="41">
        <f>'Rel to Acc'!G48-G$75</f>
        <v>2.0109847570353168E-3</v>
      </c>
      <c r="H48" s="41"/>
      <c r="I48" s="43"/>
      <c r="J48" s="43"/>
      <c r="K48" s="40"/>
      <c r="L48" s="40"/>
      <c r="M48" s="40"/>
      <c r="N48" s="40"/>
      <c r="O48" s="40"/>
      <c r="P48" s="40"/>
    </row>
    <row r="49" spans="1:16" s="44" customFormat="1" x14ac:dyDescent="0.25">
      <c r="A49" s="40" t="s">
        <v>80</v>
      </c>
      <c r="B49" s="40" t="s">
        <v>18</v>
      </c>
      <c r="C49" s="41" t="s">
        <v>46</v>
      </c>
      <c r="D49" s="41">
        <f>'Rel to Acc'!D49-$D$75</f>
        <v>-1.5901000000000067</v>
      </c>
      <c r="E49" s="41"/>
      <c r="F49" s="41">
        <f>'data from JD'!F52+'data from JD'!P52/1000</f>
        <v>9.3203290000024381</v>
      </c>
      <c r="G49" s="41"/>
      <c r="H49" s="41"/>
      <c r="I49" s="41"/>
      <c r="J49" s="43"/>
      <c r="K49" s="40"/>
      <c r="L49" s="40"/>
      <c r="M49" s="40"/>
      <c r="N49" s="40"/>
      <c r="O49" s="40"/>
      <c r="P49" s="40"/>
    </row>
    <row r="50" spans="1:16" s="44" customFormat="1" x14ac:dyDescent="0.25">
      <c r="A50" s="40" t="s">
        <v>92</v>
      </c>
      <c r="B50" s="40"/>
      <c r="C50" s="41"/>
      <c r="D50" s="41">
        <f>'Rel to Acc'!D50-$D$75</f>
        <v>-1.5027999999999793</v>
      </c>
      <c r="E50" s="41">
        <f>'Rel to Acc'!E50-E$75</f>
        <v>2.3071162016208291E-4</v>
      </c>
      <c r="F50" s="41">
        <f>'data from JD'!F53+'data from JD'!P53/1000</f>
        <v>-5.8E-5</v>
      </c>
      <c r="G50" s="41">
        <f>'Rel to Acc'!G50-G$75</f>
        <v>-9.7746354836658611E-4</v>
      </c>
      <c r="H50" s="41"/>
      <c r="I50" s="43"/>
      <c r="J50" s="43"/>
      <c r="K50" s="40"/>
      <c r="L50" s="40"/>
      <c r="M50" s="40"/>
      <c r="N50" s="40"/>
      <c r="O50" s="40"/>
      <c r="P50" s="40"/>
    </row>
    <row r="51" spans="1:16" s="44" customFormat="1" x14ac:dyDescent="0.25">
      <c r="A51" s="40" t="s">
        <v>93</v>
      </c>
      <c r="B51" s="40"/>
      <c r="C51" s="41"/>
      <c r="D51" s="41">
        <f>'Rel to Acc'!D51-$D$75</f>
        <v>-0.91770000000002483</v>
      </c>
      <c r="E51" s="41">
        <f>'Rel to Acc'!E51-E$75</f>
        <v>1.840986087287888E-3</v>
      </c>
      <c r="F51" s="41">
        <f>'data from JD'!F54+'data from JD'!P54/1000</f>
        <v>-3.2499999999999999E-4</v>
      </c>
      <c r="G51" s="41">
        <f>'Rel to Acc'!G51-G$75</f>
        <v>1.2691039528505144E-3</v>
      </c>
      <c r="H51" s="41"/>
      <c r="I51" s="43"/>
      <c r="J51" s="43"/>
      <c r="K51" s="40"/>
      <c r="L51" s="40"/>
      <c r="M51" s="40"/>
      <c r="N51" s="40"/>
      <c r="O51" s="40"/>
      <c r="P51" s="40"/>
    </row>
    <row r="52" spans="1:16" x14ac:dyDescent="0.25">
      <c r="A52" s="15" t="s">
        <v>111</v>
      </c>
      <c r="B52" s="15"/>
      <c r="C52" s="15"/>
      <c r="D52" s="16">
        <f>'Rel to Acc'!D52-$D$75</f>
        <v>-6.7209999999988668E-2</v>
      </c>
      <c r="E52" s="16">
        <f>'Rel to Acc'!E52-E$75</f>
        <v>-6.0000000000570708E-4</v>
      </c>
      <c r="F52" s="16">
        <f>'data from JD'!F55+'data from JD'!P55/1000</f>
        <v>8.450230999925239</v>
      </c>
      <c r="G52" s="16">
        <f>'Rel to Acc'!G52-G$75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112</v>
      </c>
      <c r="B53" s="15"/>
      <c r="C53" s="15"/>
      <c r="D53" s="16">
        <f>'Rel to Acc'!D53-$D$75</f>
        <v>0.51848999999998568</v>
      </c>
      <c r="E53" s="16">
        <f>'Rel to Acc'!E53-E$75</f>
        <v>-3.9000000001010449E-4</v>
      </c>
      <c r="F53" s="16">
        <f>'data from JD'!F56+'data from JD'!P56/1000</f>
        <v>6.4096799999598364</v>
      </c>
      <c r="G53" s="16">
        <f>'Rel to Acc'!G53-G$75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113</v>
      </c>
      <c r="B54" s="15"/>
      <c r="C54" s="15"/>
      <c r="D54" s="16">
        <f>'Rel to Acc'!D54-$D$75</f>
        <v>1.1043799999999919</v>
      </c>
      <c r="E54" s="16">
        <f>'Rel to Acc'!E54-E$75</f>
        <v>3.0999999999892225E-4</v>
      </c>
      <c r="F54" s="16">
        <f>'data from JD'!F57+'data from JD'!P57/1000</f>
        <v>0.17997900000029105</v>
      </c>
      <c r="G54" s="16">
        <f>'Rel to Acc'!G54-G$75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114</v>
      </c>
      <c r="B55" s="15"/>
      <c r="C55" s="15"/>
      <c r="D55" s="16">
        <f>'Rel to Acc'!D55-$D$75</f>
        <v>1.4911299999999983</v>
      </c>
      <c r="E55" s="16">
        <f>'Rel to Acc'!E55-E$75</f>
        <v>4.7999999999603915E-4</v>
      </c>
      <c r="F55" s="16">
        <f>'data from JD'!F58+'data from JD'!P58/1000</f>
        <v>0.18225100000029104</v>
      </c>
      <c r="G55" s="16">
        <f>'Rel to Acc'!G55-G$75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Acc'!D56-$D$75</f>
        <v>-0.96320000000002892</v>
      </c>
      <c r="E56" s="16">
        <f>'Rel to Acc'!E56-E$75</f>
        <v>2.9999999999574811E-4</v>
      </c>
      <c r="F56" s="16">
        <f>'data from JD'!F59+'data from JD'!P59/1000</f>
        <v>0</v>
      </c>
      <c r="G56" s="16">
        <f>'Rel to Acc'!G56-G$75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148</v>
      </c>
      <c r="B57" s="15"/>
      <c r="C57" s="15"/>
      <c r="D57" s="16">
        <f>'Rel to Acc'!D57-$D$75</f>
        <v>-1.7132000000000289</v>
      </c>
      <c r="E57" s="16">
        <f>'Rel to Acc'!E57-E$75</f>
        <v>1.9528333264418052E-4</v>
      </c>
      <c r="F57" s="16">
        <f>'data from JD'!F60+'data from JD'!P60/1000</f>
        <v>0</v>
      </c>
      <c r="G57" s="16">
        <f>'Rel to Acc'!G57-G$75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149</v>
      </c>
      <c r="B58" s="15"/>
      <c r="C58" s="15"/>
      <c r="D58" s="16">
        <f>'Rel to Acc'!D58-$D$75</f>
        <v>-0.21320000000002892</v>
      </c>
      <c r="E58" s="16">
        <f>'Rel to Acc'!E58-E$75</f>
        <v>4.0471666734731571E-4</v>
      </c>
      <c r="F58" s="16">
        <f>'data from JD'!F61+'data from JD'!P61/1000</f>
        <v>0</v>
      </c>
      <c r="G58" s="16">
        <f>'Rel to Acc'!G58-G$75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44" customFormat="1" x14ac:dyDescent="0.25">
      <c r="A59" s="40" t="s">
        <v>65</v>
      </c>
      <c r="B59" s="40" t="s">
        <v>15</v>
      </c>
      <c r="C59" s="40"/>
      <c r="D59" s="41">
        <f>'Rel to Acc'!D59-$D$75</f>
        <v>4.3570100000000025</v>
      </c>
      <c r="E59" s="41">
        <f>'Rel to Acc'!E59-E$75</f>
        <v>5.3800000000023829E-3</v>
      </c>
      <c r="F59" s="41">
        <f>'data from JD'!F62+'data from JD'!P62/1000</f>
        <v>0</v>
      </c>
      <c r="G59" s="41">
        <f>'Rel to Acc'!G59-G$75</f>
        <v>1.0000000000331966E-4</v>
      </c>
      <c r="H59" s="41">
        <f>'data from JD'!L57+'data from JD'!R57</f>
        <v>-7.0190000000000002E-2</v>
      </c>
      <c r="I59" s="43">
        <v>4.1829999999999999E-2</v>
      </c>
      <c r="J59" s="43">
        <v>-1.49E-2</v>
      </c>
      <c r="K59" s="40"/>
      <c r="L59" s="40"/>
      <c r="M59" s="40"/>
      <c r="N59" s="40"/>
      <c r="O59" s="40"/>
      <c r="P59" s="40"/>
    </row>
    <row r="60" spans="1:16" s="44" customFormat="1" x14ac:dyDescent="0.25">
      <c r="A60" s="40" t="s">
        <v>66</v>
      </c>
      <c r="B60" s="40" t="s">
        <v>16</v>
      </c>
      <c r="C60" s="40"/>
      <c r="D60" s="41">
        <f>'Rel to Acc'!D60-$D$75</f>
        <v>4.1586399999999912</v>
      </c>
      <c r="E60" s="41">
        <f>'Rel to Acc'!E60-$E$75</f>
        <v>3.6400000000043065E-3</v>
      </c>
      <c r="F60" s="41">
        <f>'data from JD'!F63+'data from JD'!P63/1000</f>
        <v>0</v>
      </c>
      <c r="G60" s="41">
        <f>'Rel to Acc'!G60-$G$75</f>
        <v>4.7699999999935017E-3</v>
      </c>
      <c r="H60" s="41">
        <f>'Rel to Acc'!H60</f>
        <v>-4.1540000000000001E-2</v>
      </c>
      <c r="I60" s="41">
        <f>'Rel to Acc'!I60</f>
        <v>4.4979999999999999E-2</v>
      </c>
      <c r="J60" s="41">
        <f>'Rel to Acc'!J60</f>
        <v>-0.13836999999999999</v>
      </c>
      <c r="K60" s="40"/>
      <c r="L60" s="40"/>
      <c r="M60" s="40"/>
      <c r="N60" s="40"/>
      <c r="O60" s="40"/>
      <c r="P60" s="40"/>
    </row>
    <row r="61" spans="1:16" s="37" customFormat="1" x14ac:dyDescent="0.25">
      <c r="A61" s="36" t="s">
        <v>252</v>
      </c>
      <c r="B61" s="36"/>
      <c r="C61" s="36"/>
      <c r="D61" s="38">
        <f>'Rel to Acc'!D61-$D$75</f>
        <v>10.871550000000013</v>
      </c>
      <c r="E61" s="38">
        <f>'Rel to Acc'!E61-$E$75</f>
        <v>2.9999999999574811E-4</v>
      </c>
      <c r="F61" s="38">
        <f>'data from JD'!F64+'data from JD'!P64/1000</f>
        <v>0</v>
      </c>
      <c r="G61" s="38">
        <f>'Rel to Acc'!G61-$G$75</f>
        <v>-1.4000000000180535E-4</v>
      </c>
      <c r="H61" s="38">
        <f>'Rel to Acc'!H61</f>
        <v>-7.85E-2</v>
      </c>
      <c r="I61" s="38">
        <f>'Rel to Acc'!I61</f>
        <v>1.1169999999999999E-2</v>
      </c>
      <c r="J61" s="38">
        <f>'Rel to Acc'!J61</f>
        <v>-4.0390000000000002E-2</v>
      </c>
      <c r="K61" s="36"/>
      <c r="L61" s="36"/>
      <c r="M61" s="36"/>
      <c r="N61" s="36"/>
      <c r="O61" s="36"/>
      <c r="P61" s="36"/>
    </row>
    <row r="62" spans="1:16" x14ac:dyDescent="0.25">
      <c r="A62" s="15" t="s">
        <v>257</v>
      </c>
      <c r="B62" s="15"/>
      <c r="D62" s="16">
        <f>'Rel to Acc'!D62-$D$75</f>
        <v>-400.02780000000001</v>
      </c>
      <c r="E62" s="16">
        <f>'Rel to Acc'!E62-$E$75</f>
        <v>-80.599699999999999</v>
      </c>
      <c r="F62" s="16">
        <f>'data from JD'!F65+'data from JD'!P65/1000</f>
        <v>0</v>
      </c>
      <c r="G62" s="16">
        <f>'Rel to Acc'!G62-$G$75</f>
        <v>-104.7</v>
      </c>
    </row>
    <row r="63" spans="1:16" s="44" customFormat="1" x14ac:dyDescent="0.25">
      <c r="A63" s="54" t="s">
        <v>259</v>
      </c>
      <c r="B63" s="55" t="s">
        <v>260</v>
      </c>
      <c r="D63" s="55">
        <f>'Rel to Acc'!D63-$D$75</f>
        <v>14.354199999999992</v>
      </c>
      <c r="E63" s="55">
        <f>'Rel to Acc'!E63-$E$75</f>
        <v>2.9999999999574811E-4</v>
      </c>
      <c r="F63" s="55">
        <f>'data from JD'!F66+'data from JD'!P66/1000</f>
        <v>0</v>
      </c>
      <c r="G63" s="55">
        <f>'Rel to Acc'!G63-$G$75</f>
        <v>0</v>
      </c>
      <c r="H63" s="54">
        <f>'Rel to Acc'!H63</f>
        <v>0.1168</v>
      </c>
      <c r="I63" s="54">
        <f>'Rel to Acc'!I63</f>
        <v>0.1065</v>
      </c>
      <c r="J63" s="54" t="str">
        <f>'Rel to Acc'!J63</f>
        <v xml:space="preserve"> </v>
      </c>
    </row>
    <row r="64" spans="1:16" s="37" customFormat="1" x14ac:dyDescent="0.25">
      <c r="A64" s="36" t="s">
        <v>261</v>
      </c>
      <c r="B64" s="38" t="s">
        <v>263</v>
      </c>
      <c r="C64" s="36"/>
      <c r="D64" s="38">
        <f>'Rel to Acc'!D64-$D$75</f>
        <v>3.9542599999999766</v>
      </c>
      <c r="E64" s="38">
        <f>'Rel to Acc'!E64-$E$75</f>
        <v>7.9800000000034288E-3</v>
      </c>
      <c r="F64" s="38">
        <f>'data from JD'!F67+'data from JD'!P67/1000</f>
        <v>0</v>
      </c>
      <c r="G64" s="38">
        <f>'Rel to Acc'!G64-$G$75</f>
        <v>-0.81810000000000116</v>
      </c>
      <c r="H64" s="36">
        <f>'Rel to Acc'!H64</f>
        <v>-0.1003</v>
      </c>
      <c r="I64" s="36">
        <f>'Rel to Acc'!I64</f>
        <v>-7.9100000000000004E-2</v>
      </c>
      <c r="J64" s="36">
        <f>'Rel to Acc'!J64</f>
        <v>3.8100000000000002E-2</v>
      </c>
    </row>
    <row r="65" spans="1:10" s="37" customFormat="1" x14ac:dyDescent="0.25">
      <c r="A65" s="36" t="s">
        <v>262</v>
      </c>
      <c r="B65" s="38" t="s">
        <v>264</v>
      </c>
      <c r="C65" s="36"/>
      <c r="D65" s="38">
        <f>'Rel to Acc'!D65-$D$75</f>
        <v>3.9547999999999774</v>
      </c>
      <c r="E65" s="38">
        <f>'Rel to Acc'!E65-$E$75</f>
        <v>8.6299999999965848E-3</v>
      </c>
      <c r="F65" s="38">
        <f>'data from JD'!F68+'data from JD'!P68/1000</f>
        <v>0</v>
      </c>
      <c r="G65" s="38">
        <f>'Rel to Acc'!G65-$G$75</f>
        <v>-0.30340999999999951</v>
      </c>
      <c r="H65" s="36">
        <f>'Rel to Acc'!H65</f>
        <v>-9.6299999999999997E-2</v>
      </c>
      <c r="I65" s="36">
        <f>'Rel to Acc'!I65</f>
        <v>-0.21429999999999999</v>
      </c>
      <c r="J65" s="36">
        <f>'Rel to Acc'!J65</f>
        <v>3.5499999999999997E-2</v>
      </c>
    </row>
    <row r="66" spans="1:10" s="57" customFormat="1" x14ac:dyDescent="0.25">
      <c r="A66" s="56" t="s">
        <v>283</v>
      </c>
      <c r="B66" s="58"/>
      <c r="C66" s="56"/>
      <c r="D66" s="58">
        <f>'Rel to Acc'!D66-$D$75</f>
        <v>3.9152599999999893</v>
      </c>
      <c r="E66" s="58">
        <f>'Rel to Acc'!E66-$E$75</f>
        <v>-3.0125299999999982</v>
      </c>
      <c r="F66" s="58">
        <f>'data from JD'!F69+'data from JD'!P69/1000</f>
        <v>0</v>
      </c>
      <c r="G66" s="58">
        <f>'Rel to Acc'!G66-$G$75</f>
        <v>-0.30389999999999873</v>
      </c>
      <c r="H66" s="56">
        <f>'Rel to Acc'!H66</f>
        <v>-0.18936</v>
      </c>
      <c r="I66" s="56">
        <f>'Rel to Acc'!I66</f>
        <v>-0.22489000000000001</v>
      </c>
      <c r="J66" s="56">
        <f>'Rel to Acc'!J66</f>
        <v>4.8410000000000002E-2</v>
      </c>
    </row>
    <row r="67" spans="1:10" s="57" customFormat="1" x14ac:dyDescent="0.25">
      <c r="A67" s="69" t="s">
        <v>291</v>
      </c>
      <c r="B67" s="70" t="s">
        <v>289</v>
      </c>
      <c r="C67" s="73"/>
      <c r="D67" s="58">
        <f>'Rel to Acc'!D67-$D$75</f>
        <v>3.956389999999999</v>
      </c>
      <c r="E67" s="58">
        <f>'Rel to Acc'!E67-$E$75</f>
        <v>1.6800000000074533E-3</v>
      </c>
      <c r="F67" s="58">
        <f>'data from JD'!F70+'data from JD'!P70/1000</f>
        <v>0</v>
      </c>
      <c r="G67" s="58">
        <f>'Rel to Acc'!G67-$G$75</f>
        <v>0.29903000000000191</v>
      </c>
      <c r="H67" s="56">
        <f>'Rel to Acc'!H67</f>
        <v>-8.3650000000000002E-2</v>
      </c>
      <c r="I67" s="56">
        <f>'Rel to Acc'!I67</f>
        <v>-0.15384</v>
      </c>
      <c r="J67" s="56">
        <f>'Rel to Acc'!J67</f>
        <v>-7.7299999999999999E-3</v>
      </c>
    </row>
    <row r="68" spans="1:10" s="57" customFormat="1" x14ac:dyDescent="0.25">
      <c r="A68" s="69" t="s">
        <v>292</v>
      </c>
      <c r="B68" s="70" t="s">
        <v>290</v>
      </c>
      <c r="C68" s="73"/>
      <c r="D68" s="58">
        <f>'Rel to Acc'!D68-$D$75</f>
        <v>3.9576099999999883</v>
      </c>
      <c r="E68" s="58">
        <f>'Rel to Acc'!E68-$E$75</f>
        <v>1.7600000000044247E-3</v>
      </c>
      <c r="F68" s="58">
        <f>'data from JD'!F71+'data from JD'!P71/1000</f>
        <v>0</v>
      </c>
      <c r="G68" s="58">
        <f>'Rel to Acc'!G68-$G$75</f>
        <v>0.81400999999999613</v>
      </c>
      <c r="H68" s="56">
        <f>'Rel to Acc'!H68</f>
        <v>-9.5680000000000001E-2</v>
      </c>
      <c r="I68" s="56">
        <f>'Rel to Acc'!I68</f>
        <v>-0.18362999999999999</v>
      </c>
      <c r="J68" s="56">
        <f>'Rel to Acc'!J68</f>
        <v>-1.461E-2</v>
      </c>
    </row>
    <row r="69" spans="1:10" s="57" customFormat="1" x14ac:dyDescent="0.25">
      <c r="A69" s="69" t="s">
        <v>286</v>
      </c>
      <c r="B69" s="70"/>
      <c r="C69" s="73"/>
      <c r="D69" s="58">
        <f>'Rel to Acc'!D69-$D$75</f>
        <v>3.9311700000000087</v>
      </c>
      <c r="E69" s="58">
        <f>'Rel to Acc'!E69-$E$75</f>
        <v>3.0227799999999974</v>
      </c>
      <c r="F69" s="58">
        <f>'data from JD'!F72+'data from JD'!P72/1000</f>
        <v>0</v>
      </c>
      <c r="G69" s="58">
        <f>'Rel to Acc'!G69-$G$75</f>
        <v>0.81273000000000195</v>
      </c>
      <c r="H69" s="56">
        <f>'Rel to Acc'!H69</f>
        <v>-0.1023</v>
      </c>
      <c r="I69" s="56">
        <f>'Rel to Acc'!I69</f>
        <v>-0.18340000000000001</v>
      </c>
      <c r="J69" s="56">
        <f>'Rel to Acc'!J69</f>
        <v>-4.4400000000000002E-2</v>
      </c>
    </row>
    <row r="70" spans="1:10" s="57" customFormat="1" x14ac:dyDescent="0.25">
      <c r="A70" s="69" t="s">
        <v>297</v>
      </c>
      <c r="B70" s="70" t="s">
        <v>46</v>
      </c>
      <c r="C70" s="73"/>
      <c r="D70" s="58">
        <f>'Rel to Acc'!D70-$D$75</f>
        <v>3.7934099999999944</v>
      </c>
      <c r="E70" s="58">
        <f>'Rel to Acc'!E70-$E$75</f>
        <v>-2.7499999999918145E-3</v>
      </c>
      <c r="F70" s="58">
        <f>'data from JD'!F73+'data from JD'!P73/1000</f>
        <v>0</v>
      </c>
      <c r="G70" s="58">
        <f>'Rel to Acc'!G70-$G$75</f>
        <v>-0.73967000000000382</v>
      </c>
      <c r="H70" s="56">
        <f>'Rel to Acc'!H70</f>
        <v>0.31080000000000002</v>
      </c>
      <c r="I70" s="56">
        <f>'Rel to Acc'!I70</f>
        <v>-0.18110000000000001</v>
      </c>
      <c r="J70" s="56">
        <f>'Rel to Acc'!J70</f>
        <v>-0.25900000000000001</v>
      </c>
    </row>
    <row r="71" spans="1:10" s="57" customFormat="1" x14ac:dyDescent="0.25">
      <c r="A71" s="69" t="s">
        <v>298</v>
      </c>
      <c r="B71" s="70" t="s">
        <v>46</v>
      </c>
      <c r="C71" s="73"/>
      <c r="D71" s="58">
        <f>'Rel to Acc'!D71-$D$75</f>
        <v>3.7946000000000026</v>
      </c>
      <c r="E71" s="58">
        <f>'Rel to Acc'!E71-$E$75</f>
        <v>0.37706000000000017</v>
      </c>
      <c r="F71" s="58">
        <f>'data from JD'!F74+'data from JD'!P74/1000</f>
        <v>0</v>
      </c>
      <c r="G71" s="58">
        <f>'Rel to Acc'!G71-$G$75</f>
        <v>-0.7424699999999973</v>
      </c>
      <c r="H71" s="56">
        <f>'Rel to Acc'!H71</f>
        <v>0.38479999999999998</v>
      </c>
      <c r="I71" s="56">
        <f>'Rel to Acc'!I71</f>
        <v>-0.52800000000000002</v>
      </c>
      <c r="J71" s="56">
        <f>'Rel to Acc'!J71</f>
        <v>-0.1593</v>
      </c>
    </row>
    <row r="72" spans="1:10" s="57" customFormat="1" x14ac:dyDescent="0.25">
      <c r="A72" s="69" t="s">
        <v>299</v>
      </c>
      <c r="B72" s="70"/>
      <c r="C72" s="73"/>
      <c r="D72" s="58">
        <f>'Rel to Acc'!D72-$D$75</f>
        <v>3.7938800000000015</v>
      </c>
      <c r="E72" s="58">
        <f>'Rel to Acc'!E72-$E$75</f>
        <v>-0.38989999999999725</v>
      </c>
      <c r="F72" s="58">
        <f>'data from JD'!F75+'data from JD'!P75/1000</f>
        <v>0</v>
      </c>
      <c r="G72" s="58">
        <f>'Rel to Acc'!G72-$G$75</f>
        <v>-0.74255000000000848</v>
      </c>
      <c r="H72" s="56">
        <f>'Rel to Acc'!H72</f>
        <v>0.24210000000000001</v>
      </c>
      <c r="I72" s="56">
        <f>'Rel to Acc'!I72</f>
        <v>-0.5776</v>
      </c>
      <c r="J72" s="56">
        <f>'Rel to Acc'!J72</f>
        <v>-0.22489999999999999</v>
      </c>
    </row>
    <row r="73" spans="1:10" s="33" customFormat="1" x14ac:dyDescent="0.25">
      <c r="A73" s="45"/>
      <c r="B73" s="24"/>
      <c r="D73" s="24"/>
      <c r="E73" s="24"/>
      <c r="F73" s="24"/>
      <c r="G73" s="24"/>
      <c r="H73" s="45"/>
      <c r="I73" s="45"/>
      <c r="J73" s="45"/>
    </row>
    <row r="74" spans="1:10" ht="15.75" x14ac:dyDescent="0.25">
      <c r="A74" s="10" t="s">
        <v>81</v>
      </c>
      <c r="D74" s="4">
        <f>'Rel to Acc'!D74</f>
        <v>398.1386</v>
      </c>
      <c r="E74" s="4">
        <v>80.599999999999994</v>
      </c>
      <c r="G74" s="4">
        <v>104.7</v>
      </c>
    </row>
    <row r="75" spans="1:10" x14ac:dyDescent="0.25">
      <c r="B75" s="4" t="s">
        <v>87</v>
      </c>
      <c r="D75" s="4">
        <f>'Rel to Acc'!D41</f>
        <v>400.02780000000001</v>
      </c>
      <c r="E75" s="4">
        <f>'Rel to Acc'!E41</f>
        <v>80.599699999999999</v>
      </c>
      <c r="F75" s="4">
        <f>'Rel to Acc'!F41</f>
        <v>6.0598799999340072</v>
      </c>
      <c r="G75" s="4">
        <f>'Rel to Acc'!G41</f>
        <v>104.7</v>
      </c>
    </row>
    <row r="76" spans="1:10" s="57" customFormat="1" x14ac:dyDescent="0.25">
      <c r="A76" s="56" t="s">
        <v>295</v>
      </c>
    </row>
    <row r="77" spans="1:10" x14ac:dyDescent="0.25">
      <c r="A77" s="76" t="s">
        <v>300</v>
      </c>
    </row>
    <row r="78" spans="1:10" x14ac:dyDescent="0.25">
      <c r="A78" s="35" t="s">
        <v>46</v>
      </c>
      <c r="B78" s="48" t="s">
        <v>153</v>
      </c>
      <c r="C78" s="48"/>
      <c r="D78" s="48"/>
      <c r="E78" s="49">
        <f>D43-D42</f>
        <v>4.7946000000000026</v>
      </c>
    </row>
    <row r="79" spans="1:10" x14ac:dyDescent="0.25">
      <c r="A79" s="35" t="s">
        <v>268</v>
      </c>
    </row>
    <row r="80" spans="1:10" x14ac:dyDescent="0.25">
      <c r="A80" s="35" t="s">
        <v>265</v>
      </c>
    </row>
    <row r="81" spans="1:1" x14ac:dyDescent="0.25">
      <c r="A81" s="35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8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5" workbookViewId="0">
      <selection activeCell="D49" sqref="D49"/>
    </sheetView>
  </sheetViews>
  <sheetFormatPr defaultRowHeight="15" x14ac:dyDescent="0.25"/>
  <cols>
    <col min="1" max="1" width="38" customWidth="1"/>
    <col min="2" max="2" width="12.5703125" customWidth="1"/>
    <col min="3" max="3" width="2" customWidth="1"/>
    <col min="4" max="4" width="10.7109375" bestFit="1" customWidth="1"/>
    <col min="5" max="5" width="10.28515625" style="4" customWidth="1"/>
    <col min="6" max="6" width="12.140625" style="4" customWidth="1"/>
    <col min="7" max="7" width="13.85546875" bestFit="1" customWidth="1"/>
    <col min="8" max="8" width="11.85546875" style="4" hidden="1" customWidth="1"/>
    <col min="9" max="10" width="11.85546875" style="4" customWidth="1"/>
    <col min="11" max="11" width="11.140625" customWidth="1"/>
    <col min="13" max="13" width="3.42578125" customWidth="1"/>
    <col min="16" max="16" width="13" customWidth="1"/>
    <col min="17" max="17" width="3.85546875" customWidth="1"/>
    <col min="21" max="21" width="2.140625" customWidth="1"/>
  </cols>
  <sheetData>
    <row r="1" spans="1:26" s="4" customFormat="1" x14ac:dyDescent="0.25">
      <c r="A1" s="4" t="s">
        <v>189</v>
      </c>
    </row>
    <row r="2" spans="1:26" s="4" customFormat="1" x14ac:dyDescent="0.25">
      <c r="A2" s="65" t="s">
        <v>67</v>
      </c>
      <c r="B2" s="65"/>
      <c r="C2" s="65"/>
      <c r="D2" s="65"/>
      <c r="E2" s="8"/>
      <c r="F2" s="8"/>
    </row>
    <row r="3" spans="1:26" s="4" customFormat="1" x14ac:dyDescent="0.25">
      <c r="A3" s="65"/>
      <c r="B3" s="65"/>
      <c r="C3" s="65"/>
      <c r="D3" s="65"/>
      <c r="E3" s="8"/>
      <c r="F3" s="8"/>
    </row>
    <row r="4" spans="1:26" s="4" customFormat="1" x14ac:dyDescent="0.25">
      <c r="A4" s="65"/>
      <c r="B4" s="65"/>
      <c r="C4" s="65"/>
      <c r="D4" s="65"/>
      <c r="E4" s="8"/>
      <c r="F4" s="8"/>
      <c r="K4" s="4">
        <f>SIN(-0.0852*3.1416/180)</f>
        <v>-1.4870234519721423E-3</v>
      </c>
    </row>
    <row r="5" spans="1:26" s="4" customFormat="1" x14ac:dyDescent="0.25">
      <c r="A5" s="66"/>
      <c r="B5" s="66"/>
      <c r="C5" s="66"/>
      <c r="D5" s="66"/>
      <c r="E5" s="9"/>
      <c r="F5" s="9"/>
    </row>
    <row r="6" spans="1:26" s="4" customFormat="1" x14ac:dyDescent="0.25"/>
    <row r="7" spans="1:26" s="4" customFormat="1" x14ac:dyDescent="0.25"/>
    <row r="8" spans="1:26" s="4" customFormat="1" x14ac:dyDescent="0.25">
      <c r="I8" s="4">
        <v>398.43376000000001</v>
      </c>
    </row>
    <row r="10" spans="1:26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68" t="s">
        <v>36</v>
      </c>
      <c r="S10" s="68"/>
      <c r="T10" s="68"/>
      <c r="U10" s="6"/>
      <c r="V10" s="68" t="s">
        <v>48</v>
      </c>
      <c r="W10" s="68"/>
      <c r="X10" s="68"/>
      <c r="Y10" s="68"/>
      <c r="Z10" s="68"/>
    </row>
    <row r="11" spans="1:26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25">
      <c r="A14" t="s">
        <v>155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140</v>
      </c>
    </row>
    <row r="15" spans="1:26" s="4" customFormat="1" x14ac:dyDescent="0.25">
      <c r="A15" s="4" t="s">
        <v>156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25">
      <c r="A45" t="s">
        <v>150</v>
      </c>
      <c r="B45" t="s">
        <v>151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25">
      <c r="A48" s="4" t="s">
        <v>152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25">
      <c r="A52" s="4" t="s">
        <v>111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112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25">
      <c r="A54" s="4" t="s">
        <v>113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25">
      <c r="A55" s="4" t="s">
        <v>114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25">
      <c r="V59">
        <f>AVERAGE(V52:V55)</f>
        <v>144.51999999999998</v>
      </c>
      <c r="W59" t="s">
        <v>133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134</v>
      </c>
    </row>
    <row r="61" spans="1:23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135</v>
      </c>
    </row>
    <row r="62" spans="1:23" x14ac:dyDescent="0.2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2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2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5">
      <c r="A67" s="15" t="s">
        <v>171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5">
      <c r="S72" s="4"/>
    </row>
    <row r="73" spans="1:19" x14ac:dyDescent="0.2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2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2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2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2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2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2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25">
      <c r="S85" s="4"/>
    </row>
    <row r="86" spans="2:19" x14ac:dyDescent="0.25">
      <c r="S86" s="4"/>
    </row>
    <row r="87" spans="2:19" x14ac:dyDescent="0.2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25">
      <c r="S88" s="4"/>
    </row>
    <row r="89" spans="2:19" x14ac:dyDescent="0.2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7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50"/>
  <sheetViews>
    <sheetView topLeftCell="A43" zoomScale="200" zoomScaleNormal="200" workbookViewId="0">
      <selection activeCell="A50" sqref="A50"/>
    </sheetView>
  </sheetViews>
  <sheetFormatPr defaultRowHeight="15" x14ac:dyDescent="0.25"/>
  <sheetData>
    <row r="2" spans="1:7" x14ac:dyDescent="0.25">
      <c r="A2" s="65" t="s">
        <v>89</v>
      </c>
      <c r="B2" s="65"/>
      <c r="C2" s="65"/>
      <c r="D2" s="65"/>
      <c r="E2" s="66"/>
      <c r="F2" s="66"/>
      <c r="G2" s="66"/>
    </row>
    <row r="3" spans="1:7" x14ac:dyDescent="0.25">
      <c r="A3" s="65"/>
      <c r="B3" s="65"/>
      <c r="C3" s="65"/>
      <c r="D3" s="65"/>
      <c r="E3" s="66"/>
      <c r="F3" s="66"/>
      <c r="G3" s="66"/>
    </row>
    <row r="4" spans="1:7" x14ac:dyDescent="0.25">
      <c r="A4" s="65"/>
      <c r="B4" s="65"/>
      <c r="C4" s="65"/>
      <c r="D4" s="65"/>
      <c r="E4" s="66"/>
      <c r="F4" s="66"/>
      <c r="G4" s="66"/>
    </row>
    <row r="5" spans="1:7" x14ac:dyDescent="0.25">
      <c r="A5" s="66"/>
      <c r="B5" s="66"/>
      <c r="C5" s="66"/>
      <c r="D5" s="66"/>
      <c r="E5" s="66"/>
      <c r="F5" s="66"/>
      <c r="G5" s="66"/>
    </row>
    <row r="6" spans="1:7" x14ac:dyDescent="0.25">
      <c r="A6" s="66"/>
      <c r="B6" s="66"/>
      <c r="C6" s="66"/>
      <c r="D6" s="66"/>
      <c r="E6" s="66"/>
      <c r="F6" s="66"/>
      <c r="G6" s="66"/>
    </row>
    <row r="7" spans="1:7" x14ac:dyDescent="0.25">
      <c r="A7" s="66"/>
      <c r="B7" s="66"/>
      <c r="C7" s="66"/>
      <c r="D7" s="66"/>
      <c r="E7" s="66"/>
      <c r="F7" s="66"/>
      <c r="G7" s="66"/>
    </row>
    <row r="9" spans="1:7" x14ac:dyDescent="0.25">
      <c r="A9" s="6" t="s">
        <v>146</v>
      </c>
    </row>
    <row r="11" spans="1:7" x14ac:dyDescent="0.25">
      <c r="A11" s="4" t="s">
        <v>191</v>
      </c>
    </row>
    <row r="12" spans="1:7" s="4" customFormat="1" x14ac:dyDescent="0.25">
      <c r="A12" s="4" t="s">
        <v>192</v>
      </c>
    </row>
    <row r="13" spans="1:7" x14ac:dyDescent="0.25">
      <c r="A13" s="4" t="s">
        <v>94</v>
      </c>
    </row>
    <row r="14" spans="1:7" s="4" customFormat="1" x14ac:dyDescent="0.25">
      <c r="A14" s="4" t="s">
        <v>166</v>
      </c>
    </row>
    <row r="15" spans="1:7" x14ac:dyDescent="0.25">
      <c r="A15" s="4" t="s">
        <v>95</v>
      </c>
    </row>
    <row r="16" spans="1:7" s="4" customFormat="1" x14ac:dyDescent="0.25">
      <c r="A16" s="4" t="s">
        <v>164</v>
      </c>
    </row>
    <row r="17" spans="1:1" x14ac:dyDescent="0.25">
      <c r="A17" s="4" t="s">
        <v>96</v>
      </c>
    </row>
    <row r="18" spans="1:1" x14ac:dyDescent="0.25">
      <c r="A18" s="4" t="s">
        <v>102</v>
      </c>
    </row>
    <row r="19" spans="1:1" x14ac:dyDescent="0.25">
      <c r="A19" s="4" t="s">
        <v>97</v>
      </c>
    </row>
    <row r="20" spans="1:1" x14ac:dyDescent="0.25">
      <c r="A20" s="4" t="s">
        <v>98</v>
      </c>
    </row>
    <row r="21" spans="1:1" x14ac:dyDescent="0.25">
      <c r="A21" s="4" t="s">
        <v>99</v>
      </c>
    </row>
    <row r="22" spans="1:1" s="4" customFormat="1" x14ac:dyDescent="0.25">
      <c r="A22" s="4" t="s">
        <v>193</v>
      </c>
    </row>
    <row r="23" spans="1:1" x14ac:dyDescent="0.25">
      <c r="A23" s="4" t="s">
        <v>100</v>
      </c>
    </row>
    <row r="24" spans="1:1" x14ac:dyDescent="0.25">
      <c r="A24" s="4" t="s">
        <v>101</v>
      </c>
    </row>
    <row r="25" spans="1:1" x14ac:dyDescent="0.25">
      <c r="A25" s="4" t="s">
        <v>167</v>
      </c>
    </row>
    <row r="26" spans="1:1" x14ac:dyDescent="0.25">
      <c r="A26" s="4" t="s">
        <v>168</v>
      </c>
    </row>
    <row r="27" spans="1:1" x14ac:dyDescent="0.25">
      <c r="A27" s="4" t="s">
        <v>169</v>
      </c>
    </row>
    <row r="28" spans="1:1" x14ac:dyDescent="0.25">
      <c r="A28" s="4" t="s">
        <v>170</v>
      </c>
    </row>
    <row r="29" spans="1:1" x14ac:dyDescent="0.25">
      <c r="A29" s="4" t="s">
        <v>103</v>
      </c>
    </row>
    <row r="30" spans="1:1" x14ac:dyDescent="0.25">
      <c r="A30" s="4" t="s">
        <v>143</v>
      </c>
    </row>
    <row r="31" spans="1:1" x14ac:dyDescent="0.25">
      <c r="A31" s="4" t="s">
        <v>110</v>
      </c>
    </row>
    <row r="32" spans="1:1" x14ac:dyDescent="0.25">
      <c r="A32" s="4" t="s">
        <v>272</v>
      </c>
    </row>
    <row r="33" spans="1:1" x14ac:dyDescent="0.25">
      <c r="A33" s="4" t="s">
        <v>104</v>
      </c>
    </row>
    <row r="34" spans="1:1" x14ac:dyDescent="0.25">
      <c r="A34" s="4" t="s">
        <v>105</v>
      </c>
    </row>
    <row r="35" spans="1:1" x14ac:dyDescent="0.25">
      <c r="A35" s="4" t="s">
        <v>106</v>
      </c>
    </row>
    <row r="36" spans="1:1" s="4" customFormat="1" x14ac:dyDescent="0.25">
      <c r="A36" s="4" t="s">
        <v>136</v>
      </c>
    </row>
    <row r="37" spans="1:1" s="4" customFormat="1" x14ac:dyDescent="0.25">
      <c r="A37" s="4" t="s">
        <v>137</v>
      </c>
    </row>
    <row r="38" spans="1:1" s="4" customFormat="1" x14ac:dyDescent="0.25">
      <c r="A38" s="4" t="s">
        <v>138</v>
      </c>
    </row>
    <row r="39" spans="1:1" s="4" customFormat="1" x14ac:dyDescent="0.25">
      <c r="A39" s="4" t="s">
        <v>139</v>
      </c>
    </row>
    <row r="40" spans="1:1" x14ac:dyDescent="0.25">
      <c r="A40" s="4" t="s">
        <v>107</v>
      </c>
    </row>
    <row r="41" spans="1:1" x14ac:dyDescent="0.25">
      <c r="A41" s="4" t="s">
        <v>108</v>
      </c>
    </row>
    <row r="42" spans="1:1" x14ac:dyDescent="0.25">
      <c r="A42" s="4" t="s">
        <v>109</v>
      </c>
    </row>
    <row r="43" spans="1:1" x14ac:dyDescent="0.25">
      <c r="A43" s="4" t="s">
        <v>172</v>
      </c>
    </row>
    <row r="44" spans="1:1" x14ac:dyDescent="0.25">
      <c r="A44" t="s">
        <v>267</v>
      </c>
    </row>
    <row r="45" spans="1:1" x14ac:dyDescent="0.25">
      <c r="A45" t="s">
        <v>173</v>
      </c>
    </row>
    <row r="46" spans="1:1" x14ac:dyDescent="0.25">
      <c r="A46" t="s">
        <v>273</v>
      </c>
    </row>
    <row r="47" spans="1:1" x14ac:dyDescent="0.25">
      <c r="A47" t="s">
        <v>275</v>
      </c>
    </row>
    <row r="48" spans="1:1" x14ac:dyDescent="0.25">
      <c r="A48" t="s">
        <v>284</v>
      </c>
    </row>
    <row r="49" spans="1:1" x14ac:dyDescent="0.25">
      <c r="A49" t="s">
        <v>278</v>
      </c>
    </row>
    <row r="50" spans="1:1" x14ac:dyDescent="0.25">
      <c r="A50" t="s">
        <v>296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5" x14ac:dyDescent="0.25"/>
  <sheetData>
    <row r="1" spans="1:7" x14ac:dyDescent="0.25">
      <c r="A1" t="s">
        <v>115</v>
      </c>
      <c r="C1" t="s">
        <v>127</v>
      </c>
    </row>
    <row r="3" spans="1:7" x14ac:dyDescent="0.25">
      <c r="B3" t="s">
        <v>126</v>
      </c>
      <c r="C3" t="s">
        <v>124</v>
      </c>
      <c r="D3" t="s">
        <v>125</v>
      </c>
    </row>
    <row r="4" spans="1:7" x14ac:dyDescent="0.25">
      <c r="A4" t="s">
        <v>116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117</v>
      </c>
      <c r="B5">
        <v>6.6000000000000005E-5</v>
      </c>
      <c r="C5">
        <v>-1.5799999999999999E-4</v>
      </c>
      <c r="D5">
        <v>0.14426</v>
      </c>
      <c r="G5" t="s">
        <v>129</v>
      </c>
    </row>
    <row r="6" spans="1:7" x14ac:dyDescent="0.25">
      <c r="A6" t="s">
        <v>118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131</v>
      </c>
    </row>
    <row r="7" spans="1:7" x14ac:dyDescent="0.25">
      <c r="A7" t="s">
        <v>119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120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121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130</v>
      </c>
    </row>
    <row r="10" spans="1:7" x14ac:dyDescent="0.25">
      <c r="A10" t="s">
        <v>122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123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132</v>
      </c>
    </row>
    <row r="13" spans="1:7" x14ac:dyDescent="0.25">
      <c r="F13">
        <f>D11-1.6965</f>
        <v>6.1200000000001253E-3</v>
      </c>
      <c r="G13" t="s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0" zoomScale="75" zoomScaleNormal="75" workbookViewId="0">
      <selection activeCell="B24" sqref="B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3076" r:id="rId4">
          <objectPr defaultSize="0" r:id="rId5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39</xdr:col>
                <xdr:colOff>152400</xdr:colOff>
                <xdr:row>102</xdr:row>
                <xdr:rowOff>38100</xdr:rowOff>
              </to>
            </anchor>
          </objectPr>
        </oleObject>
      </mc:Choice>
      <mc:Fallback>
        <oleObject progId="Acrobat.Document.DC" shapeId="3076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FDC Packages</vt:lpstr>
      <vt:lpstr>Goni Foils-Diamonds</vt:lpstr>
      <vt:lpstr>Polarimeter</vt:lpstr>
      <vt:lpstr>Target location</vt:lpstr>
      <vt:lpstr>HODO</vt:lpstr>
      <vt:lpstr>DIRC</vt:lpstr>
      <vt:lpstr>'Rel to Acc'!Print_Area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2019-11-27T16:47:54Z</cp:lastPrinted>
  <dcterms:created xsi:type="dcterms:W3CDTF">2014-09-29T13:22:13Z</dcterms:created>
  <dcterms:modified xsi:type="dcterms:W3CDTF">2020-02-05T20:36:23Z</dcterms:modified>
</cp:coreProperties>
</file>