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rfee\POwen\03 HOM Survey\L2-HE\HE_132 HOM data 15 Sep 2023\"/>
    </mc:Choice>
  </mc:AlternateContent>
  <xr:revisionPtr revIDLastSave="0" documentId="13_ncr:1_{E07A3598-11E1-42AC-BB04-DB22759D8AA1}" xr6:coauthVersionLast="36" xr6:coauthVersionMax="36" xr10:uidLastSave="{00000000-0000-0000-0000-000000000000}"/>
  <bookViews>
    <workbookView xWindow="0" yWindow="0" windowWidth="17970" windowHeight="7470" xr2:uid="{00000000-000D-0000-FFFF-FFFF00000000}"/>
  </bookViews>
  <sheets>
    <sheet name="freqQloaded" sheetId="1" r:id="rId1"/>
    <sheet name="Image1" sheetId="2" r:id="rId2"/>
    <sheet name="Image2" sheetId="3" r:id="rId3"/>
    <sheet name="Image3" sheetId="4" r:id="rId4"/>
  </sheets>
  <calcPr calcId="191029"/>
</workbook>
</file>

<file path=xl/calcChain.xml><?xml version="1.0" encoding="utf-8"?>
<calcChain xmlns="http://schemas.openxmlformats.org/spreadsheetml/2006/main">
  <c r="J22" i="1" l="1"/>
  <c r="J23" i="1"/>
  <c r="J24" i="1"/>
  <c r="J25" i="1"/>
  <c r="J26" i="1"/>
  <c r="J27" i="1"/>
  <c r="J28" i="1"/>
  <c r="J29" i="1"/>
  <c r="J21" i="1"/>
  <c r="K21" i="1" s="1"/>
  <c r="L21" i="1" s="1"/>
  <c r="I31" i="1"/>
  <c r="I22" i="1"/>
  <c r="I32" i="1" s="1"/>
  <c r="I23" i="1"/>
  <c r="I24" i="1"/>
  <c r="I25" i="1"/>
  <c r="I26" i="1"/>
  <c r="I27" i="1"/>
  <c r="I28" i="1"/>
  <c r="I29" i="1"/>
  <c r="I21" i="1"/>
  <c r="H21" i="1"/>
  <c r="H29" i="1"/>
  <c r="H28" i="1"/>
  <c r="H27" i="1"/>
  <c r="H26" i="1"/>
  <c r="H25" i="1"/>
  <c r="H24" i="1"/>
  <c r="H23" i="1"/>
  <c r="H22" i="1"/>
  <c r="H3" i="1"/>
  <c r="L5" i="1"/>
  <c r="L6" i="1"/>
  <c r="L7" i="1"/>
  <c r="L8" i="1"/>
  <c r="L9" i="1"/>
  <c r="L10" i="1"/>
  <c r="L11" i="1"/>
  <c r="J4" i="1"/>
  <c r="K4" i="1" s="1"/>
  <c r="L4" i="1" s="1"/>
  <c r="L13" i="1" s="1"/>
  <c r="L14" i="1" s="1"/>
  <c r="L15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3" i="1"/>
  <c r="K3" i="1" s="1"/>
  <c r="L3" i="1" s="1"/>
  <c r="I14" i="1"/>
  <c r="I13" i="1"/>
  <c r="I4" i="1"/>
  <c r="I5" i="1"/>
  <c r="I6" i="1"/>
  <c r="I7" i="1"/>
  <c r="I8" i="1"/>
  <c r="I9" i="1"/>
  <c r="I10" i="1"/>
  <c r="I11" i="1"/>
  <c r="I3" i="1"/>
  <c r="H4" i="1"/>
  <c r="H5" i="1"/>
  <c r="H6" i="1"/>
  <c r="H7" i="1"/>
  <c r="H8" i="1"/>
  <c r="H9" i="1"/>
  <c r="H10" i="1"/>
  <c r="H11" i="1"/>
  <c r="K23" i="1" l="1"/>
  <c r="L23" i="1" s="1"/>
  <c r="K25" i="1"/>
  <c r="L25" i="1" s="1"/>
  <c r="K28" i="1"/>
  <c r="L28" i="1" s="1"/>
  <c r="K22" i="1"/>
  <c r="L22" i="1" s="1"/>
  <c r="K26" i="1"/>
  <c r="L26" i="1" s="1"/>
  <c r="K27" i="1"/>
  <c r="L27" i="1" s="1"/>
  <c r="K24" i="1"/>
  <c r="L24" i="1" s="1"/>
  <c r="K29" i="1"/>
  <c r="L29" i="1" s="1"/>
  <c r="L31" i="1" l="1"/>
  <c r="L32" i="1" s="1"/>
  <c r="L33" i="1" s="1"/>
  <c r="F21" i="1" l="1"/>
  <c r="F22" i="1" l="1"/>
  <c r="F23" i="1"/>
  <c r="F24" i="1"/>
  <c r="F25" i="1"/>
  <c r="F26" i="1"/>
  <c r="F27" i="1"/>
  <c r="F28" i="1"/>
  <c r="F29" i="1"/>
  <c r="F4" i="1"/>
  <c r="F5" i="1"/>
  <c r="F6" i="1"/>
  <c r="F7" i="1"/>
  <c r="F8" i="1"/>
  <c r="F9" i="1"/>
  <c r="F10" i="1"/>
  <c r="F11" i="1"/>
  <c r="F3" i="1"/>
  <c r="G22" i="1"/>
  <c r="G23" i="1"/>
  <c r="G24" i="1"/>
  <c r="G25" i="1"/>
  <c r="G26" i="1"/>
  <c r="G27" i="1"/>
  <c r="G28" i="1"/>
  <c r="G29" i="1"/>
  <c r="G21" i="1"/>
  <c r="G4" i="1"/>
  <c r="G5" i="1"/>
  <c r="G6" i="1"/>
  <c r="G7" i="1"/>
  <c r="G8" i="1"/>
  <c r="G9" i="1"/>
  <c r="G10" i="1"/>
  <c r="G11" i="1"/>
  <c r="G3" i="1"/>
</calcChain>
</file>

<file path=xl/sharedStrings.xml><?xml version="1.0" encoding="utf-8"?>
<sst xmlns="http://schemas.openxmlformats.org/spreadsheetml/2006/main" count="38" uniqueCount="21">
  <si>
    <t>Pi mode</t>
  </si>
  <si>
    <t>Previous VTRF</t>
  </si>
  <si>
    <t>HE-132</t>
  </si>
  <si>
    <t>HE-113</t>
  </si>
  <si>
    <t>4K</t>
  </si>
  <si>
    <t>2K HOM survey</t>
  </si>
  <si>
    <t>2K HOM Survey</t>
  </si>
  <si>
    <t>delta1</t>
  </si>
  <si>
    <t>delta2</t>
  </si>
  <si>
    <t>RFIN</t>
  </si>
  <si>
    <t>ratio</t>
  </si>
  <si>
    <t>Slope</t>
  </si>
  <si>
    <t>Intercept</t>
  </si>
  <si>
    <t>ratio-(9pi)</t>
  </si>
  <si>
    <t>yi fit</t>
  </si>
  <si>
    <t>yi error</t>
  </si>
  <si>
    <t>error^2</t>
  </si>
  <si>
    <t>Sum^2</t>
  </si>
  <si>
    <t>MSE</t>
  </si>
  <si>
    <t>M(kHz)</t>
  </si>
  <si>
    <t>Calculate M-parameter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</si>
</sst>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00000"/>
  </numFmts>
  <fonts count="2" x14ac:knownFonts="1">
    <font>
      <sz val="11"/>
      <color indexed="8"/>
      <name val="Calibri"/>
      <family val="2"/>
      <scheme val="minor"/>
    </font>
    <font>
      <sz val="11"/>
      <color rgb="FF3F3F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2" borderId="1" xfId="1"/>
    <xf numFmtId="170" fontId="0" fillId="0" borderId="0" xfId="0" applyNumberFormat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Shift from</a:t>
            </a:r>
            <a:r>
              <a:rPr lang="en-US" baseline="0"/>
              <a:t> RFIN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freqQloaded!$A$1</c:f>
              <c:strCache>
                <c:ptCount val="1"/>
                <c:pt idx="0">
                  <c:v>HE-113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freqQloaded!$A$3:$A$11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freqQloaded!$F$3:$F$11</c:f>
              <c:numCache>
                <c:formatCode>General</c:formatCode>
                <c:ptCount val="9"/>
                <c:pt idx="0">
                  <c:v>1871.9373285391612</c:v>
                </c:pt>
                <c:pt idx="1">
                  <c:v>1856.8687109827806</c:v>
                </c:pt>
                <c:pt idx="2">
                  <c:v>1865.7672043887032</c:v>
                </c:pt>
                <c:pt idx="3">
                  <c:v>1871.152780489183</c:v>
                </c:pt>
                <c:pt idx="4">
                  <c:v>1879.1275052853962</c:v>
                </c:pt>
                <c:pt idx="5">
                  <c:v>1884.6428931358332</c:v>
                </c:pt>
                <c:pt idx="6">
                  <c:v>1893.0317351498616</c:v>
                </c:pt>
                <c:pt idx="7">
                  <c:v>1888.5367144191605</c:v>
                </c:pt>
                <c:pt idx="8">
                  <c:v>1901.8819118452939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74-467D-AFF6-D36ED8D7527D}"/>
            </c:ext>
          </c:extLst>
        </c:ser>
        <c:ser>
          <c:idx val="1"/>
          <c:order val="1"/>
          <c:tx>
            <c:strRef>
              <c:f>freqQloaded!$A$19</c:f>
              <c:strCache>
                <c:ptCount val="1"/>
                <c:pt idx="0">
                  <c:v>HE-132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freqQloaded!$A$21:$A$29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freqQloaded!$F$21:$F$29</c:f>
              <c:numCache>
                <c:formatCode>General</c:formatCode>
                <c:ptCount val="9"/>
                <c:pt idx="0">
                  <c:v>1824.7376928832182</c:v>
                </c:pt>
                <c:pt idx="1">
                  <c:v>1833.1018710889566</c:v>
                </c:pt>
                <c:pt idx="2">
                  <c:v>1841.4953300141406</c:v>
                </c:pt>
                <c:pt idx="3">
                  <c:v>1853.9922351064888</c:v>
                </c:pt>
                <c:pt idx="4">
                  <c:v>1866.6034209684312</c:v>
                </c:pt>
                <c:pt idx="5">
                  <c:v>1878.6588165341982</c:v>
                </c:pt>
                <c:pt idx="6">
                  <c:v>1887.6154399556526</c:v>
                </c:pt>
                <c:pt idx="7">
                  <c:v>1891.9078158044158</c:v>
                </c:pt>
                <c:pt idx="8">
                  <c:v>1892.8492257530252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74-467D-AFF6-D36ED8D75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401568"/>
        <c:axId val="842738128"/>
      </c:scatterChart>
      <c:valAx>
        <c:axId val="826401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#/9 </a:t>
                </a:r>
                <a:r>
                  <a:rPr lang="en-US">
                    <a:latin typeface="Symbol" panose="05050102010706020507" pitchFamily="18" charset="2"/>
                  </a:rPr>
                  <a:t>p</a:t>
                </a:r>
                <a:r>
                  <a:rPr lang="en-US"/>
                  <a:t> mode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738128"/>
        <c:crosses val="autoZero"/>
        <c:crossBetween val="midCat"/>
      </c:valAx>
      <c:valAx>
        <c:axId val="84273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delta F (kHz)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401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2265467563903444"/>
          <c:y val="0.28157562981792628"/>
          <c:w val="0.14520810380533947"/>
          <c:h val="0.1778668575518969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Shift from</a:t>
            </a:r>
            <a:r>
              <a:rPr lang="en-US" baseline="0"/>
              <a:t> previous VTRF frequency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freqQloaded!$A$1</c:f>
              <c:strCache>
                <c:ptCount val="1"/>
                <c:pt idx="0">
                  <c:v>HE-113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freqQloaded!$A$3:$A$11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freqQloaded!$G$3:$G$11</c:f>
              <c:numCache>
                <c:formatCode>General</c:formatCode>
                <c:ptCount val="9"/>
                <c:pt idx="0">
                  <c:v>-3.9006714609968185</c:v>
                </c:pt>
                <c:pt idx="1">
                  <c:v>-4.1802890173130436</c:v>
                </c:pt>
                <c:pt idx="2">
                  <c:v>-3.4287956111711537</c:v>
                </c:pt>
                <c:pt idx="3">
                  <c:v>-3.3772195108667802</c:v>
                </c:pt>
                <c:pt idx="4">
                  <c:v>-3.0294947146103368</c:v>
                </c:pt>
                <c:pt idx="5">
                  <c:v>-2.926106864151734</c:v>
                </c:pt>
                <c:pt idx="6">
                  <c:v>-2.204264849979154</c:v>
                </c:pt>
                <c:pt idx="7">
                  <c:v>-2.574285580749347</c:v>
                </c:pt>
                <c:pt idx="8">
                  <c:v>-2.9070881548705074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C8-4201-8EDA-716FC6D4084B}"/>
            </c:ext>
          </c:extLst>
        </c:ser>
        <c:ser>
          <c:idx val="1"/>
          <c:order val="1"/>
          <c:tx>
            <c:strRef>
              <c:f>freqQloaded!$A$19</c:f>
              <c:strCache>
                <c:ptCount val="1"/>
                <c:pt idx="0">
                  <c:v>HE-132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freqQloaded!$A$21:$A$29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freqQloaded!$G$21:$G$29</c:f>
              <c:numCache>
                <c:formatCode>General</c:formatCode>
                <c:ptCount val="9"/>
                <c:pt idx="0">
                  <c:v>-16.637307116752709</c:v>
                </c:pt>
                <c:pt idx="1">
                  <c:v>-13.773128910997912</c:v>
                </c:pt>
                <c:pt idx="2">
                  <c:v>-9.6296699859976798</c:v>
                </c:pt>
                <c:pt idx="3">
                  <c:v>-4.0077648934584431</c:v>
                </c:pt>
                <c:pt idx="4">
                  <c:v>2.3534209683475638</c:v>
                </c:pt>
                <c:pt idx="5">
                  <c:v>8.1588165342054708</c:v>
                </c:pt>
                <c:pt idx="6">
                  <c:v>12.365439955601687</c:v>
                </c:pt>
                <c:pt idx="7">
                  <c:v>15.407815804564962</c:v>
                </c:pt>
                <c:pt idx="8">
                  <c:v>0.59922575314885762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C8-4201-8EDA-716FC6D40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401568"/>
        <c:axId val="842738128"/>
      </c:scatterChart>
      <c:valAx>
        <c:axId val="826401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#/9 </a:t>
                </a:r>
                <a:r>
                  <a:rPr lang="en-US">
                    <a:latin typeface="Symbol" panose="05050102010706020507" pitchFamily="18" charset="2"/>
                  </a:rPr>
                  <a:t>p</a:t>
                </a:r>
                <a:r>
                  <a:rPr lang="en-US"/>
                  <a:t> mode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738128"/>
        <c:crosses val="autoZero"/>
        <c:crossBetween val="midCat"/>
      </c:valAx>
      <c:valAx>
        <c:axId val="84273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delta F (kHz)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401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2265467563903444"/>
          <c:y val="0.28157562981792628"/>
          <c:w val="0.14520810380533947"/>
          <c:h val="0.1778668575518969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18</xdr:row>
      <xdr:rowOff>0</xdr:rowOff>
    </xdr:from>
    <xdr:to>
      <xdr:col>23</xdr:col>
      <xdr:colOff>205739</xdr:colOff>
      <xdr:row>30</xdr:row>
      <xdr:rowOff>125730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83B713-6F57-43BA-8610-6B244C234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190500</xdr:colOff>
      <xdr:row>3</xdr:row>
      <xdr:rowOff>9525</xdr:rowOff>
    </xdr:from>
    <xdr:to>
      <xdr:col>22</xdr:col>
      <xdr:colOff>205739</xdr:colOff>
      <xdr:row>15</xdr:row>
      <xdr:rowOff>135255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C1A241-1C72-4626-A48B-E09F9DDAF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150586</xdr:colOff>
      <xdr:row>23</xdr:row>
      <xdr:rowOff>66675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20000" cy="444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159334</xdr:colOff>
      <xdr:row>28</xdr:row>
      <xdr:rowOff>180975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29925" cy="5514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284584</xdr:colOff>
      <xdr:row>14</xdr:row>
      <xdr:rowOff>142875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6350" cy="2809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workbookViewId="0">
      <selection activeCell="F7" sqref="F7"/>
    </sheetView>
  </sheetViews>
  <sheetFormatPr defaultRowHeight="15" x14ac:dyDescent="0.25"/>
  <cols>
    <col min="3" max="3" width="13.7109375" bestFit="1" customWidth="1"/>
    <col min="4" max="4" width="9.140625" hidden="1" customWidth="1"/>
    <col min="5" max="5" width="14.5703125" bestFit="1" customWidth="1"/>
    <col min="6" max="12" width="9.140625" customWidth="1"/>
    <col min="16" max="16" width="13.7109375" bestFit="1" customWidth="1"/>
    <col min="17" max="17" width="0" hidden="1" customWidth="1"/>
    <col min="18" max="18" width="14.42578125" bestFit="1" customWidth="1"/>
    <col min="19" max="19" width="11" bestFit="1" customWidth="1"/>
  </cols>
  <sheetData>
    <row r="1" spans="1:12" x14ac:dyDescent="0.25">
      <c r="A1" s="1" t="s">
        <v>3</v>
      </c>
      <c r="B1" s="1"/>
      <c r="C1" s="1"/>
      <c r="D1" s="1"/>
      <c r="E1" s="1"/>
      <c r="F1" s="1"/>
      <c r="G1" s="1"/>
      <c r="H1" s="1" t="s">
        <v>20</v>
      </c>
      <c r="I1" s="1"/>
      <c r="J1" s="1"/>
      <c r="K1" s="1"/>
      <c r="L1" s="1"/>
    </row>
    <row r="2" spans="1:12" x14ac:dyDescent="0.25">
      <c r="A2" t="s">
        <v>0</v>
      </c>
      <c r="B2" t="s">
        <v>9</v>
      </c>
      <c r="C2" t="s">
        <v>1</v>
      </c>
      <c r="D2" t="s">
        <v>4</v>
      </c>
      <c r="E2" t="s">
        <v>6</v>
      </c>
      <c r="F2" t="s">
        <v>7</v>
      </c>
      <c r="G2" t="s">
        <v>8</v>
      </c>
      <c r="H2" t="s">
        <v>10</v>
      </c>
      <c r="I2" t="s">
        <v>13</v>
      </c>
      <c r="J2" t="s">
        <v>14</v>
      </c>
      <c r="K2" t="s">
        <v>15</v>
      </c>
      <c r="L2" t="s">
        <v>16</v>
      </c>
    </row>
    <row r="3" spans="1:12" x14ac:dyDescent="0.25">
      <c r="A3">
        <v>1</v>
      </c>
      <c r="B3">
        <v>1273.7239999999999</v>
      </c>
      <c r="C3">
        <v>1275.5998380000001</v>
      </c>
      <c r="D3">
        <v>1275.5853753245617</v>
      </c>
      <c r="E3">
        <v>1275.5959373285391</v>
      </c>
      <c r="F3">
        <f>(E3-B3)*1000</f>
        <v>1871.9373285391612</v>
      </c>
      <c r="G3">
        <f>(E3-$C3)*1000</f>
        <v>-3.9006714609968185</v>
      </c>
      <c r="H3">
        <f>C3/E3</f>
        <v>1.0000030579208876</v>
      </c>
      <c r="I3">
        <f>H3-$H$11</f>
        <v>8.2194842376814847E-7</v>
      </c>
      <c r="J3">
        <f>$I$13*A3+$I$14</f>
        <v>8.5825565845354399E-7</v>
      </c>
      <c r="K3">
        <f>J3-I3</f>
        <v>3.6307234685395513E-8</v>
      </c>
      <c r="L3">
        <f>K3^2</f>
        <v>1.3182152905003871E-15</v>
      </c>
    </row>
    <row r="4" spans="1:12" x14ac:dyDescent="0.25">
      <c r="A4">
        <v>2</v>
      </c>
      <c r="B4">
        <v>1275.9649999999999</v>
      </c>
      <c r="C4">
        <v>1277.826049</v>
      </c>
      <c r="D4">
        <v>1277.8111974942487</v>
      </c>
      <c r="E4">
        <v>1277.8218687109827</v>
      </c>
      <c r="F4">
        <f t="shared" ref="F4:F11" si="0">(E4-B4)*1000</f>
        <v>1856.8687109827806</v>
      </c>
      <c r="G4">
        <f t="shared" ref="G4:G11" si="1">(E4-$C4)*1000</f>
        <v>-4.1802890173130436</v>
      </c>
      <c r="H4">
        <f t="shared" ref="H4:H11" si="2">C4/E4</f>
        <v>1.0000032714176519</v>
      </c>
      <c r="I4">
        <f t="shared" ref="I4:I11" si="3">H4-$H$11</f>
        <v>1.0354451880356663E-6</v>
      </c>
      <c r="J4">
        <f>$I$13*A4+$I$14</f>
        <v>7.0027937823328551E-7</v>
      </c>
      <c r="K4">
        <f t="shared" ref="K4:K11" si="4">J4-I4</f>
        <v>-3.3516580980238081E-7</v>
      </c>
      <c r="L4">
        <f t="shared" ref="L4:L13" si="5">K4^2</f>
        <v>1.1233612006048571E-13</v>
      </c>
    </row>
    <row r="5" spans="1:12" x14ac:dyDescent="0.25">
      <c r="A5">
        <v>3</v>
      </c>
      <c r="B5">
        <v>1279.2370000000001</v>
      </c>
      <c r="C5">
        <v>1281.106196</v>
      </c>
      <c r="D5">
        <v>1281.0922880979292</v>
      </c>
      <c r="E5">
        <v>1281.1027672043888</v>
      </c>
      <c r="F5">
        <f t="shared" si="0"/>
        <v>1865.7672043887032</v>
      </c>
      <c r="G5">
        <f t="shared" si="1"/>
        <v>-3.4287956111711537</v>
      </c>
      <c r="H5">
        <f t="shared" si="2"/>
        <v>1.0000026764407188</v>
      </c>
      <c r="I5">
        <f t="shared" si="3"/>
        <v>4.404682549807859E-7</v>
      </c>
      <c r="J5">
        <f>$I$13*A5+$I$14</f>
        <v>5.4230309801302704E-7</v>
      </c>
      <c r="K5">
        <f t="shared" si="4"/>
        <v>1.0183484303224114E-7</v>
      </c>
      <c r="L5">
        <f t="shared" si="5"/>
        <v>1.0370335255401192E-14</v>
      </c>
    </row>
    <row r="6" spans="1:12" x14ac:dyDescent="0.25">
      <c r="A6">
        <v>4</v>
      </c>
      <c r="B6">
        <v>1283.3989999999999</v>
      </c>
      <c r="C6">
        <v>1285.2735299999999</v>
      </c>
      <c r="D6">
        <v>1285.2600717131384</v>
      </c>
      <c r="E6">
        <v>1285.2701527804891</v>
      </c>
      <c r="F6">
        <f t="shared" si="0"/>
        <v>1871.152780489183</v>
      </c>
      <c r="G6">
        <f t="shared" si="1"/>
        <v>-3.3772195108667802</v>
      </c>
      <c r="H6">
        <f t="shared" si="2"/>
        <v>1.0000026276339675</v>
      </c>
      <c r="I6">
        <f t="shared" si="3"/>
        <v>3.9166150367364594E-7</v>
      </c>
      <c r="J6">
        <f>$I$13*A6+$I$14</f>
        <v>3.8432681779276847E-7</v>
      </c>
      <c r="K6">
        <f t="shared" si="4"/>
        <v>-7.3346858808774735E-9</v>
      </c>
      <c r="L6">
        <f t="shared" si="5"/>
        <v>5.3797616971143358E-17</v>
      </c>
    </row>
    <row r="7" spans="1:12" x14ac:dyDescent="0.25">
      <c r="A7">
        <v>5</v>
      </c>
      <c r="B7">
        <v>1287.703</v>
      </c>
      <c r="C7">
        <v>1289.585157</v>
      </c>
      <c r="D7">
        <v>1289.5718776463607</v>
      </c>
      <c r="E7">
        <v>1289.5821275052854</v>
      </c>
      <c r="F7">
        <f t="shared" si="0"/>
        <v>1879.1275052853962</v>
      </c>
      <c r="G7">
        <f t="shared" si="1"/>
        <v>-3.0294947146103368</v>
      </c>
      <c r="H7">
        <f t="shared" si="2"/>
        <v>1.0000023492064987</v>
      </c>
      <c r="I7">
        <f t="shared" si="3"/>
        <v>1.1323403481533489E-7</v>
      </c>
      <c r="J7">
        <f>$I$13*A7+$I$14</f>
        <v>2.2635053757250989E-7</v>
      </c>
      <c r="K7">
        <f t="shared" si="4"/>
        <v>1.1311650275717499E-7</v>
      </c>
      <c r="L7">
        <f t="shared" si="5"/>
        <v>1.2795343196013978E-14</v>
      </c>
    </row>
    <row r="8" spans="1:12" x14ac:dyDescent="0.25">
      <c r="A8">
        <v>6</v>
      </c>
      <c r="B8">
        <v>1291.817</v>
      </c>
      <c r="C8">
        <v>1293.704569</v>
      </c>
      <c r="D8">
        <v>1293.6914808643587</v>
      </c>
      <c r="E8">
        <v>1293.7016428931358</v>
      </c>
      <c r="F8">
        <f t="shared" si="0"/>
        <v>1884.6428931358332</v>
      </c>
      <c r="G8">
        <f t="shared" si="1"/>
        <v>-2.926106864151734</v>
      </c>
      <c r="H8">
        <f t="shared" si="2"/>
        <v>1.0000022618096531</v>
      </c>
      <c r="I8">
        <f t="shared" si="3"/>
        <v>2.5837189276955996E-8</v>
      </c>
      <c r="J8">
        <f>$I$13*A8+$I$14</f>
        <v>6.8374257352251416E-8</v>
      </c>
      <c r="K8">
        <f t="shared" si="4"/>
        <v>4.253706807529542E-8</v>
      </c>
      <c r="L8">
        <f t="shared" si="5"/>
        <v>1.8094021604423169E-15</v>
      </c>
    </row>
    <row r="9" spans="1:12" x14ac:dyDescent="0.25">
      <c r="A9">
        <v>7</v>
      </c>
      <c r="B9">
        <v>1295.2370000000001</v>
      </c>
      <c r="C9">
        <v>1297.1322359999999</v>
      </c>
      <c r="D9">
        <v>1297.1201030159691</v>
      </c>
      <c r="E9">
        <v>1297.1300317351499</v>
      </c>
      <c r="F9">
        <f t="shared" si="0"/>
        <v>1893.0317351498616</v>
      </c>
      <c r="G9">
        <f t="shared" si="1"/>
        <v>-2.204264849979154</v>
      </c>
      <c r="H9">
        <f t="shared" si="2"/>
        <v>1.0000016993399243</v>
      </c>
      <c r="I9">
        <f t="shared" si="3"/>
        <v>-5.3663253951619083E-7</v>
      </c>
      <c r="J9">
        <f>$I$13*A9+$I$14</f>
        <v>-8.9602022868007056E-8</v>
      </c>
      <c r="K9">
        <f t="shared" si="4"/>
        <v>4.4703051664818378E-7</v>
      </c>
      <c r="L9">
        <f t="shared" si="5"/>
        <v>1.9983628281474212E-13</v>
      </c>
    </row>
    <row r="10" spans="1:12" x14ac:dyDescent="0.25">
      <c r="A10">
        <v>8</v>
      </c>
      <c r="B10">
        <v>1297.491</v>
      </c>
      <c r="C10">
        <v>1299.3821109999999</v>
      </c>
      <c r="D10">
        <v>1299.3697024912435</v>
      </c>
      <c r="E10">
        <v>1299.3795367144191</v>
      </c>
      <c r="F10">
        <f t="shared" si="0"/>
        <v>1888.5367144191605</v>
      </c>
      <c r="G10">
        <f t="shared" si="1"/>
        <v>-2.574285580749347</v>
      </c>
      <c r="H10">
        <f t="shared" si="2"/>
        <v>1.000001981165247</v>
      </c>
      <c r="I10">
        <f t="shared" si="3"/>
        <v>-2.5480721688175834E-7</v>
      </c>
      <c r="J10">
        <f>$I$13*A10+$I$14</f>
        <v>-2.4757830308826563E-7</v>
      </c>
      <c r="K10">
        <f t="shared" si="4"/>
        <v>7.2289137934927029E-9</v>
      </c>
      <c r="L10">
        <f t="shared" si="5"/>
        <v>5.2257194633749061E-17</v>
      </c>
    </row>
    <row r="11" spans="1:12" x14ac:dyDescent="0.25">
      <c r="A11">
        <v>9</v>
      </c>
      <c r="B11">
        <v>1298.2429999999999</v>
      </c>
      <c r="C11">
        <v>1300.1477890000001</v>
      </c>
      <c r="D11">
        <v>1300.1330038232543</v>
      </c>
      <c r="E11">
        <v>1300.1448819118452</v>
      </c>
      <c r="F11">
        <f t="shared" si="0"/>
        <v>1901.8819118452939</v>
      </c>
      <c r="G11">
        <f t="shared" si="1"/>
        <v>-2.9070881548705074</v>
      </c>
      <c r="H11">
        <f t="shared" si="2"/>
        <v>1.0000022359724638</v>
      </c>
      <c r="I11">
        <f t="shared" si="3"/>
        <v>0</v>
      </c>
      <c r="J11">
        <f>$I$13*A11+$I$14</f>
        <v>-4.0555458330852421E-7</v>
      </c>
      <c r="K11">
        <f t="shared" si="4"/>
        <v>-4.0555458330852421E-7</v>
      </c>
      <c r="L11">
        <f t="shared" si="5"/>
        <v>1.644745200425507E-13</v>
      </c>
    </row>
    <row r="13" spans="1:12" x14ac:dyDescent="0.25">
      <c r="H13" t="s">
        <v>11</v>
      </c>
      <c r="I13">
        <f>SLOPE(I3:I11,A3:A11)</f>
        <v>-1.5797628022025852E-7</v>
      </c>
      <c r="K13" t="s">
        <v>17</v>
      </c>
      <c r="L13">
        <f>SUM(L3:L11)</f>
        <v>5.0304627363174132E-13</v>
      </c>
    </row>
    <row r="14" spans="1:12" x14ac:dyDescent="0.25">
      <c r="H14" t="s">
        <v>12</v>
      </c>
      <c r="I14">
        <f>INTERCEPT(I3:I11,A3:A11)</f>
        <v>1.0162319386738026E-6</v>
      </c>
      <c r="K14" t="s">
        <v>18</v>
      </c>
      <c r="L14">
        <f>SQRT(L13/9)</f>
        <v>2.3641918366225448E-7</v>
      </c>
    </row>
    <row r="15" spans="1:12" x14ac:dyDescent="0.25">
      <c r="K15" t="s">
        <v>19</v>
      </c>
      <c r="L15" s="2">
        <f>1000*($E$11*L14)</f>
        <v>0.3073791916242567</v>
      </c>
    </row>
    <row r="19" spans="1:12" x14ac:dyDescent="0.25">
      <c r="A19" s="1" t="s">
        <v>2</v>
      </c>
      <c r="B19" s="1"/>
      <c r="C19" s="1"/>
      <c r="D19" s="1"/>
      <c r="E19" s="1"/>
      <c r="F19" s="1"/>
      <c r="G19" s="1"/>
      <c r="H19" s="1" t="s">
        <v>20</v>
      </c>
      <c r="I19" s="1"/>
      <c r="J19" s="1"/>
      <c r="K19" s="1"/>
      <c r="L19" s="1"/>
    </row>
    <row r="20" spans="1:12" x14ac:dyDescent="0.25">
      <c r="A20" t="s">
        <v>0</v>
      </c>
      <c r="B20" t="s">
        <v>9</v>
      </c>
      <c r="C20" t="s">
        <v>1</v>
      </c>
      <c r="D20" t="s">
        <v>4</v>
      </c>
      <c r="E20" t="s">
        <v>5</v>
      </c>
      <c r="F20" t="s">
        <v>7</v>
      </c>
      <c r="G20" t="s">
        <v>8</v>
      </c>
      <c r="H20" t="s">
        <v>10</v>
      </c>
      <c r="I20" t="s">
        <v>13</v>
      </c>
      <c r="J20" t="s">
        <v>14</v>
      </c>
      <c r="K20" t="s">
        <v>15</v>
      </c>
      <c r="L20" t="s">
        <v>16</v>
      </c>
    </row>
    <row r="21" spans="1:12" x14ac:dyDescent="0.25">
      <c r="A21">
        <v>1</v>
      </c>
      <c r="B21">
        <v>1274.2190000000001</v>
      </c>
      <c r="C21">
        <v>1276.060375</v>
      </c>
      <c r="D21">
        <v>1276.0374390911986</v>
      </c>
      <c r="E21">
        <v>1276.0437376928833</v>
      </c>
      <c r="F21">
        <f>(E21-B21)*1000</f>
        <v>1824.7376928832182</v>
      </c>
      <c r="G21">
        <f>(E21-$C21)*1000</f>
        <v>-16.637307116752709</v>
      </c>
      <c r="H21">
        <f>C21/E21</f>
        <v>1.0000130381950283</v>
      </c>
      <c r="I21">
        <f>H21-$H$29</f>
        <v>1.3499064229760549E-5</v>
      </c>
      <c r="J21">
        <f>$I$31*A21+$I$32</f>
        <v>1.1984559016626269E-5</v>
      </c>
      <c r="K21">
        <f>J21-I21</f>
        <v>-1.5145052131342799E-6</v>
      </c>
      <c r="L21">
        <f>K21^2</f>
        <v>2.2937260406109107E-12</v>
      </c>
    </row>
    <row r="22" spans="1:12" x14ac:dyDescent="0.25">
      <c r="A22">
        <v>2</v>
      </c>
      <c r="B22">
        <v>1276.3320000000001</v>
      </c>
      <c r="C22">
        <v>1278.1788750000001</v>
      </c>
      <c r="D22">
        <v>1278.1593326982734</v>
      </c>
      <c r="E22">
        <v>1278.1651018710891</v>
      </c>
      <c r="F22">
        <f t="shared" ref="F22:F29" si="6">(E22-B22)*1000</f>
        <v>1833.1018710889566</v>
      </c>
      <c r="G22">
        <f>(E22-$C22)*1000</f>
        <v>-13.773128910997912</v>
      </c>
      <c r="H22">
        <f t="shared" ref="H22:H29" si="7">C22/E22</f>
        <v>1.0000107757040861</v>
      </c>
      <c r="I22">
        <f t="shared" ref="I22:I29" si="8">H22-$H$29</f>
        <v>1.123657328760963E-5</v>
      </c>
      <c r="J22">
        <f>$I$31*A22+$I$32</f>
        <v>9.2276993335755409E-6</v>
      </c>
      <c r="K22">
        <f t="shared" ref="K22:K29" si="9">J22-I22</f>
        <v>-2.0088739540340894E-6</v>
      </c>
      <c r="L22">
        <f t="shared" ref="L22:L29" si="10">K22^2</f>
        <v>4.0355745631965569E-12</v>
      </c>
    </row>
    <row r="23" spans="1:12" x14ac:dyDescent="0.25">
      <c r="A23">
        <v>3</v>
      </c>
      <c r="B23">
        <v>1279.5889999999999</v>
      </c>
      <c r="C23">
        <v>1281.4401250000001</v>
      </c>
      <c r="D23">
        <v>1281.4245877208853</v>
      </c>
      <c r="E23">
        <v>1281.4304953300141</v>
      </c>
      <c r="F23">
        <f t="shared" si="6"/>
        <v>1841.4953300141406</v>
      </c>
      <c r="G23">
        <f>(E23-$C23)*1000</f>
        <v>-9.6296699859976798</v>
      </c>
      <c r="H23">
        <f t="shared" si="7"/>
        <v>1.0000075147813487</v>
      </c>
      <c r="I23">
        <f t="shared" si="8"/>
        <v>7.9756505502182051E-6</v>
      </c>
      <c r="J23">
        <f>$I$31*A23+$I$32</f>
        <v>6.4708396505248144E-6</v>
      </c>
      <c r="K23">
        <f t="shared" si="9"/>
        <v>-1.5048108996933907E-6</v>
      </c>
      <c r="L23">
        <f t="shared" si="10"/>
        <v>2.2644558438360321E-12</v>
      </c>
    </row>
    <row r="24" spans="1:12" x14ac:dyDescent="0.25">
      <c r="A24">
        <v>4</v>
      </c>
      <c r="B24">
        <v>1283.606</v>
      </c>
      <c r="C24">
        <v>1285.4639999999999</v>
      </c>
      <c r="D24">
        <v>1285.4537502144724</v>
      </c>
      <c r="E24">
        <v>1285.4599922351065</v>
      </c>
      <c r="F24">
        <f t="shared" si="6"/>
        <v>1853.9922351064888</v>
      </c>
      <c r="G24">
        <f>(E24-$C24)*1000</f>
        <v>-4.0077648934584431</v>
      </c>
      <c r="H24">
        <f t="shared" si="7"/>
        <v>1.0000031177671165</v>
      </c>
      <c r="I24">
        <f t="shared" si="8"/>
        <v>3.5786363179468594E-6</v>
      </c>
      <c r="J24">
        <f>$I$31*A24+$I$32</f>
        <v>3.7139799674740862E-6</v>
      </c>
      <c r="K24">
        <f t="shared" si="9"/>
        <v>1.3534364952722681E-7</v>
      </c>
      <c r="L24">
        <f t="shared" si="10"/>
        <v>1.8317903467348801E-14</v>
      </c>
    </row>
    <row r="25" spans="1:12" x14ac:dyDescent="0.25">
      <c r="A25">
        <v>5</v>
      </c>
      <c r="B25">
        <v>1287.9649999999999</v>
      </c>
      <c r="C25">
        <v>1289.82925</v>
      </c>
      <c r="D25">
        <v>1289.8256365061636</v>
      </c>
      <c r="E25">
        <v>1289.8316034209683</v>
      </c>
      <c r="F25">
        <f t="shared" si="6"/>
        <v>1866.6034209684312</v>
      </c>
      <c r="G25">
        <f>(E25-$C25)*1000</f>
        <v>2.3534209683475638</v>
      </c>
      <c r="H25">
        <f t="shared" si="7"/>
        <v>0.99999817540447755</v>
      </c>
      <c r="I25">
        <f t="shared" si="8"/>
        <v>-1.3637263209798078E-6</v>
      </c>
      <c r="J25">
        <f>$I$31*A25+$I$32</f>
        <v>9.5712028442335809E-7</v>
      </c>
      <c r="K25">
        <f t="shared" si="9"/>
        <v>2.3208466054031659E-6</v>
      </c>
      <c r="L25">
        <f t="shared" si="10"/>
        <v>5.3863289658113982E-12</v>
      </c>
    </row>
    <row r="26" spans="1:12" x14ac:dyDescent="0.25">
      <c r="A26">
        <v>6</v>
      </c>
      <c r="B26">
        <v>1292.0229999999999</v>
      </c>
      <c r="C26">
        <v>1293.8934999999999</v>
      </c>
      <c r="D26">
        <v>1293.8954395561832</v>
      </c>
      <c r="E26">
        <v>1293.9016588165341</v>
      </c>
      <c r="F26">
        <f t="shared" si="6"/>
        <v>1878.6588165341982</v>
      </c>
      <c r="G26">
        <f>(E26-$C26)*1000</f>
        <v>8.1588165342054708</v>
      </c>
      <c r="H26">
        <f t="shared" si="7"/>
        <v>0.99999369440754737</v>
      </c>
      <c r="I26">
        <f t="shared" si="8"/>
        <v>-5.844723251158257E-6</v>
      </c>
      <c r="J26">
        <f>$I$31*A26+$I$32</f>
        <v>-1.7997393986273667E-6</v>
      </c>
      <c r="K26">
        <f t="shared" si="9"/>
        <v>4.0449838525308903E-6</v>
      </c>
      <c r="L26">
        <f t="shared" si="10"/>
        <v>1.6361894367235645E-11</v>
      </c>
    </row>
    <row r="27" spans="1:12" x14ac:dyDescent="0.25">
      <c r="A27">
        <v>7</v>
      </c>
      <c r="B27">
        <v>1295.354</v>
      </c>
      <c r="C27">
        <v>1297.2292500000001</v>
      </c>
      <c r="D27">
        <v>1297.235107240886</v>
      </c>
      <c r="E27">
        <v>1297.2416154399557</v>
      </c>
      <c r="F27">
        <f t="shared" si="6"/>
        <v>1887.6154399556526</v>
      </c>
      <c r="G27">
        <f>(E27-$C27)*1000</f>
        <v>12.365439955601687</v>
      </c>
      <c r="H27">
        <f t="shared" si="7"/>
        <v>0.9999904678975694</v>
      </c>
      <c r="I27">
        <f t="shared" si="8"/>
        <v>-9.0712332291298381E-6</v>
      </c>
      <c r="J27">
        <f>$I$31*A27+$I$32</f>
        <v>-4.5565990816780948E-6</v>
      </c>
      <c r="K27">
        <f t="shared" si="9"/>
        <v>4.5146341474517432E-6</v>
      </c>
      <c r="L27">
        <f t="shared" si="10"/>
        <v>2.0381921485337328E-11</v>
      </c>
    </row>
    <row r="28" spans="1:12" x14ac:dyDescent="0.25">
      <c r="A28">
        <v>8</v>
      </c>
      <c r="B28">
        <v>1297.575</v>
      </c>
      <c r="C28">
        <v>1299.4514999999999</v>
      </c>
      <c r="D28">
        <v>1299.4604686610785</v>
      </c>
      <c r="E28">
        <v>1299.4669078158045</v>
      </c>
      <c r="F28">
        <f t="shared" si="6"/>
        <v>1891.9078158044158</v>
      </c>
      <c r="G28">
        <f>(E28-$C28)*1000</f>
        <v>15.407815804564962</v>
      </c>
      <c r="H28">
        <f t="shared" si="7"/>
        <v>0.99998814297177407</v>
      </c>
      <c r="I28">
        <f t="shared" si="8"/>
        <v>-1.139615902445712E-5</v>
      </c>
      <c r="J28">
        <f>$I$31*A28+$I$32</f>
        <v>-7.313458764728823E-6</v>
      </c>
      <c r="K28">
        <f t="shared" si="9"/>
        <v>4.0827002597282968E-6</v>
      </c>
      <c r="L28">
        <f t="shared" si="10"/>
        <v>1.6668441410785502E-11</v>
      </c>
    </row>
    <row r="29" spans="1:12" x14ac:dyDescent="0.25">
      <c r="A29">
        <v>9</v>
      </c>
      <c r="B29">
        <v>1298.3150000000001</v>
      </c>
      <c r="C29">
        <v>1300.2072499999999</v>
      </c>
      <c r="D29">
        <v>1300.2000052017493</v>
      </c>
      <c r="E29">
        <v>1300.2078492257531</v>
      </c>
      <c r="F29">
        <f t="shared" si="6"/>
        <v>1892.8492257530252</v>
      </c>
      <c r="G29">
        <f>(E29-$C29)*1000</f>
        <v>0.59922575314885762</v>
      </c>
      <c r="H29" s="3">
        <f t="shared" si="7"/>
        <v>0.99999953913079853</v>
      </c>
      <c r="I29">
        <f t="shared" si="8"/>
        <v>0</v>
      </c>
      <c r="J29">
        <f>$I$31*A29+$I$32</f>
        <v>-1.0070318447779551E-5</v>
      </c>
      <c r="K29">
        <f t="shared" si="9"/>
        <v>-1.0070318447779551E-5</v>
      </c>
      <c r="L29">
        <f t="shared" si="10"/>
        <v>1.0141131363968914E-10</v>
      </c>
    </row>
    <row r="31" spans="1:12" x14ac:dyDescent="0.25">
      <c r="H31" t="s">
        <v>11</v>
      </c>
      <c r="I31">
        <f>SLOPE(I21:I29,A21:A29)</f>
        <v>-2.7568596830507273E-6</v>
      </c>
      <c r="K31" t="s">
        <v>17</v>
      </c>
      <c r="L31">
        <f>SUM(L21:L29)</f>
        <v>1.6882197421996987E-10</v>
      </c>
    </row>
    <row r="32" spans="1:12" x14ac:dyDescent="0.25">
      <c r="H32" t="s">
        <v>12</v>
      </c>
      <c r="I32">
        <f>INTERCEPT(I21:I29,A21:A29)</f>
        <v>1.4741418699676996E-5</v>
      </c>
      <c r="K32" t="s">
        <v>18</v>
      </c>
      <c r="L32">
        <f>SQRT(L31/9)</f>
        <v>4.3310503501520513E-6</v>
      </c>
    </row>
    <row r="33" spans="11:12" x14ac:dyDescent="0.25">
      <c r="K33" t="s">
        <v>19</v>
      </c>
      <c r="L33" s="2">
        <f>1000*($E$11*L32)</f>
        <v>5.6309929460526948</v>
      </c>
    </row>
  </sheetData>
  <mergeCells count="4">
    <mergeCell ref="A1:G1"/>
    <mergeCell ref="A19:G19"/>
    <mergeCell ref="H19:L19"/>
    <mergeCell ref="H1:L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freqQloaded</vt:lpstr>
      <vt:lpstr>Image1</vt:lpstr>
      <vt:lpstr>Image2</vt:lpstr>
      <vt:lpstr>Image3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Created with the Wolfram Language : www.wolfram.com</dc:creator>
  <cp:lastModifiedBy>Peter Owen</cp:lastModifiedBy>
  <dcterms:created xsi:type="dcterms:W3CDTF">2023-09-14T18:55:17Z</dcterms:created>
  <dcterms:modified xsi:type="dcterms:W3CDTF">2023-10-10T14:52:39Z</dcterms:modified>
</cp:coreProperties>
</file>